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770" windowHeight="13485"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 name="Hoja1" sheetId="18" r:id="rId18"/>
  </sheets>
  <externalReferences>
    <externalReference r:id="rId21"/>
    <externalReference r:id="rId22"/>
  </externalReferences>
  <definedNames>
    <definedName name="_xlfn.AVERAGEIF" hidden="1">#NAME?</definedName>
    <definedName name="_xlfn.STDEV.S" hidden="1">#NAME?</definedName>
    <definedName name="_xlnm.Print_Area" localSheetId="1">'colofón'!$A$1:$I$44</definedName>
    <definedName name="_xlnm.Print_Area" localSheetId="4">'Comentarios'!$B$2:$J$8</definedName>
    <definedName name="_xlnm.Print_Area" localSheetId="15">'export'!$B$2:$K$41</definedName>
    <definedName name="_xlnm.Print_Area" localSheetId="16">'import'!$B$2:$K$94</definedName>
    <definedName name="_xlnm.Print_Area" localSheetId="3">'Índice'!$A$1:$E$45</definedName>
    <definedName name="_xlnm.Print_Area" localSheetId="2">'Introducción'!$A$1:$J$44</definedName>
    <definedName name="_xlnm.Print_Area" localSheetId="0">'Portada'!$A$1:$I$44</definedName>
    <definedName name="_xlnm.Print_Area" localSheetId="5">'precio mayorista'!$A$1:$H$42</definedName>
    <definedName name="_xlnm.Print_Area" localSheetId="6">'precio mayorista2'!$A$1:$M$57</definedName>
    <definedName name="_xlnm.Print_Area" localSheetId="7">'precio mayorista3'!$A$2:$N$61</definedName>
    <definedName name="_xlnm.Print_Area" localSheetId="8">'precio minorista'!$B$2:$K$46</definedName>
    <definedName name="_xlnm.Print_Area" localSheetId="9">'precio minorista regiones'!$B$2:$S$60</definedName>
    <definedName name="_xlnm.Print_Area" localSheetId="12">'prod región'!$A$1:$M$49</definedName>
    <definedName name="_xlnm.Print_Area" localSheetId="13">'rend región'!$A$1:$M$48</definedName>
    <definedName name="_xlnm.Print_Area" localSheetId="11">'sup región'!$A$1:$M$46</definedName>
    <definedName name="_xlnm.Print_Area" localSheetId="10">'sup, prod y rend'!$A$1:$H$49</definedName>
    <definedName name="TDclase">'[1]TD clase'!$A$5:$G$6</definedName>
  </definedNames>
  <calcPr fullCalcOnLoad="1"/>
</workbook>
</file>

<file path=xl/sharedStrings.xml><?xml version="1.0" encoding="utf-8"?>
<sst xmlns="http://schemas.openxmlformats.org/spreadsheetml/2006/main" count="610" uniqueCount="268">
  <si>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</si>
  <si>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</si>
  <si>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</si>
  <si>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</si>
  <si>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</si>
  <si>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</si>
  <si>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</si>
  <si>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</si>
  <si>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</si>
  <si>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</si>
  <si>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</si>
  <si>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</si>
  <si>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</si>
  <si>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</si>
  <si>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</si>
  <si>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</si>
  <si>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</si>
  <si>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</si>
  <si>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</si>
  <si>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</si>
  <si>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</si>
  <si>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</si>
  <si>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</si>
  <si>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</si>
  <si>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</si>
  <si>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</si>
  <si>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</si>
  <si>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</si>
  <si>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</si>
  <si>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</si>
  <si>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</si>
  <si>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</si>
  <si>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</si>
  <si>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</si>
  <si>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</si>
  <si>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</si>
  <si>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</si>
  <si>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</si>
  <si>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</si>
  <si>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</si>
  <si>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</si>
  <si>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</si>
  <si>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</si>
  <si>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</si>
  <si>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</si>
  <si>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</si>
  <si>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</si>
  <si>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</si>
  <si>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</si>
  <si>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</si>
  <si>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</si>
  <si>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</si>
  <si>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</si>
  <si>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</si>
  <si>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</si>
  <si>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</si>
  <si>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</si>
  <si>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</si>
  <si>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</si>
  <si>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</si>
  <si>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</si>
  <si>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</si>
  <si>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</si>
  <si>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</si>
  <si>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</si>
  <si>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</si>
  <si>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</si>
  <si>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</si>
  <si>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</si>
  <si>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</si>
  <si>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</si>
  <si>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</si>
  <si>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</si>
  <si>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</si>
  <si>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</si>
  <si>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</si>
  <si>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</si>
  <si>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</si>
  <si>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</si>
  <si>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</si>
  <si>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</si>
  <si>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</si>
  <si>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</si>
  <si>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</si>
  <si>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</si>
  <si>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</si>
  <si>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</si>
  <si>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</si>
  <si>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</si>
  <si>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</si>
  <si>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</si>
  <si>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</si>
  <si>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</si>
  <si>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</si>
  <si>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</si>
  <si>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</si>
  <si>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</si>
  <si>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</si>
  <si>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</si>
  <si>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</si>
  <si>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</si>
  <si>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</si>
  <si>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</si>
  <si>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</si>
  <si>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</si>
  <si>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</si>
  <si>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</si>
  <si>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</si>
  <si>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</si>
  <si>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</si>
  <si>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</si>
  <si>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</si>
  <si>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</si>
  <si>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</si>
  <si>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</si>
  <si>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</si>
  <si>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</si>
  <si>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</si>
  <si>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</si>
  <si>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</si>
  <si>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</si>
  <si>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</si>
  <si>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</si>
  <si>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</si>
  <si>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</si>
  <si>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</si>
  <si>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</si>
  <si>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</si>
  <si>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</si>
  <si>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</si>
  <si>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</si>
  <si>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</si>
  <si>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</si>
  <si>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</si>
  <si>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</si>
  <si>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</si>
  <si>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</si>
  <si>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</si>
  <si>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</si>
  <si>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</si>
  <si>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</si>
  <si>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</si>
  <si>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</si>
  <si>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</si>
  <si>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</si>
  <si>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</si>
  <si>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</si>
  <si>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</si>
  <si>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</si>
  <si>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</si>
  <si>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</si>
  <si>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</si>
  <si>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</si>
  <si>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</si>
  <si>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</si>
  <si>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</si>
  <si>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</si>
  <si>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</si>
  <si>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</si>
  <si>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</si>
  <si>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</si>
  <si>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</si>
  <si>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</si>
  <si>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</si>
  <si>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</si>
  <si>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</si>
  <si>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</si>
  <si>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</si>
  <si>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</si>
  <si>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</si>
  <si>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</si>
  <si>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</si>
  <si>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</si>
  <si>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</si>
  <si>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</si>
  <si>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</si>
  <si>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</si>
  <si>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</si>
  <si>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</si>
  <si>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</si>
  <si>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</si>
  <si>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</si>
  <si>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</si>
  <si>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</si>
  <si>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</si>
  <si>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</si>
  <si>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</si>
  <si>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t>2015/16*</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</si>
  <si>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</si>
  <si>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</si>
  <si>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</si>
  <si>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</si>
  <si>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</si>
  <si>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</si>
  <si>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</si>
  <si>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</si>
  <si>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</si>
  <si>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</si>
  <si>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2015</t>
  </si>
  <si>
    <t>Vol</t>
  </si>
  <si>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</si>
  <si>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</si>
  <si>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</si>
  <si>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</si>
  <si>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Este boletín se publica mensualmente, con información de mercado nacional y de comercio exterior, relacionada con la papa.</t>
  </si>
  <si>
    <t>Malasia</t>
  </si>
  <si>
    <t>comparación S con respecto a FL</t>
  </si>
  <si>
    <t>PX 15</t>
  </si>
  <si>
    <t>PX 16</t>
  </si>
  <si>
    <t>Comercio exterior papa fresca y procesada</t>
  </si>
  <si>
    <t>Exportaciones chilenas de papa fresca y procesada, por producto y país de destino</t>
  </si>
  <si>
    <t>Importaciones chilenas de papa fresca y procesada, por producto y país de origen</t>
  </si>
  <si>
    <t>Promedio simple en 2016 a la fecha**</t>
  </si>
  <si>
    <t>*: El rendimiento 2015/16 corresponde al promedio del rendimiento de las últimas tres temporadas.</t>
  </si>
  <si>
    <t>2015/16</t>
  </si>
  <si>
    <t>Tailandia</t>
  </si>
  <si>
    <t>*: La producción se estimó usando el promedio del rendimiento regional de las ultimas tres temporadas</t>
  </si>
  <si>
    <r>
      <rPr>
        <i/>
        <sz val="10"/>
        <color indexed="8"/>
        <rFont val="Arial"/>
        <family val="2"/>
      </rPr>
      <t>Fuente</t>
    </r>
    <r>
      <rPr>
        <sz val="10"/>
        <color indexed="8"/>
        <rFont val="Arial"/>
        <family val="2"/>
      </rPr>
      <t>: Odepa. Se considera el precio promedio de la primera calidad de distintas variedades.</t>
    </r>
  </si>
  <si>
    <r>
      <t xml:space="preserve">3. </t>
    </r>
    <r>
      <rPr>
        <u val="single"/>
        <sz val="10"/>
        <rFont val="Arial"/>
        <family val="2"/>
      </rPr>
      <t>Superficie, producción y rendimiento: se mantiene la superficie nacional</t>
    </r>
    <r>
      <rPr>
        <sz val="10"/>
        <rFont val="Arial"/>
        <family val="2"/>
      </rPr>
      <t xml:space="preserve">
La encuesta del INE sobre estimación de siembra de cultivos anuales para la temporada 2015/16 indica que en Chile se plantaron 53.485 hectáreas de papas, lo que representa un aumento de 5,9% en la superficie nacional para la papa en comparación con la temporada 2014/15. Se estima que el rendimiento debería superar el registrado en el año pasado. Suponiendo un rendimiento 2015/16 de 21,4 ton/ha (promedio de las tres temporadas anteriores), la producción nacional llegaría a 1,14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t>
    </r>
    <r>
      <rPr>
        <sz val="10"/>
        <color indexed="10"/>
        <rFont val="Arial"/>
        <family val="2"/>
      </rPr>
      <t xml:space="preserve"> </t>
    </r>
    <r>
      <rPr>
        <sz val="10"/>
        <rFont val="Arial"/>
        <family val="2"/>
      </rPr>
      <t>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se estima que éstos se mantienen similares al promedio de las últimas 3 temporadas, con lo que se mejora la situación ocurrida en la temporada anterior 2014/15, donde los problemas de baja pluviometría afectaron el rendimiento nacional (cuadros 8 y 9).</t>
    </r>
  </si>
  <si>
    <t>Fecha de publicación: 2015 Region Metropolitana, 2013 Maule y Biobío</t>
  </si>
  <si>
    <t>Mano de obra</t>
  </si>
  <si>
    <t>Maquinaria</t>
  </si>
  <si>
    <t>Insumos</t>
  </si>
  <si>
    <t>Total costos</t>
  </si>
  <si>
    <t xml:space="preserve">Ingreso por hectárea </t>
  </si>
  <si>
    <t>Margen neto por hectárea</t>
  </si>
  <si>
    <t>Rendimiento (Kg/ha)</t>
  </si>
  <si>
    <t>Notas:</t>
  </si>
  <si>
    <t>(2) Corresponde al costo financiero, y equivale a 1,5% mensual simple. Tasa de interés promedio de las empresas distribuidoras de insumos.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</si>
  <si>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</si>
  <si>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</si>
  <si>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</si>
  <si>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</si>
  <si>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Cuadro 10. Costos por hectárea según rendimiento esperado ($/ha) </t>
    </r>
    <r>
      <rPr>
        <b/>
        <vertAlign val="superscript"/>
        <sz val="10"/>
        <rFont val="Arial"/>
        <family val="2"/>
      </rPr>
      <t>1</t>
    </r>
  </si>
  <si>
    <r>
      <t xml:space="preserve">Region Metropolitana 
</t>
    </r>
    <r>
      <rPr>
        <sz val="10"/>
        <rFont val="Arial"/>
        <family val="2"/>
      </rPr>
      <t>Variedad Asterix
Papa Cuaresmera o Guarda</t>
    </r>
  </si>
  <si>
    <r>
      <t xml:space="preserve">Maule 
</t>
    </r>
    <r>
      <rPr>
        <sz val="10"/>
        <rFont val="Arial"/>
        <family val="2"/>
      </rPr>
      <t>Variedad Desirée
Papa Guarda</t>
    </r>
  </si>
  <si>
    <r>
      <t xml:space="preserve">Biobío
</t>
    </r>
    <r>
      <rPr>
        <sz val="10"/>
        <rFont val="Arial"/>
        <family val="2"/>
      </rPr>
      <t>Variedad Desirée
Papa Guarda</t>
    </r>
  </si>
  <si>
    <r>
      <t xml:space="preserve">Otros costos </t>
    </r>
    <r>
      <rPr>
        <b/>
        <vertAlign val="superscript"/>
        <sz val="10"/>
        <rFont val="Arial"/>
        <family val="2"/>
      </rPr>
      <t>2</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</si>
  <si>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</si>
  <si>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t>Precio ($/kg)</t>
    </r>
    <r>
      <rPr>
        <b/>
        <vertAlign val="superscript"/>
        <sz val="10"/>
        <rFont val="Arial"/>
        <family val="2"/>
      </rPr>
      <t>3</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</si>
  <si>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</si>
  <si>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</si>
  <si>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</si>
  <si>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</si>
  <si>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</si>
  <si>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</si>
  <si>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</si>
  <si>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Julio 2016</t>
  </si>
  <si>
    <r>
      <t>Información de mercado nacional y comercio exterior hasta junio</t>
    </r>
    <r>
      <rPr>
        <sz val="11"/>
        <color indexed="8"/>
        <rFont val="Arial"/>
        <family val="2"/>
      </rPr>
      <t xml:space="preserve"> de 2016</t>
    </r>
  </si>
  <si>
    <t>SUPERMERCADO</t>
  </si>
  <si>
    <t>FERIA LIBRE</t>
  </si>
  <si>
    <t xml:space="preserve">(1) Las fichas completas por región se encuentran publicadas en el sitio web www.odepa.cl/rubro/papas-y-tuberculos </t>
  </si>
  <si>
    <r>
      <t xml:space="preserve">(3) El precio de la papa utilizado corresponde al precio promedio mayorista regional durante </t>
    </r>
    <r>
      <rPr>
        <sz val="10"/>
        <color indexed="10"/>
        <rFont val="Arial"/>
        <family val="2"/>
      </rPr>
      <t>junio</t>
    </r>
    <r>
      <rPr>
        <sz val="10"/>
        <color indexed="8"/>
        <rFont val="Arial"/>
        <family val="2"/>
      </rPr>
      <t xml:space="preserve"> de 2016.</t>
    </r>
  </si>
  <si>
    <t>(4) Este análisis entrega márgenes netos bajo tres escenarios diferentes de precio y rendimiento de la papa.</t>
  </si>
  <si>
    <t>promedio mes</t>
  </si>
  <si>
    <t>promedio periodo</t>
  </si>
  <si>
    <t>variacion entre FL y Super</t>
  </si>
  <si>
    <t>Precio Promedio Super</t>
  </si>
  <si>
    <t>Precio Promedio FL</t>
  </si>
  <si>
    <t xml:space="preserve"> --</t>
  </si>
  <si>
    <t>ene-jun 2015</t>
  </si>
  <si>
    <t>ene-jun 2016</t>
  </si>
  <si>
    <r>
      <t xml:space="preserve">2. </t>
    </r>
    <r>
      <rPr>
        <u val="single"/>
        <sz val="10"/>
        <rFont val="Arial"/>
        <family val="2"/>
      </rPr>
      <t>Precio de la papa en mercados minoristas: precios también registran alzas en ferias libres y supermercados</t>
    </r>
    <r>
      <rPr>
        <sz val="10"/>
        <rFont val="Arial"/>
        <family val="2"/>
      </rPr>
      <t xml:space="preserve">
En el monitoreo de precios al consumidor que realiza Odepa en la ciudad de Santiago, se observó que el precio promedio mensual de junio 2016 en supermercados aumentó 4,2% con relación al mes anterior y 19% con respecto al mismo mes de 2015. En ferias también se registró un alza en comparación con el mes anterior, de 14%, y de 16% en relación al mismo mes del año anterior. Como siempre, los precios son más altos en supermercados que en ferias. Para junio de 2016, en Santiago, el precio promedio de supermercados alcanzó $1.136 por kilo, y en ferias, $528 por kilo, es decir, el precio en supermercados duplica el precio en ferias. 
Respecto a los precios al consumidor que Odepa recoge entre las regiones de Arica y Los Lagos, se observa que, al igual que en Santiago, éstos son erráticos entre semanas. Además, en supermercados los precios son superiores a los de las ferias libres. Al comparar los precios entre ferias y supermercados, por región, se observa que la menor diferencia de precios en los últimos cinco meses se presentó en la Región de Arica, donde el promedio de precios en supermercados ($1.082) fue 101% más caro que en ferias ($541). Por otra parte, la mayor diferencia de precios entre supermercados y ferias libres se registró en la Región de La Araucanía, donde el promedio de precios en supermercado ($1.130) fue 220% más caro que en ferias libres ($355). El promedio de precios más alto en supermercado se registró en Coquimbo ($1.268 pesos por kilo), y el más bajo en Los Lagos ($1.095 pesos por kilo). En Ferias Libres, el promedio de precios más alto se registró en Arica ($538 pesos por kilo), y el más bajo en Biobío ($351 pesos por kilo). En las ferias libres de regiones se registra un alza de precios leve en mayo, en donde destaca el alza de la región metropolitana, y de Valparaíso. </t>
    </r>
  </si>
  <si>
    <r>
      <t xml:space="preserve">4. </t>
    </r>
    <r>
      <rPr>
        <u val="single"/>
        <sz val="10"/>
        <rFont val="Arial"/>
        <family val="2"/>
      </rPr>
      <t xml:space="preserve">Ficha de Costos
</t>
    </r>
    <r>
      <rPr>
        <sz val="10"/>
        <rFont val="Arial"/>
        <family val="2"/>
      </rPr>
      <t xml:space="preserve">
Odepa lleva un registro de fichas de costos de varios rubros, lo que permite analizar el peso promedio de los costos asociados al desarrollo del cultivo, y los ingresos promedios que éstos generan para el productor. 
Para este mes, el análisis de margen neto entrega un valor positivo bajo 3 diferentes escenarios de rendimientos y de precios de venta de las regiones Metropolitana, Maule y Biobio, cercano a los $1,5 millones de pesos el escenario más desfavorable. Los costos de Maule y Biobío corresponden al año 2013, los de la Región Metropolitana corresponden a 2015. Los valores son referenciales. Para mayor información y detalle del cálculo, revisar www.odepa.cl/rubro/papas-y-tuberculos 
</t>
    </r>
  </si>
  <si>
    <r>
      <t xml:space="preserve">5. </t>
    </r>
    <r>
      <rPr>
        <u val="single"/>
        <sz val="10"/>
        <rFont val="Arial"/>
        <family val="2"/>
      </rPr>
      <t>Comercio exterior papa fresca y procesada: alzas en las compras y en las ventas</t>
    </r>
    <r>
      <rPr>
        <sz val="10"/>
        <rFont val="Arial"/>
        <family val="2"/>
      </rPr>
      <t xml:space="preserve">
La balanza comercial para el período enero-junio 2016 de los productos derivados de papa sigue siendo negativa, con importaciones muy superiores a las ventas al exterior (cuadros 10 y 11).
Durante junio de 2016 las exportaciones sumaron USD 3,7 millones, cifra 115% superior a la registrada en el mismo período del año anterior. En volumen, se exportaron 2.800 toneladas, 315% más que en el mismo período del año 2015. Destaca el alza en valor de las exportaciones de papa preparada sin congelar hacia Argentina, con ventas que sumaron USD 2,1 millones y 350 toneladas. 
Las importaciones sumaron USD 46,6 millones y 51 mil toneladas en junio de 2016, lo que representa un alza en valor de 32% en comparación con igual período del año anterior, y 30% más en volumen. Las papas preparadas congeladas son la principal categoría comprada por Chile, representando un 78% del total de las compras de papas. En esa categoría destacan Bélgica, Países Bajos y Alemania como principales proveedores de papa preparada congelada a nuestro país. Argentina ha crecido fuerte como importador de este tipo de papas en Chile.  Estados Unidos registra bajas en el valor de varios de los productos de papa enviados a Chile, en comparación con 2015, destacando la principal en la categoría puré de papas preparado, de 75,6% menos en valor comparado con el mismo período del año anterior. </t>
    </r>
  </si>
  <si>
    <t>Precios promedio mensuales de papa en mercados mayoristas</t>
  </si>
  <si>
    <t>Precio diario de papa en los mercados mayoristas</t>
  </si>
  <si>
    <r>
      <t xml:space="preserve">1. </t>
    </r>
    <r>
      <rPr>
        <u val="single"/>
        <sz val="10"/>
        <rFont val="Arial"/>
        <family val="2"/>
      </rPr>
      <t>Precios de la papa en mercados mayoristas:</t>
    </r>
    <r>
      <rPr>
        <u val="single"/>
        <sz val="10"/>
        <color indexed="8"/>
        <rFont val="Arial"/>
        <family val="2"/>
      </rPr>
      <t xml:space="preserve"> precios suben</t>
    </r>
    <r>
      <rPr>
        <u val="single"/>
        <sz val="10"/>
        <color indexed="10"/>
        <rFont val="Arial"/>
        <family val="2"/>
      </rPr>
      <t xml:space="preserve"> </t>
    </r>
    <r>
      <rPr>
        <sz val="10"/>
        <rFont val="Arial"/>
        <family val="2"/>
      </rPr>
      <t xml:space="preserve">
El precio promedio mensual de la papa en los mercados mayoristas durante junio de 2016 fue de $243,6 por kilo, valor 12% superior al del mes anterior y 6,5% inferior al del mismo mes en el año 2015 (cuadro 1 y gráfico 1). Los precios venían presentando una tendencia de precios sin fuertes variaciones, durante el primer trimestre de 2016, pero ya en mayo se registra un alza fuerte en el precio promedio en el mercado mayorista, tendencia que se repite en junio. Las condiciones climáticas desfavorables en la zona central provocaron la aparición de tizón tardío en algunas comunas de la Región Metropolitana, y Región de Valparaíso, lo que provocó un aumento de demanda de papa en la zona sur, obligando al mercado a subir los precios. Como consecuencia, el precio promedio de junio 2016 superó el promedio de los primeros cinco meses del año 2016, que es de $191 pesos por kilo. Al mismo tiempo este mes se superó el precio para el mismo mes del año 2015 y 2014.
El precio promedio diario en los mercados mayoristas se comporta de forma errática entre un día y otro. Entre mediados de enero y mediados de mayo de 2016 el precio promedio nacional se mantuvo entre $8.000 y $10.000 pesos el saco de 50 kilos. Luego, entre el 20 de mayo y el 20 de junio, el precio promedio superó los $12.000. Esta alza fue provocada por el aumento de la demanda de papa como consecuencia de las lluvias en la zona central que afectaron a la papa cuaresmera que se siembra en enero-febrero y se cosecha en mayo-junio (gráfico 2 y cuadro 2). La variedad con precio promedio por saco de 50 kilos más alto en junio 2016 fue Cardinal (en promedio $16.494, un 35% más que el precio promedio nacional). Pukará en cambio presentó el precio más bajo (en promedio $9.907, un 19% menos que el precio promedio nacional). 
Los precios mayoristas de todos los mercados no registran fuertes cambios en el mes de análisis. A excepción de Arica, mercado que registra un alza continua en el tiempo. Además Arica destaca una vez más por ser el mercado que muestra los precios más altos comparado con todos los otros mercados nacionales donde Odepa registra precios. Para este periodo, Arica registra un precio promedio de junio de $19.997 por saco de 50 Kg, valor 61% más caro que el promedio nacional. Por otro lado, mercados que registran los precios más bajos, comparado con el promedio nacional, son Talca ($10.780) y Concepción ($10.925): 13% y 12% respectivamente más baratos que el promedio nacional para este mes (cuadro 3 y gráfico 3).</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</si>
</sst>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0.0000"/>
    <numFmt numFmtId="184" formatCode="_-* #,##0.0_-;\-* #,##0.0_-;_-* &quot;-&quot;??_-;_-@_-"/>
    <numFmt numFmtId="185" formatCode="_-&quot;$&quot;\ * #,##0_-;\-&quot;$&quot;\ * #,##0_-;_-&quot;$&quot;\ * &quot;-&quot;??_-;_-@_-"/>
    <numFmt numFmtId="186" formatCode="#,##0_ ;\-#,##0\ "/>
    <numFmt numFmtId="187" formatCode="#,##0.0_ ;\-#,##0.0\ "/>
    <numFmt numFmtId="188" formatCode="dd/mm"/>
  </numFmts>
  <fonts count="127">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b/>
      <i/>
      <sz val="10"/>
      <color indexed="8"/>
      <name val="Arial"/>
      <family val="2"/>
    </font>
    <font>
      <u val="single"/>
      <sz val="10"/>
      <color indexed="10"/>
      <name val="Arial"/>
      <family val="2"/>
    </font>
    <font>
      <u val="single"/>
      <sz val="10"/>
      <name val="Arial"/>
      <family val="2"/>
    </font>
    <font>
      <u val="single"/>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sz val="10"/>
      <color indexed="25"/>
      <name val="Arial"/>
      <family val="0"/>
    </font>
    <font>
      <sz val="9.2"/>
      <color indexed="25"/>
      <name val="Arial"/>
      <family val="0"/>
    </font>
    <font>
      <sz val="9.2"/>
      <color indexed="62"/>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b/>
      <sz val="12"/>
      <color indexed="8"/>
      <name val="Arial"/>
      <family val="2"/>
    </font>
    <font>
      <sz val="10"/>
      <name val="Calibri"/>
      <family val="2"/>
    </font>
    <font>
      <u val="single"/>
      <sz val="10"/>
      <color indexed="9"/>
      <name val="Arial"/>
      <family val="2"/>
    </font>
    <font>
      <u val="single"/>
      <sz val="11"/>
      <color indexed="20"/>
      <name val="Calibri"/>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0"/>
      <color rgb="FFFF0000"/>
      <name val="Arial"/>
      <family val="2"/>
    </font>
    <font>
      <u val="single"/>
      <sz val="10"/>
      <color rgb="FFFF0000"/>
      <name val="Arial"/>
      <family val="2"/>
    </font>
    <font>
      <b/>
      <sz val="10"/>
      <color theme="0"/>
      <name val="Arial"/>
      <family val="2"/>
    </font>
    <font>
      <b/>
      <sz val="12"/>
      <color theme="1"/>
      <name val="Arial"/>
      <family val="2"/>
    </font>
    <font>
      <sz val="10"/>
      <color theme="6" tint="-0.4999699890613556"/>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s>
  <cellStyleXfs count="4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8" fillId="0" borderId="7" applyNumberFormat="0" applyFill="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0" borderId="0" applyNumberFormat="0" applyFill="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41"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100" fillId="0" borderId="0" applyNumberFormat="0" applyFill="0" applyBorder="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cellStyleXfs>
  <cellXfs count="378">
    <xf numFmtId="0" fontId="0" fillId="0" borderId="0" xfId="0" applyFont="1" applyAlignment="1">
      <alignment/>
    </xf>
    <xf numFmtId="0" fontId="22" fillId="55" borderId="0" xfId="357" applyFont="1" applyFill="1" applyBorder="1" applyAlignment="1">
      <alignment horizontal="center" vertical="center" wrapText="1"/>
      <protection/>
    </xf>
    <xf numFmtId="0" fontId="2" fillId="55" borderId="0" xfId="357" applyFont="1" applyFill="1" applyBorder="1">
      <alignment/>
      <protection/>
    </xf>
    <xf numFmtId="0" fontId="22" fillId="55" borderId="19" xfId="357" applyFont="1" applyFill="1" applyBorder="1" applyAlignment="1">
      <alignment horizontal="center" vertical="center" wrapText="1"/>
      <protection/>
    </xf>
    <xf numFmtId="0" fontId="22" fillId="55" borderId="20" xfId="357" applyFont="1" applyFill="1" applyBorder="1" applyAlignment="1">
      <alignment horizontal="center" vertical="center" wrapText="1"/>
      <protection/>
    </xf>
    <xf numFmtId="0" fontId="22" fillId="55" borderId="19" xfId="357" applyFont="1" applyFill="1" applyBorder="1">
      <alignment/>
      <protection/>
    </xf>
    <xf numFmtId="0" fontId="22" fillId="55" borderId="21" xfId="357" applyFont="1" applyFill="1" applyBorder="1">
      <alignment/>
      <protection/>
    </xf>
    <xf numFmtId="0" fontId="2" fillId="55" borderId="0" xfId="345" applyFill="1">
      <alignment/>
      <protection/>
    </xf>
    <xf numFmtId="0" fontId="2" fillId="55" borderId="0" xfId="345" applyFont="1" applyFill="1">
      <alignment/>
      <protection/>
    </xf>
    <xf numFmtId="0" fontId="2" fillId="55" borderId="0" xfId="345" applyFont="1" applyFill="1" applyAlignment="1">
      <alignment horizontal="center" vertical="center"/>
      <protection/>
    </xf>
    <xf numFmtId="0" fontId="2" fillId="55" borderId="0" xfId="345" applyFont="1" applyFill="1" applyAlignment="1">
      <alignment/>
      <protection/>
    </xf>
    <xf numFmtId="0" fontId="2" fillId="55" borderId="0" xfId="345" applyFont="1" applyFill="1" applyAlignment="1">
      <alignment horizontal="center"/>
      <protection/>
    </xf>
    <xf numFmtId="0" fontId="2" fillId="55" borderId="0" xfId="367" applyFont="1" applyFill="1" applyBorder="1" applyAlignment="1" applyProtection="1">
      <alignment horizontal="center"/>
      <protection/>
    </xf>
    <xf numFmtId="0" fontId="103" fillId="55" borderId="0" xfId="367" applyFont="1" applyFill="1" applyBorder="1" applyAlignment="1" applyProtection="1">
      <alignment horizontal="right"/>
      <protection/>
    </xf>
    <xf numFmtId="0" fontId="2" fillId="55" borderId="0" xfId="367" applyFont="1" applyFill="1" applyBorder="1" applyAlignment="1" applyProtection="1">
      <alignment/>
      <protection/>
    </xf>
    <xf numFmtId="0" fontId="22" fillId="55" borderId="0" xfId="367" applyFont="1" applyFill="1" applyBorder="1" applyAlignment="1" applyProtection="1">
      <alignment horizontal="center"/>
      <protection/>
    </xf>
    <xf numFmtId="0" fontId="103" fillId="55" borderId="0" xfId="367" applyFont="1" applyFill="1" applyBorder="1" applyAlignment="1" applyProtection="1">
      <alignment horizontal="center"/>
      <protection/>
    </xf>
    <xf numFmtId="0" fontId="103" fillId="55" borderId="0" xfId="367" applyFont="1" applyFill="1" applyBorder="1" applyProtection="1">
      <alignment/>
      <protection/>
    </xf>
    <xf numFmtId="0" fontId="2" fillId="55" borderId="0" xfId="367" applyFont="1" applyFill="1" applyBorder="1" applyProtection="1">
      <alignment/>
      <protection/>
    </xf>
    <xf numFmtId="0" fontId="2" fillId="55" borderId="0" xfId="367" applyFont="1" applyFill="1" applyBorder="1" applyAlignment="1" applyProtection="1">
      <alignment horizontal="center" vertical="center"/>
      <protection/>
    </xf>
    <xf numFmtId="0" fontId="104" fillId="55" borderId="0" xfId="367" applyFont="1" applyFill="1" applyBorder="1" applyAlignment="1" applyProtection="1">
      <alignment horizontal="center"/>
      <protection/>
    </xf>
    <xf numFmtId="0" fontId="22" fillId="55" borderId="0" xfId="367" applyFont="1" applyFill="1" applyBorder="1" applyProtection="1">
      <alignment/>
      <protection/>
    </xf>
    <xf numFmtId="0" fontId="2" fillId="55" borderId="0" xfId="357" applyFont="1" applyFill="1">
      <alignment/>
      <protection/>
    </xf>
    <xf numFmtId="0" fontId="22" fillId="55" borderId="22" xfId="367" applyFont="1" applyFill="1" applyBorder="1" applyAlignment="1" applyProtection="1">
      <alignment horizontal="center" vertical="center"/>
      <protection/>
    </xf>
    <xf numFmtId="0" fontId="22" fillId="55" borderId="22" xfId="367" applyFont="1" applyFill="1" applyBorder="1" applyAlignment="1" applyProtection="1">
      <alignment horizontal="left" vertical="center"/>
      <protection/>
    </xf>
    <xf numFmtId="0" fontId="22" fillId="55" borderId="22" xfId="367" applyFont="1" applyFill="1" applyBorder="1" applyAlignment="1" applyProtection="1">
      <alignment vertical="center"/>
      <protection/>
    </xf>
    <xf numFmtId="0" fontId="2" fillId="55" borderId="0" xfId="345" applyFont="1" applyFill="1" applyAlignment="1">
      <alignment wrapText="1"/>
      <protection/>
    </xf>
    <xf numFmtId="0" fontId="2" fillId="55" borderId="0" xfId="361" applyFont="1" applyFill="1" applyBorder="1" applyAlignment="1">
      <alignment horizontal="center"/>
      <protection/>
    </xf>
    <xf numFmtId="0" fontId="24" fillId="55" borderId="0" xfId="357" applyFont="1" applyFill="1" applyBorder="1">
      <alignment/>
      <protection/>
    </xf>
    <xf numFmtId="0" fontId="24" fillId="55" borderId="0" xfId="357" applyFont="1" applyFill="1" applyBorder="1" applyAlignment="1">
      <alignment/>
      <protection/>
    </xf>
    <xf numFmtId="0" fontId="92" fillId="55" borderId="0" xfId="286" applyFont="1" applyFill="1" applyAlignment="1" applyProtection="1">
      <alignment/>
      <protection/>
    </xf>
    <xf numFmtId="0" fontId="92" fillId="55" borderId="0" xfId="286" applyFont="1" applyFill="1" applyBorder="1" applyAlignment="1" applyProtection="1">
      <alignment horizontal="right"/>
      <protection/>
    </xf>
    <xf numFmtId="0" fontId="92"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5" fillId="56" borderId="22" xfId="0" applyFont="1" applyFill="1" applyBorder="1" applyAlignment="1">
      <alignment vertical="center"/>
    </xf>
    <xf numFmtId="0" fontId="105" fillId="56" borderId="22" xfId="0" applyFont="1" applyFill="1" applyBorder="1" applyAlignment="1">
      <alignment horizontal="center" vertical="center" wrapText="1"/>
    </xf>
    <xf numFmtId="3" fontId="106" fillId="55" borderId="23" xfId="0" applyNumberFormat="1" applyFont="1" applyFill="1" applyBorder="1" applyAlignment="1">
      <alignment horizontal="center"/>
    </xf>
    <xf numFmtId="0" fontId="22" fillId="55" borderId="0" xfId="367" applyFont="1" applyFill="1" applyBorder="1" applyAlignment="1" applyProtection="1">
      <alignment horizontal="center" vertical="center"/>
      <protection/>
    </xf>
    <xf numFmtId="0" fontId="22" fillId="55" borderId="0" xfId="357" applyFont="1" applyFill="1" applyBorder="1" applyAlignment="1">
      <alignment horizontal="center"/>
      <protection/>
    </xf>
    <xf numFmtId="0" fontId="106" fillId="55" borderId="0" xfId="0" applyFont="1" applyFill="1" applyAlignment="1">
      <alignment/>
    </xf>
    <xf numFmtId="3" fontId="105" fillId="55" borderId="24" xfId="0" applyNumberFormat="1" applyFont="1" applyFill="1" applyBorder="1" applyAlignment="1" quotePrefix="1">
      <alignment horizontal="center" vertical="center" wrapText="1"/>
    </xf>
    <xf numFmtId="3" fontId="105" fillId="55" borderId="25" xfId="0" applyNumberFormat="1" applyFont="1" applyFill="1" applyBorder="1" applyAlignment="1" quotePrefix="1">
      <alignment horizontal="center" vertical="center" wrapText="1"/>
    </xf>
    <xf numFmtId="175" fontId="105" fillId="55" borderId="25" xfId="0" applyNumberFormat="1" applyFont="1" applyFill="1" applyBorder="1" applyAlignment="1">
      <alignment horizontal="center" vertical="center" wrapText="1"/>
    </xf>
    <xf numFmtId="3" fontId="105" fillId="55" borderId="25" xfId="0" applyNumberFormat="1" applyFont="1" applyFill="1" applyBorder="1" applyAlignment="1">
      <alignment horizontal="center" vertical="center" wrapText="1"/>
    </xf>
    <xf numFmtId="175" fontId="105" fillId="55" borderId="26" xfId="0" applyNumberFormat="1" applyFont="1" applyFill="1" applyBorder="1" applyAlignment="1">
      <alignment horizontal="center" vertical="center" wrapText="1"/>
    </xf>
    <xf numFmtId="3" fontId="106" fillId="55" borderId="24" xfId="0" applyNumberFormat="1" applyFont="1" applyFill="1" applyBorder="1" applyAlignment="1">
      <alignment/>
    </xf>
    <xf numFmtId="3" fontId="106" fillId="55" borderId="25" xfId="0" applyNumberFormat="1" applyFont="1" applyFill="1" applyBorder="1" applyAlignment="1">
      <alignment/>
    </xf>
    <xf numFmtId="175" fontId="106" fillId="55" borderId="26" xfId="0" applyNumberFormat="1" applyFont="1" applyFill="1" applyBorder="1" applyAlignment="1">
      <alignment horizontal="right"/>
    </xf>
    <xf numFmtId="3" fontId="106" fillId="55" borderId="0" xfId="0" applyNumberFormat="1" applyFont="1" applyFill="1" applyAlignment="1">
      <alignment/>
    </xf>
    <xf numFmtId="3" fontId="106" fillId="55" borderId="27" xfId="0" applyNumberFormat="1" applyFont="1" applyFill="1" applyBorder="1" applyAlignment="1">
      <alignment/>
    </xf>
    <xf numFmtId="3" fontId="106" fillId="55" borderId="0" xfId="0" applyNumberFormat="1" applyFont="1" applyFill="1" applyBorder="1" applyAlignment="1">
      <alignment/>
    </xf>
    <xf numFmtId="175" fontId="106" fillId="55" borderId="28" xfId="0" applyNumberFormat="1" applyFont="1" applyFill="1" applyBorder="1" applyAlignment="1">
      <alignment horizontal="right"/>
    </xf>
    <xf numFmtId="0" fontId="92" fillId="55" borderId="0" xfId="286" applyFont="1" applyFill="1" applyAlignment="1">
      <alignment/>
    </xf>
    <xf numFmtId="175" fontId="2" fillId="55" borderId="0" xfId="357" applyNumberFormat="1" applyFont="1" applyFill="1" applyBorder="1">
      <alignment/>
      <protection/>
    </xf>
    <xf numFmtId="0" fontId="2" fillId="55" borderId="0" xfId="357" applyFont="1" applyFill="1" applyBorder="1" applyAlignment="1">
      <alignment/>
      <protection/>
    </xf>
    <xf numFmtId="0" fontId="24" fillId="55" borderId="0" xfId="357" applyFont="1" applyFill="1">
      <alignment/>
      <protection/>
    </xf>
    <xf numFmtId="0" fontId="25" fillId="55" borderId="0" xfId="357" applyFont="1" applyFill="1">
      <alignment/>
      <protection/>
    </xf>
    <xf numFmtId="3" fontId="2" fillId="55" borderId="0" xfId="357" applyNumberFormat="1" applyFont="1" applyFill="1" applyBorder="1">
      <alignment/>
      <protection/>
    </xf>
    <xf numFmtId="3" fontId="2" fillId="55" borderId="0" xfId="357" applyNumberFormat="1" applyFont="1" applyFill="1">
      <alignment/>
      <protection/>
    </xf>
    <xf numFmtId="179" fontId="2" fillId="55" borderId="0" xfId="357" applyNumberFormat="1" applyFont="1" applyFill="1">
      <alignment/>
      <protection/>
    </xf>
    <xf numFmtId="178" fontId="2" fillId="55" borderId="0" xfId="357" applyNumberFormat="1" applyFont="1" applyFill="1">
      <alignment/>
      <protection/>
    </xf>
    <xf numFmtId="3" fontId="107" fillId="0" borderId="0" xfId="0" applyNumberFormat="1" applyFont="1" applyAlignment="1">
      <alignment/>
    </xf>
    <xf numFmtId="0" fontId="108" fillId="55" borderId="0" xfId="0" applyFont="1" applyFill="1" applyAlignment="1">
      <alignment/>
    </xf>
    <xf numFmtId="14" fontId="106" fillId="55" borderId="23" xfId="0" applyNumberFormat="1" applyFont="1" applyFill="1" applyBorder="1" applyAlignment="1">
      <alignment horizontal="left"/>
    </xf>
    <xf numFmtId="0" fontId="106" fillId="55" borderId="0" xfId="0" applyFont="1" applyFill="1" applyAlignment="1">
      <alignment horizontal="center"/>
    </xf>
    <xf numFmtId="0" fontId="105" fillId="55" borderId="22" xfId="0" applyFont="1" applyFill="1" applyBorder="1" applyAlignment="1">
      <alignment vertical="center"/>
    </xf>
    <xf numFmtId="0" fontId="105" fillId="55" borderId="22" xfId="0" applyFont="1" applyFill="1" applyBorder="1" applyAlignment="1">
      <alignment horizontal="center" vertical="center"/>
    </xf>
    <xf numFmtId="0" fontId="109" fillId="55" borderId="0" xfId="0" applyFont="1" applyFill="1" applyAlignment="1">
      <alignment horizontal="center" vertical="center" readingOrder="1"/>
    </xf>
    <xf numFmtId="0" fontId="2" fillId="55" borderId="27" xfId="357" applyFont="1" applyFill="1" applyBorder="1">
      <alignment/>
      <protection/>
    </xf>
    <xf numFmtId="3" fontId="105" fillId="55" borderId="29" xfId="0" applyNumberFormat="1" applyFont="1" applyFill="1" applyBorder="1" applyAlignment="1">
      <alignment/>
    </xf>
    <xf numFmtId="3" fontId="105" fillId="55" borderId="22" xfId="0" applyNumberFormat="1" applyFont="1" applyFill="1" applyBorder="1" applyAlignment="1">
      <alignment/>
    </xf>
    <xf numFmtId="175" fontId="105" fillId="55" borderId="30" xfId="0" applyNumberFormat="1" applyFont="1" applyFill="1" applyBorder="1" applyAlignment="1">
      <alignment horizontal="right"/>
    </xf>
    <xf numFmtId="3" fontId="105" fillId="55" borderId="24" xfId="0" applyNumberFormat="1" applyFont="1" applyFill="1" applyBorder="1" applyAlignment="1">
      <alignment/>
    </xf>
    <xf numFmtId="3" fontId="105" fillId="55" borderId="25" xfId="0" applyNumberFormat="1" applyFont="1" applyFill="1" applyBorder="1" applyAlignment="1">
      <alignment/>
    </xf>
    <xf numFmtId="175" fontId="105" fillId="55" borderId="26" xfId="0" applyNumberFormat="1" applyFont="1" applyFill="1" applyBorder="1" applyAlignment="1">
      <alignment horizontal="right"/>
    </xf>
    <xf numFmtId="0" fontId="106" fillId="55" borderId="25" xfId="0" applyFont="1" applyFill="1" applyBorder="1" applyAlignment="1">
      <alignment/>
    </xf>
    <xf numFmtId="0" fontId="106" fillId="55" borderId="0" xfId="0" applyFont="1" applyFill="1" applyBorder="1" applyAlignment="1">
      <alignment/>
    </xf>
    <xf numFmtId="0" fontId="106" fillId="55" borderId="31" xfId="0" applyFont="1" applyFill="1" applyBorder="1" applyAlignment="1">
      <alignment/>
    </xf>
    <xf numFmtId="0" fontId="110" fillId="55" borderId="0" xfId="286" applyFont="1" applyFill="1" applyAlignment="1">
      <alignment/>
    </xf>
    <xf numFmtId="0" fontId="28" fillId="55" borderId="25" xfId="357" applyFont="1" applyFill="1" applyBorder="1" applyAlignment="1">
      <alignment horizontal="center" vertical="center" wrapText="1"/>
      <protection/>
    </xf>
    <xf numFmtId="0" fontId="28" fillId="55" borderId="23" xfId="357" applyFont="1" applyFill="1" applyBorder="1" applyAlignment="1">
      <alignment horizontal="center" vertical="center" wrapText="1"/>
      <protection/>
    </xf>
    <xf numFmtId="3" fontId="2" fillId="55" borderId="0" xfId="357" applyNumberFormat="1" applyFont="1" applyFill="1" applyBorder="1" applyAlignment="1">
      <alignment horizontal="center"/>
      <protection/>
    </xf>
    <xf numFmtId="0" fontId="2" fillId="55" borderId="0" xfId="357" applyFont="1" applyFill="1" applyBorder="1" applyAlignment="1">
      <alignment horizontal="center"/>
      <protection/>
    </xf>
    <xf numFmtId="3" fontId="2" fillId="55" borderId="0" xfId="361" applyNumberFormat="1" applyFont="1" applyFill="1" applyBorder="1" applyAlignment="1">
      <alignment horizontal="center"/>
      <protection/>
    </xf>
    <xf numFmtId="3" fontId="2" fillId="55" borderId="23" xfId="357" applyNumberFormat="1" applyFont="1" applyFill="1" applyBorder="1" applyAlignment="1">
      <alignment horizontal="center"/>
      <protection/>
    </xf>
    <xf numFmtId="0" fontId="0" fillId="55" borderId="0" xfId="0" applyFill="1" applyAlignment="1">
      <alignment/>
    </xf>
    <xf numFmtId="0" fontId="111" fillId="55" borderId="0" xfId="0" applyFont="1" applyFill="1" applyAlignment="1">
      <alignment/>
    </xf>
    <xf numFmtId="0" fontId="111" fillId="55" borderId="0" xfId="353" applyFont="1" applyFill="1">
      <alignment/>
      <protection/>
    </xf>
    <xf numFmtId="0" fontId="0" fillId="55" borderId="0" xfId="0" applyFill="1" applyAlignment="1">
      <alignment horizontal="center" vertical="center"/>
    </xf>
    <xf numFmtId="0" fontId="112" fillId="55" borderId="0" xfId="353" applyFont="1" applyFill="1" applyAlignment="1">
      <alignment vertical="top"/>
      <protection/>
    </xf>
    <xf numFmtId="0" fontId="113" fillId="55" borderId="0" xfId="353" applyFont="1" applyFill="1" applyAlignment="1">
      <alignment horizontal="left" vertical="top"/>
      <protection/>
    </xf>
    <xf numFmtId="17" fontId="114" fillId="55" borderId="0" xfId="353" applyNumberFormat="1" applyFont="1" applyFill="1" applyAlignment="1" quotePrefix="1">
      <alignment vertical="center"/>
      <protection/>
    </xf>
    <xf numFmtId="0" fontId="114" fillId="55" borderId="0" xfId="353" applyFont="1" applyFill="1" applyAlignment="1">
      <alignment vertical="center"/>
      <protection/>
    </xf>
    <xf numFmtId="0" fontId="115" fillId="55" borderId="0" xfId="353" applyFont="1" applyFill="1" applyAlignment="1">
      <alignment horizontal="left" vertical="center"/>
      <protection/>
    </xf>
    <xf numFmtId="3" fontId="2" fillId="55" borderId="27" xfId="357" applyNumberFormat="1" applyFont="1" applyFill="1" applyBorder="1" applyAlignment="1">
      <alignment horizontal="center"/>
      <protection/>
    </xf>
    <xf numFmtId="174" fontId="2" fillId="55" borderId="0" xfId="357" applyNumberFormat="1" applyFont="1" applyFill="1" applyBorder="1" applyAlignment="1">
      <alignment horizontal="center"/>
      <protection/>
    </xf>
    <xf numFmtId="174" fontId="2" fillId="55" borderId="28" xfId="357" applyNumberFormat="1" applyFont="1" applyFill="1" applyBorder="1" applyAlignment="1">
      <alignment horizontal="center"/>
      <protection/>
    </xf>
    <xf numFmtId="0" fontId="22" fillId="55" borderId="29" xfId="357" applyFont="1" applyFill="1" applyBorder="1" applyAlignment="1">
      <alignment horizontal="center"/>
      <protection/>
    </xf>
    <xf numFmtId="0" fontId="22" fillId="55" borderId="22" xfId="357" applyFont="1" applyFill="1" applyBorder="1" applyAlignment="1">
      <alignment horizontal="center"/>
      <protection/>
    </xf>
    <xf numFmtId="0" fontId="22" fillId="55" borderId="30" xfId="357" applyFont="1" applyFill="1" applyBorder="1" applyAlignment="1">
      <alignment horizontal="center"/>
      <protection/>
    </xf>
    <xf numFmtId="3" fontId="2" fillId="55" borderId="0" xfId="304" applyNumberFormat="1" applyFont="1" applyFill="1" applyBorder="1" applyAlignment="1">
      <alignment horizontal="center" vertical="center"/>
    </xf>
    <xf numFmtId="3" fontId="2" fillId="55" borderId="20" xfId="304" applyNumberFormat="1" applyFont="1" applyFill="1" applyBorder="1" applyAlignment="1">
      <alignment horizontal="center" vertical="center" wrapText="1"/>
    </xf>
    <xf numFmtId="175" fontId="2" fillId="55" borderId="0" xfId="304" applyNumberFormat="1" applyFont="1" applyFill="1" applyBorder="1" applyAlignment="1">
      <alignment horizontal="center" vertical="center" wrapText="1"/>
    </xf>
    <xf numFmtId="175" fontId="2" fillId="55" borderId="0" xfId="357" applyNumberFormat="1" applyFont="1" applyFill="1" applyBorder="1" applyAlignment="1">
      <alignment horizontal="center"/>
      <protection/>
    </xf>
    <xf numFmtId="0" fontId="2" fillId="55" borderId="0" xfId="345" applyFont="1" applyFill="1" applyBorder="1">
      <alignment/>
      <protection/>
    </xf>
    <xf numFmtId="0" fontId="105" fillId="55" borderId="22" xfId="0" applyFont="1" applyFill="1" applyBorder="1" applyAlignment="1">
      <alignment horizontal="center" vertical="center" wrapText="1"/>
    </xf>
    <xf numFmtId="175" fontId="2" fillId="55" borderId="0" xfId="304" applyNumberFormat="1" applyFont="1" applyFill="1" applyBorder="1" applyAlignment="1">
      <alignment horizontal="center" vertical="center"/>
    </xf>
    <xf numFmtId="0" fontId="106" fillId="55" borderId="32" xfId="0" applyFont="1" applyFill="1" applyBorder="1" applyAlignment="1">
      <alignment/>
    </xf>
    <xf numFmtId="180" fontId="106" fillId="55" borderId="0" xfId="0" applyNumberFormat="1" applyFont="1" applyFill="1" applyAlignment="1">
      <alignment horizontal="left"/>
    </xf>
    <xf numFmtId="10" fontId="2" fillId="55" borderId="0" xfId="377" applyNumberFormat="1" applyFont="1" applyFill="1" applyAlignment="1">
      <alignment/>
    </xf>
    <xf numFmtId="3" fontId="105" fillId="0" borderId="25" xfId="0" applyNumberFormat="1" applyFont="1" applyFill="1" applyBorder="1" applyAlignment="1">
      <alignment/>
    </xf>
    <xf numFmtId="14" fontId="106" fillId="55" borderId="33" xfId="0" applyNumberFormat="1" applyFont="1" applyFill="1" applyBorder="1" applyAlignment="1">
      <alignment horizontal="left"/>
    </xf>
    <xf numFmtId="3" fontId="106" fillId="55" borderId="33" xfId="0" applyNumberFormat="1" applyFont="1" applyFill="1" applyBorder="1" applyAlignment="1">
      <alignment horizontal="center"/>
    </xf>
    <xf numFmtId="14" fontId="106" fillId="55" borderId="34" xfId="0" applyNumberFormat="1" applyFont="1" applyFill="1" applyBorder="1" applyAlignment="1">
      <alignment horizontal="left"/>
    </xf>
    <xf numFmtId="3" fontId="106" fillId="55" borderId="34" xfId="0" applyNumberFormat="1" applyFont="1" applyFill="1" applyBorder="1" applyAlignment="1">
      <alignment horizontal="center"/>
    </xf>
    <xf numFmtId="180" fontId="106" fillId="55" borderId="35" xfId="0" applyNumberFormat="1" applyFont="1" applyFill="1" applyBorder="1" applyAlignment="1">
      <alignment horizontal="left"/>
    </xf>
    <xf numFmtId="180" fontId="106" fillId="55" borderId="33" xfId="0" applyNumberFormat="1" applyFont="1" applyFill="1" applyBorder="1" applyAlignment="1">
      <alignment horizontal="left"/>
    </xf>
    <xf numFmtId="0" fontId="2" fillId="55" borderId="36" xfId="357" applyFont="1" applyFill="1" applyBorder="1">
      <alignment/>
      <protection/>
    </xf>
    <xf numFmtId="0" fontId="2" fillId="55" borderId="34" xfId="357" applyFont="1" applyFill="1" applyBorder="1">
      <alignment/>
      <protection/>
    </xf>
    <xf numFmtId="0" fontId="26" fillId="55" borderId="0" xfId="0" applyFont="1" applyFill="1" applyAlignment="1">
      <alignment/>
    </xf>
    <xf numFmtId="0" fontId="2" fillId="55" borderId="23" xfId="357" applyFont="1" applyFill="1" applyBorder="1" applyAlignment="1">
      <alignment horizontal="center"/>
      <protection/>
    </xf>
    <xf numFmtId="0" fontId="105" fillId="55" borderId="0" xfId="353" applyFont="1" applyFill="1" applyAlignment="1">
      <alignment horizontal="center"/>
      <protection/>
    </xf>
    <xf numFmtId="0" fontId="22" fillId="55" borderId="0" xfId="357" applyFont="1" applyFill="1" applyBorder="1" applyAlignment="1">
      <alignment horizontal="center"/>
      <protection/>
    </xf>
    <xf numFmtId="0" fontId="24" fillId="55" borderId="0" xfId="357" applyFont="1" applyFill="1" applyBorder="1" applyAlignment="1">
      <alignment vertical="center" wrapText="1"/>
      <protection/>
    </xf>
    <xf numFmtId="0" fontId="22" fillId="55" borderId="20" xfId="357" applyFont="1" applyFill="1" applyBorder="1" applyAlignment="1">
      <alignment horizontal="center" vertical="center" wrapText="1"/>
      <protection/>
    </xf>
    <xf numFmtId="0" fontId="22" fillId="55" borderId="19" xfId="357" applyFont="1" applyFill="1" applyBorder="1" applyAlignment="1">
      <alignment horizontal="center" vertical="center" wrapText="1"/>
      <protection/>
    </xf>
    <xf numFmtId="17" fontId="116" fillId="55" borderId="0" xfId="353" applyNumberFormat="1" applyFont="1" applyFill="1" applyAlignment="1">
      <alignment vertical="center"/>
      <protection/>
    </xf>
    <xf numFmtId="0" fontId="0" fillId="55" borderId="0" xfId="0" applyFont="1" applyFill="1" applyAlignment="1">
      <alignment/>
    </xf>
    <xf numFmtId="0" fontId="117" fillId="55" borderId="0" xfId="353" applyFont="1" applyFill="1" applyAlignment="1">
      <alignment horizontal="center"/>
      <protection/>
    </xf>
    <xf numFmtId="0" fontId="111" fillId="55" borderId="0" xfId="353" applyFont="1" applyFill="1" applyAlignment="1">
      <alignment horizontal="center"/>
      <protection/>
    </xf>
    <xf numFmtId="0" fontId="117" fillId="55" borderId="0" xfId="353" applyFont="1" applyFill="1" applyAlignment="1">
      <alignment/>
      <protection/>
    </xf>
    <xf numFmtId="0" fontId="111" fillId="55" borderId="0" xfId="353"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17" fillId="55" borderId="0" xfId="353" applyFont="1" applyFill="1" applyAlignment="1">
      <alignment vertical="center"/>
      <protection/>
    </xf>
    <xf numFmtId="0" fontId="105" fillId="55" borderId="0" xfId="0" applyFont="1" applyFill="1" applyBorder="1" applyAlignment="1">
      <alignment horizontal="center"/>
    </xf>
    <xf numFmtId="175" fontId="105" fillId="55" borderId="0" xfId="0" applyNumberFormat="1" applyFont="1" applyFill="1" applyBorder="1" applyAlignment="1">
      <alignment horizontal="center" vertical="center" wrapText="1"/>
    </xf>
    <xf numFmtId="175" fontId="106" fillId="55" borderId="0" xfId="0" applyNumberFormat="1" applyFont="1" applyFill="1" applyBorder="1" applyAlignment="1">
      <alignment horizontal="right"/>
    </xf>
    <xf numFmtId="175" fontId="105" fillId="55" borderId="0" xfId="0" applyNumberFormat="1" applyFont="1" applyFill="1" applyBorder="1" applyAlignment="1">
      <alignment horizontal="right"/>
    </xf>
    <xf numFmtId="0" fontId="108" fillId="55" borderId="0" xfId="0" applyFont="1" applyFill="1" applyBorder="1" applyAlignment="1">
      <alignment horizontal="left"/>
    </xf>
    <xf numFmtId="0" fontId="24" fillId="55" borderId="0" xfId="0" applyFont="1" applyFill="1" applyBorder="1" applyAlignment="1">
      <alignment horizontal="left" vertical="center" wrapText="1"/>
    </xf>
    <xf numFmtId="0" fontId="105" fillId="56" borderId="0" xfId="0" applyFont="1" applyFill="1" applyBorder="1" applyAlignment="1">
      <alignment horizontal="center" vertical="center" wrapText="1"/>
    </xf>
    <xf numFmtId="3" fontId="106" fillId="55" borderId="0" xfId="0" applyNumberFormat="1" applyFont="1" applyFill="1" applyBorder="1" applyAlignment="1">
      <alignment horizontal="center"/>
    </xf>
    <xf numFmtId="0" fontId="28" fillId="55" borderId="0" xfId="357" applyFont="1" applyFill="1" applyBorder="1" applyAlignment="1">
      <alignment horizontal="center" vertical="center" wrapText="1"/>
      <protection/>
    </xf>
    <xf numFmtId="0" fontId="2" fillId="55" borderId="0" xfId="357" applyFont="1" applyFill="1" applyBorder="1" applyAlignment="1">
      <alignment wrapText="1"/>
      <protection/>
    </xf>
    <xf numFmtId="3" fontId="2" fillId="55" borderId="0" xfId="357" applyNumberFormat="1" applyFont="1" applyFill="1" applyBorder="1" applyAlignment="1">
      <alignment wrapText="1"/>
      <protection/>
    </xf>
    <xf numFmtId="0" fontId="2" fillId="55" borderId="0" xfId="357" applyFont="1" applyFill="1" applyAlignment="1">
      <alignment wrapText="1"/>
      <protection/>
    </xf>
    <xf numFmtId="0" fontId="2" fillId="55" borderId="20" xfId="357" applyFont="1" applyFill="1" applyBorder="1" applyAlignment="1">
      <alignment horizontal="center" wrapText="1"/>
      <protection/>
    </xf>
    <xf numFmtId="3" fontId="2" fillId="55" borderId="20" xfId="357" applyNumberFormat="1" applyFont="1" applyFill="1" applyBorder="1" applyAlignment="1">
      <alignment horizontal="center" wrapText="1"/>
      <protection/>
    </xf>
    <xf numFmtId="0" fontId="2" fillId="55" borderId="0" xfId="357" applyFont="1" applyFill="1" applyBorder="1" applyAlignment="1">
      <alignment horizontal="center" wrapText="1"/>
      <protection/>
    </xf>
    <xf numFmtId="3" fontId="2" fillId="55" borderId="0" xfId="357" applyNumberFormat="1" applyFont="1" applyFill="1" applyBorder="1" applyAlignment="1">
      <alignment horizontal="center" wrapText="1"/>
      <protection/>
    </xf>
    <xf numFmtId="0" fontId="2" fillId="55" borderId="23" xfId="357" applyFont="1" applyFill="1" applyBorder="1" applyAlignment="1">
      <alignment horizontal="center" wrapText="1"/>
      <protection/>
    </xf>
    <xf numFmtId="3" fontId="2" fillId="55" borderId="23" xfId="357" applyNumberFormat="1" applyFont="1" applyFill="1" applyBorder="1" applyAlignment="1">
      <alignment horizontal="center" wrapText="1"/>
      <protection/>
    </xf>
    <xf numFmtId="0" fontId="117" fillId="55" borderId="0" xfId="353" applyFont="1" applyFill="1" applyAlignment="1">
      <alignment horizontal="center"/>
      <protection/>
    </xf>
    <xf numFmtId="0" fontId="105" fillId="55" borderId="29" xfId="0" applyFont="1" applyFill="1" applyBorder="1" applyAlignment="1">
      <alignment/>
    </xf>
    <xf numFmtId="0" fontId="105" fillId="55" borderId="30" xfId="0" applyFont="1" applyFill="1" applyBorder="1" applyAlignment="1">
      <alignment/>
    </xf>
    <xf numFmtId="0" fontId="105" fillId="55" borderId="29" xfId="0" applyFont="1" applyFill="1" applyBorder="1" applyAlignment="1">
      <alignment horizontal="left" vertical="center"/>
    </xf>
    <xf numFmtId="0" fontId="105" fillId="55" borderId="30" xfId="0" applyFont="1" applyFill="1" applyBorder="1" applyAlignment="1">
      <alignment horizontal="left" vertical="center"/>
    </xf>
    <xf numFmtId="0" fontId="2" fillId="0" borderId="0" xfId="357" applyFont="1" applyFill="1">
      <alignment/>
      <protection/>
    </xf>
    <xf numFmtId="3" fontId="2" fillId="0" borderId="0" xfId="357" applyNumberFormat="1" applyFont="1" applyFill="1">
      <alignment/>
      <protection/>
    </xf>
    <xf numFmtId="17" fontId="2" fillId="0" borderId="0" xfId="357" applyNumberFormat="1" applyFont="1" applyFill="1">
      <alignment/>
      <protection/>
    </xf>
    <xf numFmtId="181" fontId="2" fillId="55" borderId="0" xfId="377" applyNumberFormat="1" applyFont="1" applyFill="1" applyAlignment="1">
      <alignment/>
    </xf>
    <xf numFmtId="0" fontId="24" fillId="55" borderId="0" xfId="357" applyNumberFormat="1" applyFont="1" applyFill="1" applyBorder="1" applyAlignment="1">
      <alignment/>
      <protection/>
    </xf>
    <xf numFmtId="0" fontId="111" fillId="55" borderId="0" xfId="353" applyFont="1" applyFill="1" applyAlignment="1">
      <alignment wrapText="1"/>
      <protection/>
    </xf>
    <xf numFmtId="17" fontId="111" fillId="55" borderId="0" xfId="353" applyNumberFormat="1" applyFont="1" applyFill="1" applyAlignment="1" quotePrefix="1">
      <alignment horizontal="center"/>
      <protection/>
    </xf>
    <xf numFmtId="175" fontId="2" fillId="55" borderId="23" xfId="357" applyNumberFormat="1" applyFont="1" applyFill="1" applyBorder="1" applyAlignment="1">
      <alignment horizontal="center"/>
      <protection/>
    </xf>
    <xf numFmtId="0" fontId="22" fillId="55" borderId="24" xfId="357" applyFont="1" applyFill="1" applyBorder="1">
      <alignment/>
      <protection/>
    </xf>
    <xf numFmtId="0" fontId="22" fillId="55" borderId="37" xfId="357" applyFont="1" applyFill="1" applyBorder="1">
      <alignment/>
      <protection/>
    </xf>
    <xf numFmtId="3" fontId="22" fillId="55" borderId="24" xfId="357" applyNumberFormat="1" applyFont="1" applyFill="1" applyBorder="1" applyAlignment="1">
      <alignment horizontal="center"/>
      <protection/>
    </xf>
    <xf numFmtId="3" fontId="22" fillId="55" borderId="25" xfId="357" applyNumberFormat="1" applyFont="1" applyFill="1" applyBorder="1" applyAlignment="1">
      <alignment horizontal="center"/>
      <protection/>
    </xf>
    <xf numFmtId="177" fontId="22" fillId="55" borderId="25" xfId="357" applyNumberFormat="1" applyFont="1" applyFill="1" applyBorder="1" applyAlignment="1">
      <alignment horizontal="center"/>
      <protection/>
    </xf>
    <xf numFmtId="174" fontId="22" fillId="55" borderId="26" xfId="357" applyNumberFormat="1" applyFont="1" applyFill="1" applyBorder="1" applyAlignment="1">
      <alignment horizontal="center"/>
      <protection/>
    </xf>
    <xf numFmtId="174" fontId="22" fillId="55" borderId="25" xfId="357" applyNumberFormat="1" applyFont="1" applyFill="1" applyBorder="1" applyAlignment="1">
      <alignment horizontal="center"/>
      <protection/>
    </xf>
    <xf numFmtId="3" fontId="22" fillId="55" borderId="37" xfId="357" applyNumberFormat="1" applyFont="1" applyFill="1" applyBorder="1" applyAlignment="1">
      <alignment horizontal="center"/>
      <protection/>
    </xf>
    <xf numFmtId="3" fontId="22" fillId="55" borderId="23" xfId="357" applyNumberFormat="1" applyFont="1" applyFill="1" applyBorder="1" applyAlignment="1">
      <alignment horizontal="center"/>
      <protection/>
    </xf>
    <xf numFmtId="177" fontId="22" fillId="55" borderId="23" xfId="357" applyNumberFormat="1" applyFont="1" applyFill="1" applyBorder="1" applyAlignment="1">
      <alignment horizontal="center"/>
      <protection/>
    </xf>
    <xf numFmtId="174" fontId="22" fillId="55" borderId="38" xfId="357" applyNumberFormat="1" applyFont="1" applyFill="1" applyBorder="1" applyAlignment="1">
      <alignment horizontal="center"/>
      <protection/>
    </xf>
    <xf numFmtId="174" fontId="22" fillId="55" borderId="23" xfId="357" applyNumberFormat="1" applyFont="1" applyFill="1" applyBorder="1" applyAlignment="1">
      <alignment horizontal="center"/>
      <protection/>
    </xf>
    <xf numFmtId="0" fontId="22" fillId="55" borderId="0" xfId="357" applyFont="1" applyFill="1" applyBorder="1" applyAlignment="1">
      <alignment horizontal="center" vertical="center"/>
      <protection/>
    </xf>
    <xf numFmtId="0" fontId="106" fillId="55" borderId="26" xfId="0" applyFont="1" applyFill="1" applyBorder="1" applyAlignment="1">
      <alignment/>
    </xf>
    <xf numFmtId="0" fontId="106" fillId="55" borderId="28" xfId="0" applyFont="1" applyFill="1" applyBorder="1" applyAlignment="1">
      <alignment/>
    </xf>
    <xf numFmtId="0" fontId="22" fillId="55" borderId="0" xfId="357" applyFont="1" applyFill="1" applyBorder="1" applyAlignment="1">
      <alignment/>
      <protection/>
    </xf>
    <xf numFmtId="182" fontId="2" fillId="55" borderId="0" xfId="357" applyNumberFormat="1" applyFont="1" applyFill="1">
      <alignment/>
      <protection/>
    </xf>
    <xf numFmtId="0" fontId="108" fillId="55" borderId="37" xfId="0" applyFont="1" applyFill="1" applyBorder="1" applyAlignment="1">
      <alignment horizontal="left"/>
    </xf>
    <xf numFmtId="0" fontId="108" fillId="55" borderId="23" xfId="0" applyFont="1" applyFill="1" applyBorder="1" applyAlignment="1">
      <alignment horizontal="left"/>
    </xf>
    <xf numFmtId="0" fontId="108" fillId="55" borderId="38" xfId="0" applyFont="1" applyFill="1" applyBorder="1" applyAlignment="1">
      <alignment horizontal="left"/>
    </xf>
    <xf numFmtId="0" fontId="24" fillId="55" borderId="0" xfId="361" applyFont="1" applyFill="1" applyBorder="1" applyAlignment="1">
      <alignment vertical="center" wrapText="1"/>
      <protection/>
    </xf>
    <xf numFmtId="0" fontId="118" fillId="55" borderId="0" xfId="0" applyFont="1" applyFill="1" applyAlignment="1" quotePrefix="1">
      <alignment horizontal="center"/>
    </xf>
    <xf numFmtId="183" fontId="2" fillId="55" borderId="0" xfId="357" applyNumberFormat="1" applyFont="1" applyFill="1">
      <alignment/>
      <protection/>
    </xf>
    <xf numFmtId="0" fontId="22" fillId="55" borderId="0" xfId="357" applyFont="1" applyFill="1" applyBorder="1" applyAlignment="1">
      <alignment horizontal="center"/>
      <protection/>
    </xf>
    <xf numFmtId="9" fontId="2" fillId="55" borderId="0" xfId="377" applyFont="1" applyFill="1" applyAlignment="1">
      <alignment/>
    </xf>
    <xf numFmtId="0" fontId="119" fillId="55" borderId="0" xfId="357" applyFont="1" applyFill="1">
      <alignment/>
      <protection/>
    </xf>
    <xf numFmtId="3" fontId="120" fillId="55" borderId="0" xfId="357" applyNumberFormat="1" applyFont="1" applyFill="1">
      <alignment/>
      <protection/>
    </xf>
    <xf numFmtId="0" fontId="24" fillId="55" borderId="25" xfId="361" applyFont="1" applyFill="1" applyBorder="1" applyAlignment="1">
      <alignment horizontal="left" vertical="center" wrapText="1"/>
      <protection/>
    </xf>
    <xf numFmtId="0" fontId="24" fillId="55" borderId="25" xfId="357" applyFont="1" applyFill="1" applyBorder="1">
      <alignment/>
      <protection/>
    </xf>
    <xf numFmtId="3" fontId="106" fillId="55" borderId="35" xfId="0" applyNumberFormat="1" applyFont="1" applyFill="1" applyBorder="1" applyAlignment="1">
      <alignment horizontal="center"/>
    </xf>
    <xf numFmtId="3" fontId="106" fillId="55" borderId="0" xfId="0" applyNumberFormat="1" applyFont="1" applyFill="1" applyAlignment="1">
      <alignment horizontal="center"/>
    </xf>
    <xf numFmtId="0" fontId="121" fillId="55" borderId="0" xfId="0" applyFont="1" applyFill="1" applyAlignment="1">
      <alignment/>
    </xf>
    <xf numFmtId="181" fontId="121" fillId="55" borderId="0" xfId="377" applyNumberFormat="1" applyFont="1" applyFill="1" applyAlignment="1">
      <alignment/>
    </xf>
    <xf numFmtId="0" fontId="122" fillId="55" borderId="0" xfId="286" applyFont="1" applyFill="1" applyAlignment="1">
      <alignment/>
    </xf>
    <xf numFmtId="0" fontId="121" fillId="55" borderId="0" xfId="357" applyFont="1" applyFill="1">
      <alignment/>
      <protection/>
    </xf>
    <xf numFmtId="9" fontId="121" fillId="55" borderId="0" xfId="377" applyFont="1" applyFill="1" applyAlignment="1">
      <alignment/>
    </xf>
    <xf numFmtId="178" fontId="121" fillId="55" borderId="0" xfId="357" applyNumberFormat="1" applyFont="1" applyFill="1">
      <alignment/>
      <protection/>
    </xf>
    <xf numFmtId="0" fontId="22" fillId="55" borderId="0" xfId="357" applyFont="1" applyFill="1" applyBorder="1" applyAlignment="1">
      <alignment horizontal="center" vertical="center"/>
      <protection/>
    </xf>
    <xf numFmtId="0" fontId="22" fillId="55" borderId="0" xfId="357" applyFont="1" applyFill="1" applyBorder="1" applyAlignment="1">
      <alignment horizontal="center"/>
      <protection/>
    </xf>
    <xf numFmtId="0" fontId="106" fillId="55" borderId="31" xfId="0" applyFont="1" applyFill="1" applyBorder="1" applyAlignment="1">
      <alignment horizontal="left" vertical="center" wrapText="1"/>
    </xf>
    <xf numFmtId="184" fontId="2" fillId="55" borderId="0" xfId="300" applyNumberFormat="1" applyFont="1" applyFill="1" applyAlignment="1">
      <alignment/>
    </xf>
    <xf numFmtId="175" fontId="2" fillId="55" borderId="36" xfId="346" applyNumberFormat="1" applyFont="1" applyFill="1" applyBorder="1" applyAlignment="1">
      <alignment horizontal="center" vertical="center" wrapText="1"/>
      <protection/>
    </xf>
    <xf numFmtId="175" fontId="2" fillId="55" borderId="34" xfId="346" applyNumberFormat="1" applyFont="1" applyFill="1" applyBorder="1" applyAlignment="1">
      <alignment horizontal="center" vertical="center" wrapText="1"/>
      <protection/>
    </xf>
    <xf numFmtId="175" fontId="2" fillId="0" borderId="34" xfId="346" applyNumberFormat="1" applyFont="1" applyFill="1" applyBorder="1" applyAlignment="1">
      <alignment horizontal="center" vertical="center" wrapText="1"/>
      <protection/>
    </xf>
    <xf numFmtId="175" fontId="2" fillId="55" borderId="0" xfId="346" applyNumberFormat="1" applyFont="1" applyFill="1" applyBorder="1" applyAlignment="1">
      <alignment horizontal="center" vertical="center" wrapText="1"/>
      <protection/>
    </xf>
    <xf numFmtId="175" fontId="22" fillId="55" borderId="21" xfId="346" applyNumberFormat="1" applyFont="1" applyFill="1" applyBorder="1" applyAlignment="1">
      <alignment horizontal="center" vertical="center" wrapText="1"/>
      <protection/>
    </xf>
    <xf numFmtId="175" fontId="22" fillId="0" borderId="21" xfId="346" applyNumberFormat="1" applyFont="1" applyFill="1" applyBorder="1" applyAlignment="1">
      <alignment horizontal="center" vertical="center" wrapText="1"/>
      <protection/>
    </xf>
    <xf numFmtId="175" fontId="22" fillId="55" borderId="19" xfId="346" applyNumberFormat="1" applyFont="1" applyFill="1" applyBorder="1" applyAlignment="1">
      <alignment horizontal="center" vertical="center" wrapText="1"/>
      <protection/>
    </xf>
    <xf numFmtId="17" fontId="2" fillId="55" borderId="0" xfId="357" applyNumberFormat="1" applyFont="1" applyFill="1">
      <alignment/>
      <protection/>
    </xf>
    <xf numFmtId="0" fontId="106" fillId="55" borderId="31" xfId="0" applyFont="1" applyFill="1" applyBorder="1" applyAlignment="1">
      <alignment horizontal="left" vertical="center"/>
    </xf>
    <xf numFmtId="3" fontId="106" fillId="55" borderId="0" xfId="0" applyNumberFormat="1" applyFont="1" applyFill="1" applyBorder="1" applyAlignment="1">
      <alignment horizontal="right" vertical="center"/>
    </xf>
    <xf numFmtId="175" fontId="106" fillId="55" borderId="28" xfId="0" applyNumberFormat="1" applyFont="1" applyFill="1" applyBorder="1" applyAlignment="1">
      <alignment horizontal="right" vertical="center"/>
    </xf>
    <xf numFmtId="185" fontId="2" fillId="55" borderId="0" xfId="330" applyNumberFormat="1" applyFont="1" applyFill="1" applyAlignment="1">
      <alignment/>
    </xf>
    <xf numFmtId="181" fontId="106" fillId="55" borderId="0" xfId="377" applyNumberFormat="1" applyFont="1" applyFill="1" applyAlignment="1">
      <alignment/>
    </xf>
    <xf numFmtId="175" fontId="121" fillId="55" borderId="0" xfId="357" applyNumberFormat="1" applyFont="1" applyFill="1">
      <alignment/>
      <protection/>
    </xf>
    <xf numFmtId="0" fontId="106" fillId="55" borderId="31" xfId="0" applyFont="1" applyFill="1" applyBorder="1" applyAlignment="1">
      <alignment horizontal="left" vertical="center" wrapText="1"/>
    </xf>
    <xf numFmtId="0" fontId="22" fillId="55" borderId="0" xfId="357" applyFont="1" applyFill="1" applyBorder="1" applyAlignment="1">
      <alignment horizontal="center" vertical="center"/>
      <protection/>
    </xf>
    <xf numFmtId="0" fontId="2" fillId="55" borderId="0" xfId="357" applyFont="1" applyFill="1" applyBorder="1" applyAlignment="1">
      <alignment horizontal="left" vertical="top" wrapText="1"/>
      <protection/>
    </xf>
    <xf numFmtId="0" fontId="22" fillId="55" borderId="0" xfId="357" applyFont="1" applyFill="1" applyBorder="1" applyAlignment="1">
      <alignment horizontal="center"/>
      <protection/>
    </xf>
    <xf numFmtId="3" fontId="121" fillId="55" borderId="0" xfId="0" applyNumberFormat="1" applyFont="1" applyFill="1" applyAlignment="1">
      <alignment/>
    </xf>
    <xf numFmtId="4" fontId="121" fillId="55" borderId="0" xfId="0" applyNumberFormat="1" applyFont="1" applyFill="1" applyAlignment="1">
      <alignment/>
    </xf>
    <xf numFmtId="0" fontId="2" fillId="55" borderId="0" xfId="0" applyFont="1" applyFill="1" applyAlignment="1">
      <alignment/>
    </xf>
    <xf numFmtId="0" fontId="119" fillId="55" borderId="0" xfId="0" applyFont="1" applyFill="1" applyAlignment="1">
      <alignment/>
    </xf>
    <xf numFmtId="0" fontId="119" fillId="55" borderId="0" xfId="0" applyFont="1" applyFill="1" applyAlignment="1">
      <alignment horizontal="center"/>
    </xf>
    <xf numFmtId="3" fontId="119" fillId="55" borderId="0" xfId="0" applyNumberFormat="1" applyFont="1" applyFill="1" applyAlignment="1">
      <alignment horizontal="center"/>
    </xf>
    <xf numFmtId="0" fontId="123" fillId="55" borderId="0" xfId="0" applyFont="1" applyFill="1" applyAlignment="1">
      <alignment horizontal="center" vertical="center" wrapText="1"/>
    </xf>
    <xf numFmtId="9" fontId="119" fillId="55" borderId="0" xfId="377" applyFont="1" applyFill="1" applyAlignment="1">
      <alignment horizontal="center"/>
    </xf>
    <xf numFmtId="3" fontId="119" fillId="55" borderId="0" xfId="0" applyNumberFormat="1" applyFont="1" applyFill="1" applyAlignment="1">
      <alignment/>
    </xf>
    <xf numFmtId="181" fontId="123" fillId="55" borderId="0" xfId="0" applyNumberFormat="1" applyFont="1" applyFill="1" applyAlignment="1">
      <alignment horizontal="center"/>
    </xf>
    <xf numFmtId="186" fontId="119" fillId="55" borderId="0" xfId="300" applyNumberFormat="1" applyFont="1" applyFill="1" applyAlignment="1">
      <alignment horizontal="center"/>
    </xf>
    <xf numFmtId="9" fontId="123" fillId="55" borderId="0" xfId="0" applyNumberFormat="1" applyFont="1" applyFill="1" applyAlignment="1">
      <alignment horizontal="center"/>
    </xf>
    <xf numFmtId="171" fontId="119" fillId="55" borderId="0" xfId="300" applyFont="1" applyFill="1" applyAlignment="1">
      <alignment/>
    </xf>
    <xf numFmtId="9" fontId="119" fillId="55" borderId="0" xfId="377" applyFont="1" applyFill="1" applyAlignment="1">
      <alignment/>
    </xf>
    <xf numFmtId="181" fontId="119" fillId="55" borderId="0" xfId="377" applyNumberFormat="1" applyFont="1" applyFill="1" applyAlignment="1">
      <alignment/>
    </xf>
    <xf numFmtId="0" fontId="83" fillId="0" borderId="0" xfId="0" applyFont="1" applyAlignment="1">
      <alignment/>
    </xf>
    <xf numFmtId="0" fontId="25" fillId="55" borderId="0" xfId="357" applyFont="1" applyFill="1" applyAlignment="1">
      <alignment/>
      <protection/>
    </xf>
    <xf numFmtId="0" fontId="24" fillId="55" borderId="0" xfId="357" applyFont="1" applyFill="1" applyAlignment="1">
      <alignment/>
      <protection/>
    </xf>
    <xf numFmtId="0" fontId="123" fillId="55" borderId="0" xfId="0" applyFont="1" applyFill="1" applyAlignment="1">
      <alignment horizontal="center" wrapText="1"/>
    </xf>
    <xf numFmtId="4" fontId="119" fillId="55" borderId="0" xfId="0" applyNumberFormat="1" applyFont="1" applyFill="1" applyAlignment="1">
      <alignment horizontal="center"/>
    </xf>
    <xf numFmtId="0" fontId="83" fillId="55" borderId="0" xfId="0" applyFont="1" applyFill="1" applyAlignment="1">
      <alignment/>
    </xf>
    <xf numFmtId="0" fontId="123" fillId="55" borderId="0" xfId="0" applyFont="1" applyFill="1" applyAlignment="1">
      <alignment horizontal="center" vertical="center"/>
    </xf>
    <xf numFmtId="0" fontId="2" fillId="55" borderId="28" xfId="357" applyFont="1" applyFill="1" applyBorder="1">
      <alignment/>
      <protection/>
    </xf>
    <xf numFmtId="0" fontId="105" fillId="56" borderId="0" xfId="0" applyFont="1" applyFill="1" applyBorder="1" applyAlignment="1">
      <alignment horizontal="center"/>
    </xf>
    <xf numFmtId="0" fontId="105" fillId="56" borderId="39" xfId="0" applyFont="1" applyFill="1" applyBorder="1" applyAlignment="1">
      <alignment vertical="center"/>
    </xf>
    <xf numFmtId="0" fontId="105" fillId="56" borderId="37" xfId="0" applyFont="1" applyFill="1" applyBorder="1" applyAlignment="1">
      <alignment horizontal="center" vertical="center" wrapText="1"/>
    </xf>
    <xf numFmtId="0" fontId="105" fillId="56" borderId="23" xfId="0" applyFont="1" applyFill="1" applyBorder="1" applyAlignment="1">
      <alignment horizontal="center" vertical="center" wrapText="1"/>
    </xf>
    <xf numFmtId="0" fontId="105" fillId="56" borderId="38" xfId="0" applyFont="1" applyFill="1" applyBorder="1" applyAlignment="1">
      <alignment horizontal="center" vertical="center" wrapText="1"/>
    </xf>
    <xf numFmtId="0" fontId="123" fillId="56" borderId="0" xfId="0" applyFont="1" applyFill="1" applyBorder="1" applyAlignment="1">
      <alignment horizontal="center" vertical="center"/>
    </xf>
    <xf numFmtId="180" fontId="106" fillId="55" borderId="40" xfId="0" applyNumberFormat="1" applyFont="1" applyFill="1" applyBorder="1" applyAlignment="1">
      <alignment horizontal="left"/>
    </xf>
    <xf numFmtId="3" fontId="106" fillId="55" borderId="41" xfId="0" applyNumberFormat="1" applyFont="1" applyFill="1" applyBorder="1" applyAlignment="1">
      <alignment horizontal="center"/>
    </xf>
    <xf numFmtId="3" fontId="106" fillId="55" borderId="42" xfId="0" applyNumberFormat="1" applyFont="1" applyFill="1" applyBorder="1" applyAlignment="1">
      <alignment horizontal="center"/>
    </xf>
    <xf numFmtId="180" fontId="106" fillId="55" borderId="43" xfId="0" applyNumberFormat="1" applyFont="1" applyFill="1" applyBorder="1" applyAlignment="1">
      <alignment horizontal="left"/>
    </xf>
    <xf numFmtId="3" fontId="106" fillId="55" borderId="37" xfId="0" applyNumberFormat="1" applyFont="1" applyFill="1" applyBorder="1" applyAlignment="1">
      <alignment horizontal="center"/>
    </xf>
    <xf numFmtId="3" fontId="106" fillId="55" borderId="38" xfId="0" applyNumberFormat="1" applyFont="1" applyFill="1" applyBorder="1" applyAlignment="1">
      <alignment horizontal="center"/>
    </xf>
    <xf numFmtId="3" fontId="2" fillId="55" borderId="0" xfId="0" applyNumberFormat="1" applyFont="1" applyFill="1" applyAlignment="1">
      <alignment/>
    </xf>
    <xf numFmtId="3" fontId="123" fillId="55" borderId="0" xfId="0" applyNumberFormat="1" applyFont="1" applyFill="1" applyAlignment="1">
      <alignment horizontal="right"/>
    </xf>
    <xf numFmtId="0" fontId="123" fillId="55" borderId="0" xfId="0" applyFont="1" applyFill="1" applyAlignment="1">
      <alignment horizontal="right"/>
    </xf>
    <xf numFmtId="0" fontId="91" fillId="55" borderId="0" xfId="286" applyFill="1" applyBorder="1" applyAlignment="1" applyProtection="1">
      <alignment horizontal="right"/>
      <protection/>
    </xf>
    <xf numFmtId="0" fontId="22" fillId="55" borderId="39" xfId="0" applyFont="1" applyFill="1" applyBorder="1" applyAlignment="1">
      <alignment horizontal="center" vertical="center" wrapText="1"/>
    </xf>
    <xf numFmtId="0" fontId="22" fillId="55" borderId="39" xfId="0" applyFont="1" applyFill="1" applyBorder="1" applyAlignment="1">
      <alignment vertical="center" wrapText="1"/>
    </xf>
    <xf numFmtId="187" fontId="2" fillId="55" borderId="39" xfId="301" applyNumberFormat="1" applyFont="1" applyFill="1" applyBorder="1" applyAlignment="1">
      <alignment horizontal="center" vertical="center" wrapText="1"/>
    </xf>
    <xf numFmtId="5" fontId="2" fillId="55" borderId="39" xfId="331" applyNumberFormat="1" applyFont="1" applyFill="1" applyBorder="1" applyAlignment="1">
      <alignment horizontal="center" vertical="center" wrapText="1"/>
    </xf>
    <xf numFmtId="0" fontId="22" fillId="55" borderId="39" xfId="0" applyFont="1" applyFill="1" applyBorder="1" applyAlignment="1">
      <alignment vertical="center"/>
    </xf>
    <xf numFmtId="0" fontId="36" fillId="55" borderId="39" xfId="0" applyFont="1" applyFill="1" applyBorder="1" applyAlignment="1">
      <alignment horizontal="right" vertical="center" wrapText="1"/>
    </xf>
    <xf numFmtId="5" fontId="37" fillId="55" borderId="39" xfId="331" applyNumberFormat="1" applyFont="1" applyFill="1" applyBorder="1" applyAlignment="1">
      <alignment horizontal="right" vertical="center" wrapText="1"/>
    </xf>
    <xf numFmtId="0" fontId="36" fillId="55" borderId="39" xfId="0" applyFont="1" applyFill="1" applyBorder="1" applyAlignment="1">
      <alignment horizontal="right"/>
    </xf>
    <xf numFmtId="5" fontId="36" fillId="55" borderId="39" xfId="331" applyNumberFormat="1" applyFont="1" applyFill="1" applyBorder="1" applyAlignment="1">
      <alignment horizontal="right" vertical="center" wrapText="1"/>
    </xf>
    <xf numFmtId="0" fontId="22" fillId="55" borderId="0" xfId="0" applyFont="1" applyFill="1" applyBorder="1" applyAlignment="1">
      <alignment/>
    </xf>
    <xf numFmtId="5" fontId="37" fillId="55" borderId="0" xfId="331" applyNumberFormat="1" applyFont="1" applyFill="1" applyBorder="1" applyAlignment="1">
      <alignment vertical="center" wrapText="1"/>
    </xf>
    <xf numFmtId="3" fontId="22" fillId="55" borderId="39" xfId="0" applyNumberFormat="1" applyFont="1" applyFill="1" applyBorder="1" applyAlignment="1">
      <alignment horizontal="center"/>
    </xf>
    <xf numFmtId="3" fontId="22" fillId="55" borderId="39" xfId="300" applyNumberFormat="1" applyFont="1" applyFill="1" applyBorder="1" applyAlignment="1">
      <alignment horizontal="center" vertical="center"/>
    </xf>
    <xf numFmtId="0" fontId="2" fillId="55" borderId="0" xfId="0" applyFont="1" applyFill="1" applyBorder="1" applyAlignment="1">
      <alignment vertical="center"/>
    </xf>
    <xf numFmtId="0" fontId="106" fillId="55" borderId="0" xfId="0" applyFont="1" applyFill="1" applyBorder="1" applyAlignment="1">
      <alignment/>
    </xf>
    <xf numFmtId="3" fontId="22" fillId="55" borderId="0" xfId="300" applyNumberFormat="1" applyFont="1" applyFill="1" applyBorder="1" applyAlignment="1">
      <alignment horizontal="center" vertical="center"/>
    </xf>
    <xf numFmtId="5" fontId="2" fillId="55" borderId="0" xfId="331" applyNumberFormat="1" applyFont="1" applyFill="1" applyBorder="1" applyAlignment="1">
      <alignment horizontal="center" vertical="center" wrapText="1"/>
    </xf>
    <xf numFmtId="3" fontId="2" fillId="55" borderId="39" xfId="300" applyNumberFormat="1" applyFont="1" applyFill="1" applyBorder="1" applyAlignment="1">
      <alignment horizontal="center" vertical="center"/>
    </xf>
    <xf numFmtId="5" fontId="37" fillId="55" borderId="39" xfId="331" applyNumberFormat="1" applyFont="1" applyFill="1" applyBorder="1" applyAlignment="1">
      <alignment horizontal="center" vertical="center" wrapText="1"/>
    </xf>
    <xf numFmtId="0" fontId="22" fillId="55" borderId="39" xfId="0" applyFont="1" applyFill="1" applyBorder="1" applyAlignment="1">
      <alignment horizontal="left"/>
    </xf>
    <xf numFmtId="0" fontId="124" fillId="55" borderId="0" xfId="353" applyFont="1" applyFill="1" applyAlignment="1">
      <alignment horizontal="center"/>
      <protection/>
    </xf>
    <xf numFmtId="0" fontId="105" fillId="55" borderId="0" xfId="353" applyFont="1" applyFill="1" applyAlignment="1">
      <alignment horizontal="center" vertical="center"/>
      <protection/>
    </xf>
    <xf numFmtId="0" fontId="40" fillId="55" borderId="0" xfId="357" applyFont="1" applyFill="1" applyBorder="1" applyAlignment="1">
      <alignment horizontal="center" vertical="center"/>
      <protection/>
    </xf>
    <xf numFmtId="0" fontId="41" fillId="55" borderId="0" xfId="357" applyFont="1" applyFill="1">
      <alignment/>
      <protection/>
    </xf>
    <xf numFmtId="0" fontId="41" fillId="55" borderId="0" xfId="357" applyFont="1" applyFill="1" applyBorder="1">
      <alignment/>
      <protection/>
    </xf>
    <xf numFmtId="0" fontId="41" fillId="55" borderId="0" xfId="357" applyFont="1" applyFill="1" applyBorder="1" applyAlignment="1">
      <alignment horizontal="left" vertical="top" wrapText="1"/>
      <protection/>
    </xf>
    <xf numFmtId="16" fontId="106" fillId="55" borderId="0" xfId="0" applyNumberFormat="1" applyFont="1" applyFill="1" applyAlignment="1">
      <alignment/>
    </xf>
    <xf numFmtId="0" fontId="2" fillId="55" borderId="0" xfId="357" applyNumberFormat="1" applyFont="1" applyFill="1">
      <alignment/>
      <protection/>
    </xf>
    <xf numFmtId="5" fontId="125" fillId="55" borderId="39" xfId="331" applyNumberFormat="1" applyFont="1" applyFill="1" applyBorder="1" applyAlignment="1">
      <alignment horizontal="center" vertical="center" wrapText="1"/>
    </xf>
    <xf numFmtId="0" fontId="22" fillId="55" borderId="0" xfId="357" applyFont="1" applyFill="1" applyBorder="1" applyAlignment="1">
      <alignment horizontal="center"/>
      <protection/>
    </xf>
    <xf numFmtId="0" fontId="24" fillId="55" borderId="0" xfId="0" applyFont="1" applyFill="1" applyBorder="1" applyAlignment="1">
      <alignment horizontal="left" vertical="center" wrapText="1"/>
    </xf>
    <xf numFmtId="0" fontId="121" fillId="55" borderId="0" xfId="357" applyNumberFormat="1" applyFont="1" applyFill="1">
      <alignment/>
      <protection/>
    </xf>
    <xf numFmtId="0" fontId="79" fillId="55" borderId="0" xfId="0" applyFont="1" applyFill="1" applyAlignment="1">
      <alignment/>
    </xf>
    <xf numFmtId="0" fontId="123" fillId="55" borderId="0" xfId="0" applyFont="1" applyFill="1" applyBorder="1" applyAlignment="1">
      <alignment horizontal="center" vertical="center" wrapText="1"/>
    </xf>
    <xf numFmtId="181" fontId="119" fillId="55" borderId="0" xfId="377" applyNumberFormat="1" applyFont="1" applyFill="1" applyAlignment="1">
      <alignment horizontal="center"/>
    </xf>
    <xf numFmtId="0" fontId="119" fillId="55" borderId="0" xfId="0" applyFont="1" applyFill="1" applyAlignment="1">
      <alignment horizontal="right" vertical="center"/>
    </xf>
    <xf numFmtId="181" fontId="123" fillId="55" borderId="0" xfId="0" applyNumberFormat="1" applyFont="1" applyFill="1" applyAlignment="1">
      <alignment horizontal="center" vertical="center"/>
    </xf>
    <xf numFmtId="0" fontId="119" fillId="55" borderId="0" xfId="0" applyFont="1" applyFill="1" applyAlignment="1">
      <alignment horizontal="right"/>
    </xf>
    <xf numFmtId="181" fontId="119" fillId="55" borderId="0" xfId="0" applyNumberFormat="1" applyFont="1" applyFill="1" applyAlignment="1">
      <alignment horizontal="center" vertical="center"/>
    </xf>
    <xf numFmtId="0" fontId="126" fillId="55" borderId="0" xfId="286" applyFont="1" applyFill="1" applyAlignment="1">
      <alignment/>
    </xf>
    <xf numFmtId="1" fontId="83" fillId="55" borderId="0" xfId="0" applyNumberFormat="1" applyFont="1" applyFill="1" applyAlignment="1">
      <alignment/>
    </xf>
    <xf numFmtId="9" fontId="83" fillId="55" borderId="0" xfId="377" applyFont="1" applyFill="1" applyAlignment="1">
      <alignment horizontal="center"/>
    </xf>
    <xf numFmtId="17" fontId="124" fillId="55" borderId="0" xfId="0" applyNumberFormat="1" applyFont="1" applyFill="1" applyAlignment="1" quotePrefix="1">
      <alignment horizontal="center"/>
    </xf>
    <xf numFmtId="0" fontId="124" fillId="55" borderId="0" xfId="0" applyFont="1" applyFill="1" applyAlignment="1">
      <alignment horizontal="center"/>
    </xf>
    <xf numFmtId="0" fontId="41" fillId="55" borderId="0" xfId="357" applyFont="1" applyFill="1" applyBorder="1" applyAlignment="1">
      <alignment horizontal="left" vertical="top" wrapText="1" indent="3"/>
      <protection/>
    </xf>
    <xf numFmtId="0" fontId="40" fillId="55" borderId="0" xfId="357" applyFont="1" applyFill="1" applyBorder="1" applyAlignment="1">
      <alignment horizontal="center" vertical="center"/>
      <protection/>
    </xf>
    <xf numFmtId="0" fontId="41" fillId="55" borderId="0" xfId="357" applyFont="1" applyFill="1" applyBorder="1" applyAlignment="1">
      <alignment horizontal="left" vertical="top" wrapText="1"/>
      <protection/>
    </xf>
    <xf numFmtId="0" fontId="22" fillId="55" borderId="0" xfId="367" applyFont="1" applyFill="1" applyBorder="1" applyAlignment="1" applyProtection="1">
      <alignment horizontal="center" vertical="center"/>
      <protection/>
    </xf>
    <xf numFmtId="0" fontId="22" fillId="55" borderId="24" xfId="357" applyFont="1" applyFill="1" applyBorder="1" applyAlignment="1">
      <alignment horizontal="center" vertical="center"/>
      <protection/>
    </xf>
    <xf numFmtId="0" fontId="22" fillId="55" borderId="25" xfId="357" applyFont="1" applyFill="1" applyBorder="1" applyAlignment="1">
      <alignment horizontal="center" vertical="center"/>
      <protection/>
    </xf>
    <xf numFmtId="0" fontId="22" fillId="55" borderId="26" xfId="357" applyFont="1" applyFill="1" applyBorder="1" applyAlignment="1">
      <alignment horizontal="center" vertical="center"/>
      <protection/>
    </xf>
    <xf numFmtId="0" fontId="2" fillId="55" borderId="27" xfId="361" applyFont="1" applyFill="1" applyBorder="1" applyAlignment="1">
      <alignment horizontal="left" vertical="top" wrapText="1"/>
      <protection/>
    </xf>
    <xf numFmtId="0" fontId="2" fillId="55" borderId="0" xfId="361" applyFont="1" applyFill="1" applyBorder="1" applyAlignment="1">
      <alignment horizontal="left" vertical="top" wrapText="1"/>
      <protection/>
    </xf>
    <xf numFmtId="0" fontId="2" fillId="55" borderId="28" xfId="361" applyFont="1" applyFill="1" applyBorder="1" applyAlignment="1">
      <alignment horizontal="left" vertical="top" wrapText="1"/>
      <protection/>
    </xf>
    <xf numFmtId="0" fontId="2" fillId="55" borderId="27" xfId="357" applyFont="1" applyFill="1" applyBorder="1" applyAlignment="1">
      <alignment horizontal="left" vertical="top" wrapText="1"/>
      <protection/>
    </xf>
    <xf numFmtId="0" fontId="2" fillId="55" borderId="0" xfId="357" applyFont="1" applyFill="1" applyBorder="1" applyAlignment="1">
      <alignment horizontal="left" vertical="top" wrapText="1"/>
      <protection/>
    </xf>
    <xf numFmtId="0" fontId="2" fillId="55" borderId="28" xfId="357" applyFont="1" applyFill="1" applyBorder="1" applyAlignment="1">
      <alignment horizontal="left" vertical="top" wrapText="1"/>
      <protection/>
    </xf>
    <xf numFmtId="0" fontId="2" fillId="55" borderId="37" xfId="357" applyFont="1" applyFill="1" applyBorder="1" applyAlignment="1">
      <alignment horizontal="left" vertical="top" wrapText="1"/>
      <protection/>
    </xf>
    <xf numFmtId="0" fontId="2" fillId="55" borderId="23" xfId="357" applyFont="1" applyFill="1" applyBorder="1" applyAlignment="1">
      <alignment horizontal="left" vertical="top" wrapText="1"/>
      <protection/>
    </xf>
    <xf numFmtId="0" fontId="2" fillId="55" borderId="38" xfId="357" applyFont="1" applyFill="1" applyBorder="1" applyAlignment="1">
      <alignment horizontal="left" vertical="top" wrapText="1"/>
      <protection/>
    </xf>
    <xf numFmtId="0" fontId="24" fillId="55" borderId="20" xfId="357" applyFont="1" applyFill="1" applyBorder="1" applyAlignment="1">
      <alignment horizontal="left" vertical="center" wrapText="1"/>
      <protection/>
    </xf>
    <xf numFmtId="0" fontId="22" fillId="55" borderId="21" xfId="357" applyFont="1" applyFill="1" applyBorder="1" applyAlignment="1">
      <alignment horizontal="center"/>
      <protection/>
    </xf>
    <xf numFmtId="0" fontId="22" fillId="55" borderId="20" xfId="357" applyFont="1" applyFill="1" applyBorder="1" applyAlignment="1">
      <alignment horizontal="left" vertical="center"/>
      <protection/>
    </xf>
    <xf numFmtId="0" fontId="22" fillId="55" borderId="19" xfId="357" applyFont="1" applyFill="1" applyBorder="1" applyAlignment="1">
      <alignment horizontal="left" vertical="center"/>
      <protection/>
    </xf>
    <xf numFmtId="0" fontId="22" fillId="55" borderId="0" xfId="357"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2" fillId="55" borderId="0" xfId="357" applyFont="1" applyFill="1" applyBorder="1" applyAlignment="1">
      <alignment horizontal="center" vertical="center"/>
      <protection/>
    </xf>
    <xf numFmtId="0" fontId="24" fillId="55" borderId="0" xfId="357" applyFont="1" applyFill="1" applyBorder="1" applyAlignment="1">
      <alignment vertical="center" wrapText="1"/>
      <protection/>
    </xf>
    <xf numFmtId="0" fontId="22" fillId="55" borderId="31" xfId="357" applyFont="1" applyFill="1" applyBorder="1" applyAlignment="1">
      <alignment horizontal="center" vertical="center"/>
      <protection/>
    </xf>
    <xf numFmtId="0" fontId="22" fillId="55" borderId="32" xfId="357" applyFont="1" applyFill="1" applyBorder="1" applyAlignment="1">
      <alignment horizontal="center" vertical="center"/>
      <protection/>
    </xf>
    <xf numFmtId="0" fontId="22" fillId="55" borderId="43" xfId="357" applyFont="1" applyFill="1" applyBorder="1" applyAlignment="1">
      <alignment horizontal="center" vertical="center"/>
      <protection/>
    </xf>
    <xf numFmtId="0" fontId="22" fillId="55" borderId="29" xfId="357" applyFont="1" applyFill="1" applyBorder="1" applyAlignment="1">
      <alignment horizontal="center"/>
      <protection/>
    </xf>
    <xf numFmtId="0" fontId="22" fillId="55" borderId="22" xfId="357" applyFont="1" applyFill="1" applyBorder="1" applyAlignment="1">
      <alignment horizontal="center"/>
      <protection/>
    </xf>
    <xf numFmtId="0" fontId="22" fillId="55" borderId="30" xfId="357" applyFont="1" applyFill="1" applyBorder="1" applyAlignment="1">
      <alignment horizontal="center"/>
      <protection/>
    </xf>
    <xf numFmtId="0" fontId="105" fillId="56" borderId="39" xfId="0" applyFont="1" applyFill="1" applyBorder="1" applyAlignment="1">
      <alignment horizontal="center"/>
    </xf>
    <xf numFmtId="0" fontId="24" fillId="55" borderId="0" xfId="357" applyFont="1" applyFill="1" applyAlignment="1">
      <alignment horizontal="left" wrapText="1"/>
      <protection/>
    </xf>
    <xf numFmtId="0" fontId="22" fillId="55" borderId="0" xfId="361" applyFont="1" applyFill="1" applyBorder="1" applyAlignment="1">
      <alignment horizontal="center"/>
      <protection/>
    </xf>
    <xf numFmtId="0" fontId="22" fillId="55" borderId="20" xfId="361" applyFont="1" applyFill="1" applyBorder="1" applyAlignment="1">
      <alignment horizontal="left" vertical="center" wrapText="1"/>
      <protection/>
    </xf>
    <xf numFmtId="0" fontId="22" fillId="55" borderId="19" xfId="361" applyFont="1" applyFill="1" applyBorder="1" applyAlignment="1">
      <alignment horizontal="left" vertical="center" wrapText="1"/>
      <protection/>
    </xf>
    <xf numFmtId="0" fontId="22" fillId="55" borderId="20" xfId="361" applyFont="1" applyFill="1" applyBorder="1" applyAlignment="1">
      <alignment horizontal="center" vertical="center" wrapText="1"/>
      <protection/>
    </xf>
    <xf numFmtId="0" fontId="22" fillId="55" borderId="19" xfId="361" applyFont="1" applyFill="1" applyBorder="1" applyAlignment="1">
      <alignment horizontal="center" vertical="center" wrapText="1"/>
      <protection/>
    </xf>
    <xf numFmtId="0" fontId="28" fillId="55" borderId="25" xfId="357" applyFont="1" applyFill="1" applyBorder="1" applyAlignment="1">
      <alignment horizontal="center" vertical="center" wrapText="1"/>
      <protection/>
    </xf>
    <xf numFmtId="0" fontId="28" fillId="55" borderId="23" xfId="357" applyFont="1" applyFill="1" applyBorder="1" applyAlignment="1">
      <alignment horizontal="center" vertical="center" wrapText="1"/>
      <protection/>
    </xf>
    <xf numFmtId="0" fontId="22" fillId="55" borderId="20" xfId="357" applyFont="1" applyFill="1" applyBorder="1" applyAlignment="1">
      <alignment horizontal="center" vertical="center" wrapText="1"/>
      <protection/>
    </xf>
    <xf numFmtId="0" fontId="22" fillId="55" borderId="19" xfId="357" applyFont="1" applyFill="1" applyBorder="1" applyAlignment="1">
      <alignment horizontal="center" vertical="center" wrapText="1"/>
      <protection/>
    </xf>
    <xf numFmtId="0" fontId="22" fillId="55" borderId="0" xfId="357" applyFont="1" applyFill="1" applyBorder="1" applyAlignment="1">
      <alignment horizontal="center" wrapText="1"/>
      <protection/>
    </xf>
    <xf numFmtId="0" fontId="106" fillId="55" borderId="0" xfId="0" applyFont="1" applyFill="1" applyBorder="1" applyAlignment="1">
      <alignment horizontal="left"/>
    </xf>
    <xf numFmtId="0" fontId="123" fillId="57" borderId="39" xfId="0" applyFont="1" applyFill="1" applyBorder="1" applyAlignment="1">
      <alignment horizontal="center" wrapText="1"/>
    </xf>
    <xf numFmtId="0" fontId="22" fillId="55" borderId="0" xfId="0" applyFont="1" applyFill="1" applyBorder="1" applyAlignment="1">
      <alignment horizontal="center" vertical="center" wrapText="1"/>
    </xf>
    <xf numFmtId="0" fontId="105" fillId="55" borderId="0" xfId="0" applyFont="1" applyFill="1" applyBorder="1" applyAlignment="1">
      <alignment horizontal="center" vertical="center"/>
    </xf>
    <xf numFmtId="177" fontId="22" fillId="55" borderId="31" xfId="300" applyNumberFormat="1" applyFont="1" applyFill="1" applyBorder="1" applyAlignment="1">
      <alignment horizontal="center" vertical="center"/>
    </xf>
    <xf numFmtId="177" fontId="22" fillId="55" borderId="43" xfId="300" applyNumberFormat="1" applyFont="1" applyFill="1" applyBorder="1" applyAlignment="1">
      <alignment horizontal="center" vertical="center"/>
    </xf>
    <xf numFmtId="0" fontId="22" fillId="55" borderId="29" xfId="0" applyFont="1" applyFill="1" applyBorder="1" applyAlignment="1">
      <alignment horizontal="center"/>
    </xf>
    <xf numFmtId="0" fontId="22" fillId="55" borderId="22" xfId="0" applyFont="1" applyFill="1" applyBorder="1" applyAlignment="1">
      <alignment horizontal="center"/>
    </xf>
    <xf numFmtId="0" fontId="22" fillId="55" borderId="30" xfId="0" applyFont="1" applyFill="1" applyBorder="1" applyAlignment="1">
      <alignment horizontal="center"/>
    </xf>
    <xf numFmtId="0" fontId="106" fillId="55" borderId="31" xfId="0" applyFont="1" applyFill="1" applyBorder="1" applyAlignment="1">
      <alignment horizontal="left" vertical="center" wrapText="1"/>
    </xf>
    <xf numFmtId="0" fontId="106" fillId="55" borderId="32" xfId="0" applyFont="1" applyFill="1" applyBorder="1" applyAlignment="1">
      <alignment horizontal="left" vertical="center" wrapText="1"/>
    </xf>
    <xf numFmtId="0" fontId="108" fillId="55" borderId="37" xfId="0" applyFont="1" applyFill="1" applyBorder="1" applyAlignment="1">
      <alignment horizontal="left"/>
    </xf>
    <xf numFmtId="0" fontId="108" fillId="55" borderId="23" xfId="0" applyFont="1" applyFill="1" applyBorder="1" applyAlignment="1">
      <alignment horizontal="left"/>
    </xf>
    <xf numFmtId="0" fontId="108" fillId="55" borderId="38" xfId="0" applyFont="1" applyFill="1" applyBorder="1" applyAlignment="1">
      <alignment horizontal="left"/>
    </xf>
    <xf numFmtId="0" fontId="106" fillId="55" borderId="43" xfId="0" applyFont="1" applyFill="1" applyBorder="1" applyAlignment="1">
      <alignment horizontal="left" vertical="center" wrapText="1"/>
    </xf>
    <xf numFmtId="0" fontId="105" fillId="55" borderId="29" xfId="0" applyFont="1" applyFill="1" applyBorder="1" applyAlignment="1">
      <alignment horizontal="center"/>
    </xf>
    <xf numFmtId="0" fontId="105" fillId="55" borderId="22" xfId="0" applyFont="1" applyFill="1" applyBorder="1" applyAlignment="1">
      <alignment horizontal="center"/>
    </xf>
    <xf numFmtId="0" fontId="105" fillId="55" borderId="30" xfId="0" applyFont="1" applyFill="1" applyBorder="1" applyAlignment="1">
      <alignment horizontal="center"/>
    </xf>
    <xf numFmtId="0" fontId="105" fillId="55" borderId="37" xfId="0" applyFont="1" applyFill="1" applyBorder="1" applyAlignment="1">
      <alignment horizontal="center"/>
    </xf>
    <xf numFmtId="0" fontId="105" fillId="55" borderId="23" xfId="0" applyFont="1" applyFill="1" applyBorder="1" applyAlignment="1">
      <alignment horizontal="center"/>
    </xf>
    <xf numFmtId="0" fontId="105" fillId="55" borderId="38" xfId="0" applyFont="1" applyFill="1" applyBorder="1" applyAlignment="1">
      <alignment horizontal="center"/>
    </xf>
    <xf numFmtId="0" fontId="105" fillId="55" borderId="32" xfId="0" applyFont="1" applyFill="1" applyBorder="1" applyAlignment="1">
      <alignment horizontal="left" vertical="center"/>
    </xf>
    <xf numFmtId="0" fontId="105" fillId="55" borderId="28" xfId="0" applyFont="1" applyFill="1" applyBorder="1" applyAlignment="1">
      <alignment horizontal="left" vertical="center"/>
    </xf>
    <xf numFmtId="0" fontId="105" fillId="55" borderId="31" xfId="0" applyFont="1" applyFill="1" applyBorder="1" applyAlignment="1">
      <alignment horizontal="center" vertical="center"/>
    </xf>
    <xf numFmtId="0" fontId="105" fillId="55" borderId="32" xfId="0" applyFont="1" applyFill="1" applyBorder="1" applyAlignment="1">
      <alignment horizontal="center" vertical="center"/>
    </xf>
    <xf numFmtId="0" fontId="106" fillId="55" borderId="39" xfId="0" applyFont="1" applyFill="1" applyBorder="1" applyAlignment="1">
      <alignment horizontal="left" vertical="center" wrapText="1"/>
    </xf>
    <xf numFmtId="0" fontId="106" fillId="55" borderId="39" xfId="0" applyFont="1" applyFill="1" applyBorder="1" applyAlignment="1">
      <alignment horizontal="center" vertical="center" wrapText="1"/>
    </xf>
  </cellXfs>
  <cellStyles count="443">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3" xfId="304"/>
    <cellStyle name="Millares [0] 4" xfId="305"/>
    <cellStyle name="Millares 2" xfId="306"/>
    <cellStyle name="Millares 2 2" xfId="307"/>
    <cellStyle name="Millares 2 3" xfId="308"/>
    <cellStyle name="Millares 2 4" xfId="309"/>
    <cellStyle name="Millares 2 5" xfId="310"/>
    <cellStyle name="Millares 2 5 2" xfId="311"/>
    <cellStyle name="Millares 2 5 2 2" xfId="312"/>
    <cellStyle name="Millares 3" xfId="313"/>
    <cellStyle name="Millares 3 2" xfId="314"/>
    <cellStyle name="Millares 3 2 2" xfId="315"/>
    <cellStyle name="Millares 4" xfId="316"/>
    <cellStyle name="Millares 4 2" xfId="317"/>
    <cellStyle name="Millares 4 2 2" xfId="318"/>
    <cellStyle name="Millares 5" xfId="319"/>
    <cellStyle name="Millares 5 2" xfId="320"/>
    <cellStyle name="Millares 5 2 2" xfId="321"/>
    <cellStyle name="Millares 6" xfId="322"/>
    <cellStyle name="Millares 6 2" xfId="323"/>
    <cellStyle name="Millares 6 2 2" xfId="324"/>
    <cellStyle name="Millares 7" xfId="325"/>
    <cellStyle name="Millares 7 2" xfId="326"/>
    <cellStyle name="Millares 8" xfId="327"/>
    <cellStyle name="Millares 8 2" xfId="328"/>
    <cellStyle name="Millares 9" xfId="329"/>
    <cellStyle name="Currency" xfId="330"/>
    <cellStyle name="Currency [0]" xfId="331"/>
    <cellStyle name="Neutral" xfId="332"/>
    <cellStyle name="Neutral 2 2" xfId="333"/>
    <cellStyle name="Neutral 2 2 2" xfId="334"/>
    <cellStyle name="Neutral 2 2 3" xfId="335"/>
    <cellStyle name="Neutral 2 3" xfId="336"/>
    <cellStyle name="Neutral 2 4" xfId="337"/>
    <cellStyle name="Neutral 3 2" xfId="338"/>
    <cellStyle name="Neutral 3 3" xfId="339"/>
    <cellStyle name="Neutral 4" xfId="340"/>
    <cellStyle name="Normal 10" xfId="341"/>
    <cellStyle name="Normal 2" xfId="342"/>
    <cellStyle name="Normal 2 2" xfId="343"/>
    <cellStyle name="Normal 2 2 2" xfId="344"/>
    <cellStyle name="Normal 2 2 2 2" xfId="345"/>
    <cellStyle name="Normal 2 2 2 2 2" xfId="346"/>
    <cellStyle name="Normal 2 2 3" xfId="347"/>
    <cellStyle name="Normal 2 3" xfId="348"/>
    <cellStyle name="Normal 2 4" xfId="349"/>
    <cellStyle name="Normal 2 4 2" xfId="350"/>
    <cellStyle name="Normal 2 5" xfId="351"/>
    <cellStyle name="Normal 3" xfId="352"/>
    <cellStyle name="Normal 3 2" xfId="353"/>
    <cellStyle name="Normal 3 3" xfId="354"/>
    <cellStyle name="Normal 3 4" xfId="355"/>
    <cellStyle name="Normal 3 5" xfId="356"/>
    <cellStyle name="Normal 4" xfId="357"/>
    <cellStyle name="Normal 4 2" xfId="358"/>
    <cellStyle name="Normal 4 2 2" xfId="359"/>
    <cellStyle name="Normal 4 3" xfId="360"/>
    <cellStyle name="Normal 4 4" xfId="361"/>
    <cellStyle name="Normal 5" xfId="362"/>
    <cellStyle name="Normal 5 2" xfId="363"/>
    <cellStyle name="Normal 5 2 2" xfId="364"/>
    <cellStyle name="Normal 5 2 2 2" xfId="365"/>
    <cellStyle name="Normal 9" xfId="366"/>
    <cellStyle name="Normal_indice" xfId="367"/>
    <cellStyle name="Notas" xfId="368"/>
    <cellStyle name="Notas 2 2" xfId="369"/>
    <cellStyle name="Notas 2 2 2" xfId="370"/>
    <cellStyle name="Notas 2 2 3" xfId="371"/>
    <cellStyle name="Notas 2 3" xfId="372"/>
    <cellStyle name="Notas 2 4" xfId="373"/>
    <cellStyle name="Notas 3 2" xfId="374"/>
    <cellStyle name="Notas 3 3" xfId="375"/>
    <cellStyle name="Notas 4" xfId="376"/>
    <cellStyle name="Percent" xfId="377"/>
    <cellStyle name="Porcentaje 2" xfId="378"/>
    <cellStyle name="Porcentaje 3" xfId="379"/>
    <cellStyle name="Porcentual 2" xfId="380"/>
    <cellStyle name="Porcentual 2 2" xfId="381"/>
    <cellStyle name="Porcentual 2 3" xfId="382"/>
    <cellStyle name="Porcentual 2 4" xfId="383"/>
    <cellStyle name="Porcentual 2 4 2" xfId="384"/>
    <cellStyle name="Porcentual 2 5" xfId="385"/>
    <cellStyle name="Salida" xfId="386"/>
    <cellStyle name="Salida 2 2" xfId="387"/>
    <cellStyle name="Salida 2 2 2" xfId="388"/>
    <cellStyle name="Salida 2 2 3" xfId="389"/>
    <cellStyle name="Salida 2 3" xfId="390"/>
    <cellStyle name="Salida 2 4" xfId="391"/>
    <cellStyle name="Salida 3 2" xfId="392"/>
    <cellStyle name="Salida 3 3" xfId="393"/>
    <cellStyle name="Salida 4" xfId="394"/>
    <cellStyle name="Texto de advertencia" xfId="395"/>
    <cellStyle name="Texto de advertencia 2 2" xfId="396"/>
    <cellStyle name="Texto de advertencia 2 2 2" xfId="397"/>
    <cellStyle name="Texto de advertencia 2 2 3" xfId="398"/>
    <cellStyle name="Texto de advertencia 2 3" xfId="399"/>
    <cellStyle name="Texto de advertencia 2 4" xfId="400"/>
    <cellStyle name="Texto de advertencia 3 2" xfId="401"/>
    <cellStyle name="Texto de advertencia 3 3" xfId="402"/>
    <cellStyle name="Texto de advertencia 4" xfId="403"/>
    <cellStyle name="Texto explicativo" xfId="404"/>
    <cellStyle name="Texto explicativo 2 2" xfId="405"/>
    <cellStyle name="Texto explicativo 2 2 2" xfId="406"/>
    <cellStyle name="Texto explicativo 2 2 3" xfId="407"/>
    <cellStyle name="Texto explicativo 2 3" xfId="408"/>
    <cellStyle name="Texto explicativo 2 4" xfId="409"/>
    <cellStyle name="Texto explicativo 3 2" xfId="410"/>
    <cellStyle name="Texto explicativo 3 3" xfId="411"/>
    <cellStyle name="Texto explicativo 4" xfId="412"/>
    <cellStyle name="Título" xfId="413"/>
    <cellStyle name="Título 1 2 2" xfId="414"/>
    <cellStyle name="Título 1 2 2 2" xfId="415"/>
    <cellStyle name="Título 1 2 2 3" xfId="416"/>
    <cellStyle name="Título 1 2 3" xfId="417"/>
    <cellStyle name="Título 1 2 4" xfId="418"/>
    <cellStyle name="Título 1 3 2" xfId="419"/>
    <cellStyle name="Título 1 3 3" xfId="420"/>
    <cellStyle name="Título 1 4" xfId="421"/>
    <cellStyle name="Título 2" xfId="422"/>
    <cellStyle name="Título 2 2 2" xfId="423"/>
    <cellStyle name="Título 2 2 2 2" xfId="424"/>
    <cellStyle name="Título 2 2 2 3" xfId="425"/>
    <cellStyle name="Título 2 2 3" xfId="426"/>
    <cellStyle name="Título 2 2 4" xfId="427"/>
    <cellStyle name="Título 2 3 2" xfId="428"/>
    <cellStyle name="Título 2 3 3" xfId="429"/>
    <cellStyle name="Título 2 4" xfId="430"/>
    <cellStyle name="Título 3" xfId="431"/>
    <cellStyle name="Título 3 2 2" xfId="432"/>
    <cellStyle name="Título 3 2 2 2" xfId="433"/>
    <cellStyle name="Título 3 2 2 3" xfId="434"/>
    <cellStyle name="Título 3 2 3" xfId="435"/>
    <cellStyle name="Título 3 2 4" xfId="436"/>
    <cellStyle name="Título 3 3 2" xfId="437"/>
    <cellStyle name="Título 3 3 3" xfId="438"/>
    <cellStyle name="Título 3 4" xfId="439"/>
    <cellStyle name="Título 4 2" xfId="440"/>
    <cellStyle name="Título 4 2 2" xfId="441"/>
    <cellStyle name="Título 4 2 3" xfId="442"/>
    <cellStyle name="Título 4 3" xfId="443"/>
    <cellStyle name="Título 4 4" xfId="444"/>
    <cellStyle name="Título 5 2" xfId="445"/>
    <cellStyle name="Título 5 3" xfId="446"/>
    <cellStyle name="Título 6" xfId="447"/>
    <cellStyle name="Total" xfId="448"/>
    <cellStyle name="Total 2 2" xfId="449"/>
    <cellStyle name="Total 2 2 2" xfId="450"/>
    <cellStyle name="Total 2 2 3" xfId="451"/>
    <cellStyle name="Total 2 3" xfId="452"/>
    <cellStyle name="Total 2 4" xfId="453"/>
    <cellStyle name="Total 3 2" xfId="454"/>
    <cellStyle name="Total 3 3" xfId="455"/>
    <cellStyle name="Total 4" xfId="456"/>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15"/>
          <c:y val="-0.0095"/>
        </c:manualLayout>
      </c:layout>
      <c:spPr>
        <a:noFill/>
        <a:ln w="3175">
          <a:noFill/>
        </a:ln>
      </c:spPr>
    </c:title>
    <c:plotArea>
      <c:layout>
        <c:manualLayout>
          <c:xMode val="edge"/>
          <c:yMode val="edge"/>
          <c:x val="0.04825"/>
          <c:y val="0.087"/>
          <c:w val="0.88625"/>
          <c:h val="0.8845"/>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57436476"/>
        <c:axId val="47166237"/>
      </c:lineChart>
      <c:catAx>
        <c:axId val="5743647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47166237"/>
        <c:crosses val="autoZero"/>
        <c:auto val="1"/>
        <c:lblOffset val="100"/>
        <c:tickLblSkip val="1"/>
        <c:noMultiLvlLbl val="0"/>
      </c:catAx>
      <c:valAx>
        <c:axId val="47166237"/>
        <c:scaling>
          <c:orientation val="minMax"/>
          <c:min val="15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7436476"/>
        <c:crossesAt val="1"/>
        <c:crossBetween val="between"/>
        <c:dispUnits/>
      </c:valAx>
      <c:spPr>
        <a:noFill/>
        <a:ln>
          <a:noFill/>
        </a:ln>
      </c:spPr>
    </c:plotArea>
    <c:legend>
      <c:legendPos val="r"/>
      <c:layout>
        <c:manualLayout>
          <c:xMode val="edge"/>
          <c:yMode val="edge"/>
          <c:x val="0.22325"/>
          <c:y val="0.90875"/>
          <c:w val="0.420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5"/>
          <c:y val="0.0755"/>
          <c:w val="0.946"/>
          <c:h val="0.843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62909888"/>
        <c:axId val="29318081"/>
      </c:barChart>
      <c:catAx>
        <c:axId val="629098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9318081"/>
        <c:crosses val="autoZero"/>
        <c:auto val="1"/>
        <c:lblOffset val="100"/>
        <c:tickLblSkip val="1"/>
        <c:noMultiLvlLbl val="0"/>
      </c:catAx>
      <c:valAx>
        <c:axId val="29318081"/>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62909888"/>
        <c:crossesAt val="1"/>
        <c:crossBetween val="between"/>
        <c:dispUnits/>
      </c:valAx>
      <c:spPr>
        <a:noFill/>
        <a:ln>
          <a:noFill/>
        </a:ln>
      </c:spPr>
    </c:plotArea>
    <c:legend>
      <c:legendPos val="r"/>
      <c:layout>
        <c:manualLayout>
          <c:xMode val="edge"/>
          <c:yMode val="edge"/>
          <c:x val="0.3805"/>
          <c:y val="0.927"/>
          <c:w val="0.2377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4 de enero al 30 de junio de 2016 
</a:t>
            </a:r>
            <a:r>
              <a:rPr lang="en-US" cap="none" sz="1000" b="1" i="0" u="none" baseline="0">
                <a:solidFill>
                  <a:srgbClr val="000000"/>
                </a:solidFill>
              </a:rPr>
              <a:t>(en $/50 kilos sin IVA)</a:t>
            </a:r>
          </a:p>
        </c:rich>
      </c:tx>
      <c:layout>
        <c:manualLayout>
          <c:xMode val="factor"/>
          <c:yMode val="factor"/>
          <c:x val="-0.00125"/>
          <c:y val="-0.0115"/>
        </c:manualLayout>
      </c:layout>
      <c:spPr>
        <a:noFill/>
        <a:ln>
          <a:noFill/>
        </a:ln>
      </c:spPr>
    </c:title>
    <c:plotArea>
      <c:layout>
        <c:manualLayout>
          <c:xMode val="edge"/>
          <c:yMode val="edge"/>
          <c:x val="0.03675"/>
          <c:y val="0.1295"/>
          <c:w val="0.9595"/>
          <c:h val="0.81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3"/>
            <c:dispEq val="0"/>
            <c:dispRSqr val="0"/>
          </c:trendline>
          <c:cat>
            <c:numRef>
              <c:f>'[2]serie de precios'!$A$999:$A$1125</c:f>
              <c:numCache>
                <c:ptCount val="127"/>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42457</c:v>
                </c:pt>
                <c:pt idx="60">
                  <c:v>42458</c:v>
                </c:pt>
                <c:pt idx="61">
                  <c:v>42459</c:v>
                </c:pt>
                <c:pt idx="62">
                  <c:v>42460</c:v>
                </c:pt>
                <c:pt idx="63">
                  <c:v>42461</c:v>
                </c:pt>
                <c:pt idx="64">
                  <c:v>42464</c:v>
                </c:pt>
                <c:pt idx="65">
                  <c:v>42465</c:v>
                </c:pt>
                <c:pt idx="66">
                  <c:v>42466</c:v>
                </c:pt>
                <c:pt idx="67">
                  <c:v>42467</c:v>
                </c:pt>
                <c:pt idx="68">
                  <c:v>42468</c:v>
                </c:pt>
                <c:pt idx="69">
                  <c:v>42471</c:v>
                </c:pt>
                <c:pt idx="70">
                  <c:v>42472</c:v>
                </c:pt>
                <c:pt idx="71">
                  <c:v>42473</c:v>
                </c:pt>
                <c:pt idx="72">
                  <c:v>42474</c:v>
                </c:pt>
                <c:pt idx="73">
                  <c:v>42475</c:v>
                </c:pt>
                <c:pt idx="74">
                  <c:v>42478</c:v>
                </c:pt>
                <c:pt idx="75">
                  <c:v>42479</c:v>
                </c:pt>
                <c:pt idx="76">
                  <c:v>42480</c:v>
                </c:pt>
                <c:pt idx="77">
                  <c:v>42481</c:v>
                </c:pt>
                <c:pt idx="78">
                  <c:v>42482</c:v>
                </c:pt>
                <c:pt idx="79">
                  <c:v>42485</c:v>
                </c:pt>
                <c:pt idx="80">
                  <c:v>42486</c:v>
                </c:pt>
                <c:pt idx="81">
                  <c:v>42487</c:v>
                </c:pt>
                <c:pt idx="82">
                  <c:v>42488</c:v>
                </c:pt>
                <c:pt idx="83">
                  <c:v>42489</c:v>
                </c:pt>
                <c:pt idx="84">
                  <c:v>42492</c:v>
                </c:pt>
                <c:pt idx="85">
                  <c:v>42493</c:v>
                </c:pt>
                <c:pt idx="86">
                  <c:v>42494</c:v>
                </c:pt>
                <c:pt idx="87">
                  <c:v>42495</c:v>
                </c:pt>
                <c:pt idx="88">
                  <c:v>42496</c:v>
                </c:pt>
                <c:pt idx="89">
                  <c:v>42499</c:v>
                </c:pt>
                <c:pt idx="90">
                  <c:v>42500</c:v>
                </c:pt>
                <c:pt idx="91">
                  <c:v>42501</c:v>
                </c:pt>
                <c:pt idx="92">
                  <c:v>42502</c:v>
                </c:pt>
                <c:pt idx="93">
                  <c:v>42503</c:v>
                </c:pt>
                <c:pt idx="94">
                  <c:v>42506</c:v>
                </c:pt>
                <c:pt idx="95">
                  <c:v>42507</c:v>
                </c:pt>
                <c:pt idx="96">
                  <c:v>42508</c:v>
                </c:pt>
                <c:pt idx="97">
                  <c:v>42509</c:v>
                </c:pt>
                <c:pt idx="98">
                  <c:v>42510</c:v>
                </c:pt>
                <c:pt idx="99">
                  <c:v>42513</c:v>
                </c:pt>
                <c:pt idx="100">
                  <c:v>42514</c:v>
                </c:pt>
                <c:pt idx="101">
                  <c:v>42515</c:v>
                </c:pt>
                <c:pt idx="102">
                  <c:v>42516</c:v>
                </c:pt>
                <c:pt idx="103">
                  <c:v>42517</c:v>
                </c:pt>
                <c:pt idx="104">
                  <c:v>42520</c:v>
                </c:pt>
                <c:pt idx="105">
                  <c:v>42521</c:v>
                </c:pt>
                <c:pt idx="106">
                  <c:v>42522</c:v>
                </c:pt>
                <c:pt idx="107">
                  <c:v>42523</c:v>
                </c:pt>
                <c:pt idx="108">
                  <c:v>42524</c:v>
                </c:pt>
                <c:pt idx="109">
                  <c:v>42527</c:v>
                </c:pt>
                <c:pt idx="110">
                  <c:v>42528</c:v>
                </c:pt>
                <c:pt idx="111">
                  <c:v>42529</c:v>
                </c:pt>
                <c:pt idx="112">
                  <c:v>42530</c:v>
                </c:pt>
                <c:pt idx="113">
                  <c:v>42531</c:v>
                </c:pt>
                <c:pt idx="114">
                  <c:v>42534</c:v>
                </c:pt>
                <c:pt idx="115">
                  <c:v>42535</c:v>
                </c:pt>
                <c:pt idx="116">
                  <c:v>42536</c:v>
                </c:pt>
                <c:pt idx="117">
                  <c:v>42537</c:v>
                </c:pt>
                <c:pt idx="118">
                  <c:v>42538</c:v>
                </c:pt>
                <c:pt idx="119">
                  <c:v>42541</c:v>
                </c:pt>
                <c:pt idx="120">
                  <c:v>42542</c:v>
                </c:pt>
                <c:pt idx="121">
                  <c:v>42543</c:v>
                </c:pt>
                <c:pt idx="122">
                  <c:v>42544</c:v>
                </c:pt>
                <c:pt idx="123">
                  <c:v>42545</c:v>
                </c:pt>
                <c:pt idx="124">
                  <c:v>42549</c:v>
                </c:pt>
                <c:pt idx="125">
                  <c:v>42550</c:v>
                </c:pt>
                <c:pt idx="126">
                  <c:v>42551</c:v>
                </c:pt>
              </c:numCache>
            </c:numRef>
          </c:cat>
          <c:val>
            <c:numRef>
              <c:f>'[2]serie de precios'!$M$999:$M$1125</c:f>
              <c:numCache>
                <c:ptCount val="127"/>
                <c:pt idx="0">
                  <c:v>12180.159285714284</c:v>
                </c:pt>
                <c:pt idx="1">
                  <c:v>11617.626875</c:v>
                </c:pt>
                <c:pt idx="2">
                  <c:v>11414.236875</c:v>
                </c:pt>
                <c:pt idx="3">
                  <c:v>11218.140666666668</c:v>
                </c:pt>
                <c:pt idx="4">
                  <c:v>11609.775789473686</c:v>
                </c:pt>
                <c:pt idx="5">
                  <c:v>11439.510625</c:v>
                </c:pt>
                <c:pt idx="6">
                  <c:v>10404.226842105261</c:v>
                </c:pt>
                <c:pt idx="7">
                  <c:v>10456.660666666665</c:v>
                </c:pt>
                <c:pt idx="8">
                  <c:v>10731.447647058823</c:v>
                </c:pt>
                <c:pt idx="9">
                  <c:v>10438.459545454545</c:v>
                </c:pt>
                <c:pt idx="10">
                  <c:v>10063.532</c:v>
                </c:pt>
                <c:pt idx="11">
                  <c:v>9638.412999999997</c:v>
                </c:pt>
                <c:pt idx="12">
                  <c:v>9456.29588235294</c:v>
                </c:pt>
                <c:pt idx="13">
                  <c:v>10041.209285714287</c:v>
                </c:pt>
                <c:pt idx="14">
                  <c:v>10007.79111111111</c:v>
                </c:pt>
                <c:pt idx="15">
                  <c:v>9845.467857142856</c:v>
                </c:pt>
                <c:pt idx="16">
                  <c:v>9269.9725</c:v>
                </c:pt>
                <c:pt idx="17">
                  <c:v>8424.063333333334</c:v>
                </c:pt>
                <c:pt idx="18">
                  <c:v>9536.824499999999</c:v>
                </c:pt>
                <c:pt idx="19">
                  <c:v>8876.89470588235</c:v>
                </c:pt>
                <c:pt idx="20">
                  <c:v>9574.328125</c:v>
                </c:pt>
                <c:pt idx="21">
                  <c:v>9074.86</c:v>
                </c:pt>
                <c:pt idx="22">
                  <c:v>9111.72</c:v>
                </c:pt>
                <c:pt idx="23">
                  <c:v>8965.5065</c:v>
                </c:pt>
                <c:pt idx="24">
                  <c:v>8863.6905</c:v>
                </c:pt>
                <c:pt idx="25">
                  <c:v>9253.124705882352</c:v>
                </c:pt>
                <c:pt idx="26">
                  <c:v>9723.587894736842</c:v>
                </c:pt>
                <c:pt idx="27">
                  <c:v>9090.588888888891</c:v>
                </c:pt>
                <c:pt idx="28">
                  <c:v>9540.092352941178</c:v>
                </c:pt>
                <c:pt idx="29">
                  <c:v>9367.851739130434</c:v>
                </c:pt>
                <c:pt idx="30">
                  <c:v>10153.766666666668</c:v>
                </c:pt>
                <c:pt idx="31">
                  <c:v>9520.782173913045</c:v>
                </c:pt>
                <c:pt idx="32">
                  <c:v>9303.99294117647</c:v>
                </c:pt>
                <c:pt idx="33">
                  <c:v>8591.172499999999</c:v>
                </c:pt>
                <c:pt idx="34">
                  <c:v>8926.4</c:v>
                </c:pt>
                <c:pt idx="35">
                  <c:v>9121.785714285714</c:v>
                </c:pt>
                <c:pt idx="36">
                  <c:v>9414.564</c:v>
                </c:pt>
                <c:pt idx="37">
                  <c:v>8715.043333333333</c:v>
                </c:pt>
                <c:pt idx="38">
                  <c:v>9465.087333333333</c:v>
                </c:pt>
                <c:pt idx="39">
                  <c:v>9236.0445</c:v>
                </c:pt>
                <c:pt idx="40">
                  <c:v>9694.070000000002</c:v>
                </c:pt>
                <c:pt idx="41">
                  <c:v>9269.893157894738</c:v>
                </c:pt>
                <c:pt idx="42">
                  <c:v>8454.470833333333</c:v>
                </c:pt>
                <c:pt idx="43">
                  <c:v>9719.987222222224</c:v>
                </c:pt>
                <c:pt idx="44">
                  <c:v>9318.6055</c:v>
                </c:pt>
                <c:pt idx="45">
                  <c:v>9066.910588235292</c:v>
                </c:pt>
                <c:pt idx="46">
                  <c:v>9402.8325</c:v>
                </c:pt>
                <c:pt idx="47">
                  <c:v>9008.069375</c:v>
                </c:pt>
                <c:pt idx="48">
                  <c:v>9002.69095238095</c:v>
                </c:pt>
                <c:pt idx="49">
                  <c:v>9124.971304347826</c:v>
                </c:pt>
                <c:pt idx="50">
                  <c:v>9722.250714285716</c:v>
                </c:pt>
                <c:pt idx="51">
                  <c:v>9411.235499999999</c:v>
                </c:pt>
                <c:pt idx="52">
                  <c:v>9758.918823529411</c:v>
                </c:pt>
                <c:pt idx="53">
                  <c:v>9090.559444444445</c:v>
                </c:pt>
                <c:pt idx="54">
                  <c:v>8596.26105263158</c:v>
                </c:pt>
                <c:pt idx="55">
                  <c:v>8808.82375</c:v>
                </c:pt>
                <c:pt idx="56">
                  <c:v>8448.876842105265</c:v>
                </c:pt>
                <c:pt idx="57">
                  <c:v>9031.187222222223</c:v>
                </c:pt>
                <c:pt idx="58">
                  <c:v>8641.191875</c:v>
                </c:pt>
                <c:pt idx="59">
                  <c:v>9760.25529411765</c:v>
                </c:pt>
                <c:pt idx="60">
                  <c:v>8720.71357142857</c:v>
                </c:pt>
                <c:pt idx="61">
                  <c:v>9053.317857142858</c:v>
                </c:pt>
                <c:pt idx="62">
                  <c:v>8600.51</c:v>
                </c:pt>
                <c:pt idx="63">
                  <c:v>8008.1431250000005</c:v>
                </c:pt>
                <c:pt idx="64">
                  <c:v>8498.52875</c:v>
                </c:pt>
                <c:pt idx="65">
                  <c:v>8387.544285714286</c:v>
                </c:pt>
                <c:pt idx="66">
                  <c:v>9106.6805</c:v>
                </c:pt>
                <c:pt idx="67">
                  <c:v>8440.13875</c:v>
                </c:pt>
                <c:pt idx="68">
                  <c:v>8573.282222222224</c:v>
                </c:pt>
                <c:pt idx="69">
                  <c:v>7895.500588235294</c:v>
                </c:pt>
                <c:pt idx="70">
                  <c:v>8806.655909090907</c:v>
                </c:pt>
                <c:pt idx="71">
                  <c:v>7950.10294117647</c:v>
                </c:pt>
                <c:pt idx="72">
                  <c:v>8704.224999999997</c:v>
                </c:pt>
                <c:pt idx="73">
                  <c:v>8169.5526315789475</c:v>
                </c:pt>
                <c:pt idx="74">
                  <c:v>8650.62625</c:v>
                </c:pt>
                <c:pt idx="75">
                  <c:v>8908.4128</c:v>
                </c:pt>
                <c:pt idx="76">
                  <c:v>8577.784375</c:v>
                </c:pt>
                <c:pt idx="77">
                  <c:v>9172.741578947369</c:v>
                </c:pt>
                <c:pt idx="78">
                  <c:v>8720.734</c:v>
                </c:pt>
                <c:pt idx="79">
                  <c:v>8747.585000000001</c:v>
                </c:pt>
                <c:pt idx="80">
                  <c:v>9182.859166666667</c:v>
                </c:pt>
                <c:pt idx="81">
                  <c:v>9240.321</c:v>
                </c:pt>
                <c:pt idx="82">
                  <c:v>8333.133157894737</c:v>
                </c:pt>
                <c:pt idx="83">
                  <c:v>9156.873636363634</c:v>
                </c:pt>
                <c:pt idx="84">
                  <c:v>8375.322142857143</c:v>
                </c:pt>
                <c:pt idx="85">
                  <c:v>9234.40705882353</c:v>
                </c:pt>
                <c:pt idx="86">
                  <c:v>8913.811176470588</c:v>
                </c:pt>
                <c:pt idx="87">
                  <c:v>9153.472777777779</c:v>
                </c:pt>
                <c:pt idx="88">
                  <c:v>8892.242352941175</c:v>
                </c:pt>
                <c:pt idx="89">
                  <c:v>9023.330500000002</c:v>
                </c:pt>
                <c:pt idx="90">
                  <c:v>8461.586666666666</c:v>
                </c:pt>
                <c:pt idx="91">
                  <c:v>8229.902142857141</c:v>
                </c:pt>
                <c:pt idx="92">
                  <c:v>8887.550714285715</c:v>
                </c:pt>
                <c:pt idx="93">
                  <c:v>8786.133529411765</c:v>
                </c:pt>
                <c:pt idx="94">
                  <c:v>9925.452857142855</c:v>
                </c:pt>
                <c:pt idx="95">
                  <c:v>11149.863913043479</c:v>
                </c:pt>
                <c:pt idx="96">
                  <c:v>11335.153750000003</c:v>
                </c:pt>
                <c:pt idx="97">
                  <c:v>12832.023125000002</c:v>
                </c:pt>
                <c:pt idx="98">
                  <c:v>12553.536666666669</c:v>
                </c:pt>
                <c:pt idx="99">
                  <c:v>13142.822631578947</c:v>
                </c:pt>
                <c:pt idx="100">
                  <c:v>13160.455652173918</c:v>
                </c:pt>
                <c:pt idx="101">
                  <c:v>13307.286315789474</c:v>
                </c:pt>
                <c:pt idx="102">
                  <c:v>12752.621764705884</c:v>
                </c:pt>
                <c:pt idx="103">
                  <c:v>12770.828800000001</c:v>
                </c:pt>
                <c:pt idx="104">
                  <c:v>12582.234444444444</c:v>
                </c:pt>
                <c:pt idx="105">
                  <c:v>12682.959166666666</c:v>
                </c:pt>
                <c:pt idx="106">
                  <c:v>12696.96</c:v>
                </c:pt>
                <c:pt idx="107">
                  <c:v>12868.89888888889</c:v>
                </c:pt>
                <c:pt idx="108">
                  <c:v>12471.907857142856</c:v>
                </c:pt>
                <c:pt idx="109">
                  <c:v>13092.762222222222</c:v>
                </c:pt>
                <c:pt idx="110">
                  <c:v>12872.757368421053</c:v>
                </c:pt>
                <c:pt idx="111">
                  <c:v>12718.774736842106</c:v>
                </c:pt>
                <c:pt idx="112">
                  <c:v>13251.71380952381</c:v>
                </c:pt>
                <c:pt idx="113">
                  <c:v>12980.956000000002</c:v>
                </c:pt>
                <c:pt idx="114">
                  <c:v>12295.758823529415</c:v>
                </c:pt>
                <c:pt idx="115">
                  <c:v>13032.257142857141</c:v>
                </c:pt>
                <c:pt idx="116">
                  <c:v>11828.070555555554</c:v>
                </c:pt>
                <c:pt idx="117">
                  <c:v>12048.889545454544</c:v>
                </c:pt>
                <c:pt idx="118">
                  <c:v>11762.372</c:v>
                </c:pt>
                <c:pt idx="119">
                  <c:v>11962.815555555551</c:v>
                </c:pt>
                <c:pt idx="120">
                  <c:v>11839.23</c:v>
                </c:pt>
                <c:pt idx="121">
                  <c:v>11507.037999999999</c:v>
                </c:pt>
                <c:pt idx="122">
                  <c:v>11894.513684210526</c:v>
                </c:pt>
                <c:pt idx="123">
                  <c:v>12657.863888888889</c:v>
                </c:pt>
                <c:pt idx="124">
                  <c:v>13269.22</c:v>
                </c:pt>
                <c:pt idx="125">
                  <c:v>11305.195714285714</c:v>
                </c:pt>
                <c:pt idx="126">
                  <c:v>11408.442777777775</c:v>
                </c:pt>
              </c:numCache>
            </c:numRef>
          </c:val>
          <c:smooth val="0"/>
        </c:ser>
        <c:marker val="1"/>
        <c:axId val="21842950"/>
        <c:axId val="62368823"/>
      </c:lineChart>
      <c:catAx>
        <c:axId val="21842950"/>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62368823"/>
        <c:crosses val="autoZero"/>
        <c:auto val="0"/>
        <c:lblOffset val="100"/>
        <c:tickLblSkip val="3"/>
        <c:noMultiLvlLbl val="0"/>
      </c:catAx>
      <c:valAx>
        <c:axId val="62368823"/>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2184295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19 de mayo al 30 de junio de 2016 
</a:t>
            </a:r>
            <a:r>
              <a:rPr lang="en-US" cap="none" sz="1000" b="1" i="0" u="none" baseline="0">
                <a:solidFill>
                  <a:srgbClr val="000000"/>
                </a:solidFill>
              </a:rPr>
              <a:t>(en $ por saco de 50 kilos, sin IVA)</a:t>
            </a:r>
          </a:p>
        </c:rich>
      </c:tx>
      <c:layout>
        <c:manualLayout>
          <c:xMode val="factor"/>
          <c:yMode val="factor"/>
          <c:x val="-0.049"/>
          <c:y val="-0.0125"/>
        </c:manualLayout>
      </c:layout>
      <c:spPr>
        <a:noFill/>
        <a:ln w="3175">
          <a:noFill/>
        </a:ln>
      </c:spPr>
    </c:title>
    <c:plotArea>
      <c:layout>
        <c:manualLayout>
          <c:xMode val="edge"/>
          <c:yMode val="edge"/>
          <c:x val="0.01575"/>
          <c:y val="0.10875"/>
          <c:w val="0.81275"/>
          <c:h val="0.7982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24448496"/>
        <c:axId val="18709873"/>
      </c:lineChart>
      <c:dateAx>
        <c:axId val="24448496"/>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18709873"/>
        <c:crosses val="autoZero"/>
        <c:auto val="0"/>
        <c:baseTimeUnit val="days"/>
        <c:majorUnit val="2"/>
        <c:majorTimeUnit val="days"/>
        <c:minorUnit val="1"/>
        <c:minorTimeUnit val="days"/>
        <c:noMultiLvlLbl val="0"/>
      </c:dateAx>
      <c:valAx>
        <c:axId val="18709873"/>
        <c:scaling>
          <c:orientation val="minMax"/>
          <c:min val="6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4448496"/>
        <c:crossesAt val="1"/>
        <c:crossBetween val="between"/>
        <c:dispUnits/>
      </c:valAx>
      <c:spPr>
        <a:noFill/>
        <a:ln>
          <a:noFill/>
        </a:ln>
      </c:spPr>
    </c:plotArea>
    <c:legend>
      <c:legendPos val="r"/>
      <c:layout>
        <c:manualLayout>
          <c:xMode val="edge"/>
          <c:yMode val="edge"/>
          <c:x val="0.8395"/>
          <c:y val="0.06"/>
          <c:w val="0.1595"/>
          <c:h val="0.93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725"/>
          <c:y val="0.07075"/>
          <c:w val="0.982"/>
          <c:h val="0.819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34171130"/>
        <c:axId val="39104715"/>
      </c:lineChart>
      <c:dateAx>
        <c:axId val="34171130"/>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9104715"/>
        <c:crosses val="autoZero"/>
        <c:auto val="0"/>
        <c:baseTimeUnit val="months"/>
        <c:majorUnit val="2"/>
        <c:majorTimeUnit val="months"/>
        <c:minorUnit val="1"/>
        <c:minorTimeUnit val="months"/>
        <c:noMultiLvlLbl val="0"/>
      </c:dateAx>
      <c:valAx>
        <c:axId val="39104715"/>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34171130"/>
        <c:crossesAt val="1"/>
        <c:crossBetween val="between"/>
        <c:dispUnits/>
      </c:valAx>
      <c:spPr>
        <a:noFill/>
        <a:ln>
          <a:noFill/>
        </a:ln>
      </c:spPr>
    </c:plotArea>
    <c:legend>
      <c:legendPos val="r"/>
      <c:layout>
        <c:manualLayout>
          <c:xMode val="edge"/>
          <c:yMode val="edge"/>
          <c:x val="0.31375"/>
          <c:y val="0.8855"/>
          <c:w val="0.372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8 de febrero al 27 de junio de 2016 ($/ kilo con IVA)</a:t>
            </a:r>
          </a:p>
        </c:rich>
      </c:tx>
      <c:layout>
        <c:manualLayout>
          <c:xMode val="factor"/>
          <c:yMode val="factor"/>
          <c:x val="-0.00275"/>
          <c:y val="-0.015"/>
        </c:manualLayout>
      </c:layout>
      <c:spPr>
        <a:noFill/>
        <a:ln w="3175">
          <a:noFill/>
        </a:ln>
      </c:spPr>
    </c:title>
    <c:plotArea>
      <c:layout>
        <c:manualLayout>
          <c:xMode val="edge"/>
          <c:yMode val="edge"/>
          <c:x val="0.05625"/>
          <c:y val="0.09675"/>
          <c:w val="0.9495"/>
          <c:h val="0.77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16398116"/>
        <c:axId val="13365317"/>
      </c:lineChart>
      <c:dateAx>
        <c:axId val="16398116"/>
        <c:scaling>
          <c:orientation val="minMax"/>
        </c:scaling>
        <c:axPos val="b"/>
        <c:delete val="0"/>
        <c:numFmt formatCode="dd/mm" sourceLinked="0"/>
        <c:majorTickMark val="out"/>
        <c:minorTickMark val="none"/>
        <c:tickLblPos val="nextTo"/>
        <c:spPr>
          <a:ln w="3175">
            <a:solidFill>
              <a:srgbClr val="C0C0C0"/>
            </a:solidFill>
          </a:ln>
        </c:spPr>
        <c:crossAx val="13365317"/>
        <c:crosses val="autoZero"/>
        <c:auto val="0"/>
        <c:baseTimeUnit val="days"/>
        <c:majorUnit val="14"/>
        <c:majorTimeUnit val="days"/>
        <c:minorUnit val="1"/>
        <c:minorTimeUnit val="days"/>
        <c:noMultiLvlLbl val="0"/>
      </c:dateAx>
      <c:valAx>
        <c:axId val="13365317"/>
        <c:scaling>
          <c:orientation val="minMax"/>
          <c:min val="6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16398116"/>
        <c:crossesAt val="1"/>
        <c:crossBetween val="between"/>
        <c:dispUnits/>
      </c:valAx>
      <c:spPr>
        <a:noFill/>
        <a:ln>
          <a:noFill/>
        </a:ln>
      </c:spPr>
    </c:plotArea>
    <c:legend>
      <c:legendPos val="r"/>
      <c:layout>
        <c:manualLayout>
          <c:xMode val="edge"/>
          <c:yMode val="edge"/>
          <c:x val="0.16225"/>
          <c:y val="0.923"/>
          <c:w val="0.734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8 de febrero al 27 de junio de 2016 ($/ kilo con IVA)</a:t>
            </a:r>
          </a:p>
        </c:rich>
      </c:tx>
      <c:layout>
        <c:manualLayout>
          <c:xMode val="factor"/>
          <c:yMode val="factor"/>
          <c:x val="-0.00275"/>
          <c:y val="-0.015"/>
        </c:manualLayout>
      </c:layout>
      <c:spPr>
        <a:noFill/>
        <a:ln w="3175">
          <a:noFill/>
        </a:ln>
      </c:spPr>
    </c:title>
    <c:plotArea>
      <c:layout>
        <c:manualLayout>
          <c:xMode val="edge"/>
          <c:yMode val="edge"/>
          <c:x val="0.0475"/>
          <c:y val="0.09725"/>
          <c:w val="0.96"/>
          <c:h val="0.774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53178990"/>
        <c:axId val="8848863"/>
      </c:lineChart>
      <c:dateAx>
        <c:axId val="53178990"/>
        <c:scaling>
          <c:orientation val="minMax"/>
        </c:scaling>
        <c:axPos val="b"/>
        <c:delete val="0"/>
        <c:numFmt formatCode="dd/mm" sourceLinked="0"/>
        <c:majorTickMark val="out"/>
        <c:minorTickMark val="none"/>
        <c:tickLblPos val="nextTo"/>
        <c:spPr>
          <a:ln w="3175">
            <a:solidFill>
              <a:srgbClr val="C0C0C0"/>
            </a:solidFill>
          </a:ln>
        </c:spPr>
        <c:crossAx val="8848863"/>
        <c:crosses val="autoZero"/>
        <c:auto val="0"/>
        <c:baseTimeUnit val="days"/>
        <c:majorUnit val="14"/>
        <c:majorTimeUnit val="days"/>
        <c:minorUnit val="1"/>
        <c:minorTimeUnit val="days"/>
        <c:noMultiLvlLbl val="0"/>
      </c:dateAx>
      <c:valAx>
        <c:axId val="8848863"/>
        <c:scaling>
          <c:orientation val="minMax"/>
          <c:min val="2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7"/>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53178990"/>
        <c:crossesAt val="1"/>
        <c:crossBetween val="between"/>
        <c:dispUnits/>
      </c:valAx>
      <c:spPr>
        <a:noFill/>
        <a:ln>
          <a:noFill/>
        </a:ln>
      </c:spPr>
    </c:plotArea>
    <c:legend>
      <c:legendPos val="r"/>
      <c:layout>
        <c:manualLayout>
          <c:xMode val="edge"/>
          <c:yMode val="edge"/>
          <c:x val="0.15325"/>
          <c:y val="0.921"/>
          <c:w val="0.713"/>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325"/>
          <c:y val="-0.01325"/>
        </c:manualLayout>
      </c:layout>
      <c:spPr>
        <a:noFill/>
        <a:ln w="3175">
          <a:noFill/>
        </a:ln>
      </c:spPr>
    </c:title>
    <c:plotArea>
      <c:layout>
        <c:manualLayout>
          <c:xMode val="edge"/>
          <c:yMode val="edge"/>
          <c:x val="0.04025"/>
          <c:y val="0.07025"/>
          <c:w val="0.9295"/>
          <c:h val="0.854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rend'!$C$7:$C$22</c:f>
              <c:strCache/>
            </c:strRef>
          </c:cat>
          <c:val>
            <c:numRef>
              <c:f>'sup, prod y rend'!$D$7:$D$22</c:f>
              <c:numCache/>
            </c:numRef>
          </c:val>
          <c:smooth val="0"/>
        </c:ser>
        <c:marker val="1"/>
        <c:axId val="12530904"/>
        <c:axId val="45669273"/>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rend'!$C$7:$C$22</c:f>
              <c:strCache/>
            </c:strRef>
          </c:cat>
          <c:val>
            <c:numRef>
              <c:f>'sup, prod y rend'!$E$7:$E$22</c:f>
              <c:numCache/>
            </c:numRef>
          </c:val>
          <c:smooth val="0"/>
        </c:ser>
        <c:marker val="1"/>
        <c:axId val="8370274"/>
        <c:axId val="8223603"/>
      </c:lineChart>
      <c:catAx>
        <c:axId val="1253090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45669273"/>
        <c:crosses val="autoZero"/>
        <c:auto val="1"/>
        <c:lblOffset val="100"/>
        <c:tickLblSkip val="1"/>
        <c:noMultiLvlLbl val="0"/>
      </c:catAx>
      <c:valAx>
        <c:axId val="45669273"/>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172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12530904"/>
        <c:crossesAt val="1"/>
        <c:crossBetween val="between"/>
        <c:dispUnits/>
      </c:valAx>
      <c:catAx>
        <c:axId val="8370274"/>
        <c:scaling>
          <c:orientation val="minMax"/>
        </c:scaling>
        <c:axPos val="b"/>
        <c:delete val="1"/>
        <c:majorTickMark val="out"/>
        <c:minorTickMark val="none"/>
        <c:tickLblPos val="nextTo"/>
        <c:crossAx val="8223603"/>
        <c:crosses val="autoZero"/>
        <c:auto val="1"/>
        <c:lblOffset val="100"/>
        <c:tickLblSkip val="1"/>
        <c:noMultiLvlLbl val="0"/>
      </c:catAx>
      <c:valAx>
        <c:axId val="8223603"/>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35"/>
              <c:y val="0.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8370274"/>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2"/>
          <c:y val="0.93125"/>
          <c:w val="0.627"/>
          <c:h val="0.06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3"/>
          <c:y val="0.075"/>
          <c:w val="0.94025"/>
          <c:h val="0.848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6903564"/>
        <c:axId val="62132077"/>
      </c:barChart>
      <c:catAx>
        <c:axId val="69035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2132077"/>
        <c:crosses val="autoZero"/>
        <c:auto val="1"/>
        <c:lblOffset val="100"/>
        <c:tickLblSkip val="1"/>
        <c:noMultiLvlLbl val="0"/>
      </c:catAx>
      <c:valAx>
        <c:axId val="62132077"/>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903564"/>
        <c:crossesAt val="1"/>
        <c:crossBetween val="between"/>
        <c:dispUnits/>
      </c:valAx>
      <c:spPr>
        <a:noFill/>
        <a:ln>
          <a:noFill/>
        </a:ln>
      </c:spPr>
    </c:plotArea>
    <c:legend>
      <c:legendPos val="r"/>
      <c:layout>
        <c:manualLayout>
          <c:xMode val="edge"/>
          <c:yMode val="edge"/>
          <c:x val="0.38075"/>
          <c:y val="0.928"/>
          <c:w val="0.2417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25"/>
        </c:manualLayout>
      </c:layout>
      <c:spPr>
        <a:noFill/>
        <a:ln w="3175">
          <a:noFill/>
        </a:ln>
      </c:spPr>
    </c:title>
    <c:plotArea>
      <c:layout>
        <c:manualLayout>
          <c:xMode val="edge"/>
          <c:yMode val="edge"/>
          <c:x val="0.04725"/>
          <c:y val="0.07"/>
          <c:w val="0.938"/>
          <c:h val="0.849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22317782"/>
        <c:axId val="66642311"/>
      </c:barChart>
      <c:catAx>
        <c:axId val="223177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6642311"/>
        <c:crosses val="autoZero"/>
        <c:auto val="1"/>
        <c:lblOffset val="100"/>
        <c:tickLblSkip val="1"/>
        <c:noMultiLvlLbl val="0"/>
      </c:catAx>
      <c:valAx>
        <c:axId val="66642311"/>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2317782"/>
        <c:crossesAt val="1"/>
        <c:crossBetween val="between"/>
        <c:dispUnits/>
      </c:valAx>
      <c:spPr>
        <a:noFill/>
        <a:ln>
          <a:noFill/>
        </a:ln>
      </c:spPr>
    </c:plotArea>
    <c:legend>
      <c:legendPos val="r"/>
      <c:layout>
        <c:manualLayout>
          <c:xMode val="edge"/>
          <c:yMode val="edge"/>
          <c:x val="0.37725"/>
          <c:y val="0.93225"/>
          <c:w val="0.24525"/>
          <c:h val="0.05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6</xdr:col>
      <xdr:colOff>914400</xdr:colOff>
      <xdr:row>46</xdr:row>
      <xdr:rowOff>114300</xdr:rowOff>
    </xdr:to>
    <xdr:graphicFrame>
      <xdr:nvGraphicFramePr>
        <xdr:cNvPr id="1" name="Gráfico 1"/>
        <xdr:cNvGraphicFramePr/>
      </xdr:nvGraphicFramePr>
      <xdr:xfrm>
        <a:off x="114300" y="3895725"/>
        <a:ext cx="5867400" cy="4105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9525</xdr:rowOff>
    </xdr:from>
    <xdr:to>
      <xdr:col>11</xdr:col>
      <xdr:colOff>676275</xdr:colOff>
      <xdr:row>45</xdr:row>
      <xdr:rowOff>0</xdr:rowOff>
    </xdr:to>
    <xdr:graphicFrame>
      <xdr:nvGraphicFramePr>
        <xdr:cNvPr id="1" name="Gráfico 1"/>
        <xdr:cNvGraphicFramePr/>
      </xdr:nvGraphicFramePr>
      <xdr:xfrm>
        <a:off x="76200" y="3648075"/>
        <a:ext cx="8791575" cy="40671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11</xdr:col>
      <xdr:colOff>676275</xdr:colOff>
      <xdr:row>47</xdr:row>
      <xdr:rowOff>133350</xdr:rowOff>
    </xdr:to>
    <xdr:graphicFrame>
      <xdr:nvGraphicFramePr>
        <xdr:cNvPr id="1" name="Gráfico 1"/>
        <xdr:cNvGraphicFramePr/>
      </xdr:nvGraphicFramePr>
      <xdr:xfrm>
        <a:off x="114300" y="3981450"/>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19050</xdr:rowOff>
    </xdr:from>
    <xdr:to>
      <xdr:col>11</xdr:col>
      <xdr:colOff>666750</xdr:colOff>
      <xdr:row>45</xdr:row>
      <xdr:rowOff>142875</xdr:rowOff>
    </xdr:to>
    <xdr:graphicFrame>
      <xdr:nvGraphicFramePr>
        <xdr:cNvPr id="1" name="Gráfico 2"/>
        <xdr:cNvGraphicFramePr/>
      </xdr:nvGraphicFramePr>
      <xdr:xfrm>
        <a:off x="114300" y="3914775"/>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58125"/>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17</xdr:row>
      <xdr:rowOff>85725</xdr:rowOff>
    </xdr:from>
    <xdr:to>
      <xdr:col>3</xdr:col>
      <xdr:colOff>238125</xdr:colOff>
      <xdr:row>17</xdr:row>
      <xdr:rowOff>85725</xdr:rowOff>
    </xdr:to>
    <xdr:sp>
      <xdr:nvSpPr>
        <xdr:cNvPr id="4" name="Conector recto 10"/>
        <xdr:cNvSpPr>
          <a:spLocks/>
        </xdr:cNvSpPr>
      </xdr:nvSpPr>
      <xdr:spPr>
        <a:xfrm flipH="1">
          <a:off x="4772025" y="2552700"/>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33</xdr:row>
      <xdr:rowOff>104775</xdr:rowOff>
    </xdr:from>
    <xdr:to>
      <xdr:col>3</xdr:col>
      <xdr:colOff>209550</xdr:colOff>
      <xdr:row>33</xdr:row>
      <xdr:rowOff>104775</xdr:rowOff>
    </xdr:to>
    <xdr:sp>
      <xdr:nvSpPr>
        <xdr:cNvPr id="5" name="Conector recto 26"/>
        <xdr:cNvSpPr>
          <a:spLocks/>
        </xdr:cNvSpPr>
      </xdr:nvSpPr>
      <xdr:spPr>
        <a:xfrm flipV="1">
          <a:off x="3905250" y="5048250"/>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34</xdr:row>
      <xdr:rowOff>104775</xdr:rowOff>
    </xdr:from>
    <xdr:to>
      <xdr:col>3</xdr:col>
      <xdr:colOff>200025</xdr:colOff>
      <xdr:row>34</xdr:row>
      <xdr:rowOff>104775</xdr:rowOff>
    </xdr:to>
    <xdr:sp>
      <xdr:nvSpPr>
        <xdr:cNvPr id="6" name="Conector recto 27"/>
        <xdr:cNvSpPr>
          <a:spLocks/>
        </xdr:cNvSpPr>
      </xdr:nvSpPr>
      <xdr:spPr>
        <a:xfrm flipV="1">
          <a:off x="5400675" y="521017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35</xdr:row>
      <xdr:rowOff>85725</xdr:rowOff>
    </xdr:from>
    <xdr:to>
      <xdr:col>3</xdr:col>
      <xdr:colOff>209550</xdr:colOff>
      <xdr:row>35</xdr:row>
      <xdr:rowOff>85725</xdr:rowOff>
    </xdr:to>
    <xdr:sp>
      <xdr:nvSpPr>
        <xdr:cNvPr id="7" name="Conector recto 28"/>
        <xdr:cNvSpPr>
          <a:spLocks/>
        </xdr:cNvSpPr>
      </xdr:nvSpPr>
      <xdr:spPr>
        <a:xfrm flipV="1">
          <a:off x="5467350" y="535305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36</xdr:row>
      <xdr:rowOff>104775</xdr:rowOff>
    </xdr:from>
    <xdr:to>
      <xdr:col>3</xdr:col>
      <xdr:colOff>219075</xdr:colOff>
      <xdr:row>36</xdr:row>
      <xdr:rowOff>104775</xdr:rowOff>
    </xdr:to>
    <xdr:sp>
      <xdr:nvSpPr>
        <xdr:cNvPr id="8" name="Conector recto 29"/>
        <xdr:cNvSpPr>
          <a:spLocks/>
        </xdr:cNvSpPr>
      </xdr:nvSpPr>
      <xdr:spPr>
        <a:xfrm flipV="1">
          <a:off x="5505450" y="5534025"/>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32</xdr:row>
      <xdr:rowOff>114300</xdr:rowOff>
    </xdr:from>
    <xdr:to>
      <xdr:col>3</xdr:col>
      <xdr:colOff>209550</xdr:colOff>
      <xdr:row>32</xdr:row>
      <xdr:rowOff>114300</xdr:rowOff>
    </xdr:to>
    <xdr:sp>
      <xdr:nvSpPr>
        <xdr:cNvPr id="9" name="Conector recto 30"/>
        <xdr:cNvSpPr>
          <a:spLocks/>
        </xdr:cNvSpPr>
      </xdr:nvSpPr>
      <xdr:spPr>
        <a:xfrm flipV="1">
          <a:off x="4743450" y="4895850"/>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31</xdr:row>
      <xdr:rowOff>133350</xdr:rowOff>
    </xdr:from>
    <xdr:to>
      <xdr:col>3</xdr:col>
      <xdr:colOff>219075</xdr:colOff>
      <xdr:row>31</xdr:row>
      <xdr:rowOff>133350</xdr:rowOff>
    </xdr:to>
    <xdr:sp>
      <xdr:nvSpPr>
        <xdr:cNvPr id="10" name="Conector recto 31"/>
        <xdr:cNvSpPr>
          <a:spLocks/>
        </xdr:cNvSpPr>
      </xdr:nvSpPr>
      <xdr:spPr>
        <a:xfrm flipV="1">
          <a:off x="5334000" y="4752975"/>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30</xdr:row>
      <xdr:rowOff>114300</xdr:rowOff>
    </xdr:from>
    <xdr:to>
      <xdr:col>3</xdr:col>
      <xdr:colOff>247650</xdr:colOff>
      <xdr:row>30</xdr:row>
      <xdr:rowOff>114300</xdr:rowOff>
    </xdr:to>
    <xdr:sp>
      <xdr:nvSpPr>
        <xdr:cNvPr id="11" name="Conector recto 33"/>
        <xdr:cNvSpPr>
          <a:spLocks/>
        </xdr:cNvSpPr>
      </xdr:nvSpPr>
      <xdr:spPr>
        <a:xfrm flipV="1">
          <a:off x="5448300" y="45720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29</xdr:row>
      <xdr:rowOff>95250</xdr:rowOff>
    </xdr:from>
    <xdr:to>
      <xdr:col>3</xdr:col>
      <xdr:colOff>238125</xdr:colOff>
      <xdr:row>29</xdr:row>
      <xdr:rowOff>95250</xdr:rowOff>
    </xdr:to>
    <xdr:sp>
      <xdr:nvSpPr>
        <xdr:cNvPr id="12" name="Conector recto 34"/>
        <xdr:cNvSpPr>
          <a:spLocks/>
        </xdr:cNvSpPr>
      </xdr:nvSpPr>
      <xdr:spPr>
        <a:xfrm flipV="1">
          <a:off x="5057775" y="43910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28</xdr:row>
      <xdr:rowOff>104775</xdr:rowOff>
    </xdr:from>
    <xdr:to>
      <xdr:col>3</xdr:col>
      <xdr:colOff>209550</xdr:colOff>
      <xdr:row>28</xdr:row>
      <xdr:rowOff>104775</xdr:rowOff>
    </xdr:to>
    <xdr:sp>
      <xdr:nvSpPr>
        <xdr:cNvPr id="13" name="Conector recto 35"/>
        <xdr:cNvSpPr>
          <a:spLocks/>
        </xdr:cNvSpPr>
      </xdr:nvSpPr>
      <xdr:spPr>
        <a:xfrm flipV="1">
          <a:off x="4095750" y="4238625"/>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27</xdr:row>
      <xdr:rowOff>104775</xdr:rowOff>
    </xdr:from>
    <xdr:to>
      <xdr:col>3</xdr:col>
      <xdr:colOff>209550</xdr:colOff>
      <xdr:row>27</xdr:row>
      <xdr:rowOff>104775</xdr:rowOff>
    </xdr:to>
    <xdr:sp>
      <xdr:nvSpPr>
        <xdr:cNvPr id="14" name="Conector recto 36"/>
        <xdr:cNvSpPr>
          <a:spLocks/>
        </xdr:cNvSpPr>
      </xdr:nvSpPr>
      <xdr:spPr>
        <a:xfrm flipV="1">
          <a:off x="4886325" y="40767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8</xdr:row>
      <xdr:rowOff>104775</xdr:rowOff>
    </xdr:from>
    <xdr:to>
      <xdr:col>3</xdr:col>
      <xdr:colOff>247650</xdr:colOff>
      <xdr:row>8</xdr:row>
      <xdr:rowOff>104775</xdr:rowOff>
    </xdr:to>
    <xdr:sp>
      <xdr:nvSpPr>
        <xdr:cNvPr id="15" name="Conector recto 37"/>
        <xdr:cNvSpPr>
          <a:spLocks/>
        </xdr:cNvSpPr>
      </xdr:nvSpPr>
      <xdr:spPr>
        <a:xfrm>
          <a:off x="3714750" y="1238250"/>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12</xdr:row>
      <xdr:rowOff>104775</xdr:rowOff>
    </xdr:from>
    <xdr:to>
      <xdr:col>3</xdr:col>
      <xdr:colOff>247650</xdr:colOff>
      <xdr:row>12</xdr:row>
      <xdr:rowOff>104775</xdr:rowOff>
    </xdr:to>
    <xdr:sp>
      <xdr:nvSpPr>
        <xdr:cNvPr id="16" name="Conector recto 38"/>
        <xdr:cNvSpPr>
          <a:spLocks/>
        </xdr:cNvSpPr>
      </xdr:nvSpPr>
      <xdr:spPr>
        <a:xfrm flipV="1">
          <a:off x="4886325" y="176212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114300</xdr:rowOff>
    </xdr:from>
    <xdr:to>
      <xdr:col>3</xdr:col>
      <xdr:colOff>247650</xdr:colOff>
      <xdr:row>13</xdr:row>
      <xdr:rowOff>114300</xdr:rowOff>
    </xdr:to>
    <xdr:sp>
      <xdr:nvSpPr>
        <xdr:cNvPr id="17" name="Conector recto 39"/>
        <xdr:cNvSpPr>
          <a:spLocks/>
        </xdr:cNvSpPr>
      </xdr:nvSpPr>
      <xdr:spPr>
        <a:xfrm flipV="1">
          <a:off x="5172075" y="19335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95250</xdr:rowOff>
    </xdr:from>
    <xdr:to>
      <xdr:col>3</xdr:col>
      <xdr:colOff>247650</xdr:colOff>
      <xdr:row>14</xdr:row>
      <xdr:rowOff>95250</xdr:rowOff>
    </xdr:to>
    <xdr:sp>
      <xdr:nvSpPr>
        <xdr:cNvPr id="18" name="Conector recto 40"/>
        <xdr:cNvSpPr>
          <a:spLocks/>
        </xdr:cNvSpPr>
      </xdr:nvSpPr>
      <xdr:spPr>
        <a:xfrm flipV="1">
          <a:off x="5172075" y="207645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85725</xdr:rowOff>
    </xdr:from>
    <xdr:to>
      <xdr:col>3</xdr:col>
      <xdr:colOff>257175</xdr:colOff>
      <xdr:row>15</xdr:row>
      <xdr:rowOff>85725</xdr:rowOff>
    </xdr:to>
    <xdr:sp>
      <xdr:nvSpPr>
        <xdr:cNvPr id="19" name="Conector recto 41"/>
        <xdr:cNvSpPr>
          <a:spLocks/>
        </xdr:cNvSpPr>
      </xdr:nvSpPr>
      <xdr:spPr>
        <a:xfrm flipV="1">
          <a:off x="5467350" y="2228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16</xdr:row>
      <xdr:rowOff>104775</xdr:rowOff>
    </xdr:from>
    <xdr:to>
      <xdr:col>3</xdr:col>
      <xdr:colOff>247650</xdr:colOff>
      <xdr:row>16</xdr:row>
      <xdr:rowOff>104775</xdr:rowOff>
    </xdr:to>
    <xdr:sp>
      <xdr:nvSpPr>
        <xdr:cNvPr id="20" name="Conector recto 42"/>
        <xdr:cNvSpPr>
          <a:spLocks/>
        </xdr:cNvSpPr>
      </xdr:nvSpPr>
      <xdr:spPr>
        <a:xfrm flipV="1">
          <a:off x="5686425" y="2409825"/>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18</xdr:row>
      <xdr:rowOff>104775</xdr:rowOff>
    </xdr:from>
    <xdr:to>
      <xdr:col>3</xdr:col>
      <xdr:colOff>219075</xdr:colOff>
      <xdr:row>18</xdr:row>
      <xdr:rowOff>104775</xdr:rowOff>
    </xdr:to>
    <xdr:sp>
      <xdr:nvSpPr>
        <xdr:cNvPr id="21" name="Conector recto 43"/>
        <xdr:cNvSpPr>
          <a:spLocks/>
        </xdr:cNvSpPr>
      </xdr:nvSpPr>
      <xdr:spPr>
        <a:xfrm flipV="1">
          <a:off x="5400675" y="2733675"/>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19</xdr:row>
      <xdr:rowOff>104775</xdr:rowOff>
    </xdr:from>
    <xdr:to>
      <xdr:col>3</xdr:col>
      <xdr:colOff>209550</xdr:colOff>
      <xdr:row>19</xdr:row>
      <xdr:rowOff>104775</xdr:rowOff>
    </xdr:to>
    <xdr:sp>
      <xdr:nvSpPr>
        <xdr:cNvPr id="22" name="Conector recto 44"/>
        <xdr:cNvSpPr>
          <a:spLocks/>
        </xdr:cNvSpPr>
      </xdr:nvSpPr>
      <xdr:spPr>
        <a:xfrm flipV="1">
          <a:off x="5467350" y="289560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20</xdr:row>
      <xdr:rowOff>85725</xdr:rowOff>
    </xdr:from>
    <xdr:to>
      <xdr:col>3</xdr:col>
      <xdr:colOff>209550</xdr:colOff>
      <xdr:row>20</xdr:row>
      <xdr:rowOff>85725</xdr:rowOff>
    </xdr:to>
    <xdr:sp>
      <xdr:nvSpPr>
        <xdr:cNvPr id="23" name="Conector recto 45"/>
        <xdr:cNvSpPr>
          <a:spLocks/>
        </xdr:cNvSpPr>
      </xdr:nvSpPr>
      <xdr:spPr>
        <a:xfrm flipV="1">
          <a:off x="5581650" y="303847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22</xdr:row>
      <xdr:rowOff>85725</xdr:rowOff>
    </xdr:from>
    <xdr:to>
      <xdr:col>3</xdr:col>
      <xdr:colOff>190500</xdr:colOff>
      <xdr:row>22</xdr:row>
      <xdr:rowOff>85725</xdr:rowOff>
    </xdr:to>
    <xdr:sp>
      <xdr:nvSpPr>
        <xdr:cNvPr id="24" name="Conector recto 48"/>
        <xdr:cNvSpPr>
          <a:spLocks/>
        </xdr:cNvSpPr>
      </xdr:nvSpPr>
      <xdr:spPr>
        <a:xfrm flipV="1">
          <a:off x="5953125" y="3390900"/>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23</xdr:row>
      <xdr:rowOff>114300</xdr:rowOff>
    </xdr:from>
    <xdr:to>
      <xdr:col>3</xdr:col>
      <xdr:colOff>180975</xdr:colOff>
      <xdr:row>23</xdr:row>
      <xdr:rowOff>114300</xdr:rowOff>
    </xdr:to>
    <xdr:sp>
      <xdr:nvSpPr>
        <xdr:cNvPr id="25" name="Conector recto 49"/>
        <xdr:cNvSpPr>
          <a:spLocks/>
        </xdr:cNvSpPr>
      </xdr:nvSpPr>
      <xdr:spPr>
        <a:xfrm flipV="1">
          <a:off x="5905500" y="3581400"/>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21</xdr:row>
      <xdr:rowOff>114300</xdr:rowOff>
    </xdr:from>
    <xdr:to>
      <xdr:col>3</xdr:col>
      <xdr:colOff>190500</xdr:colOff>
      <xdr:row>21</xdr:row>
      <xdr:rowOff>114300</xdr:rowOff>
    </xdr:to>
    <xdr:sp>
      <xdr:nvSpPr>
        <xdr:cNvPr id="26" name="Conector recto 32"/>
        <xdr:cNvSpPr>
          <a:spLocks/>
        </xdr:cNvSpPr>
      </xdr:nvSpPr>
      <xdr:spPr>
        <a:xfrm flipV="1">
          <a:off x="4400550" y="3228975"/>
          <a:ext cx="1943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9525</xdr:rowOff>
    </xdr:from>
    <xdr:to>
      <xdr:col>7</xdr:col>
      <xdr:colOff>152400</xdr:colOff>
      <xdr:row>40</xdr:row>
      <xdr:rowOff>123825</xdr:rowOff>
    </xdr:to>
    <xdr:graphicFrame>
      <xdr:nvGraphicFramePr>
        <xdr:cNvPr id="1" name="Gráfico 2"/>
        <xdr:cNvGraphicFramePr/>
      </xdr:nvGraphicFramePr>
      <xdr:xfrm>
        <a:off x="38100" y="4962525"/>
        <a:ext cx="6391275"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1724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28575</xdr:rowOff>
    </xdr:from>
    <xdr:to>
      <xdr:col>13</xdr:col>
      <xdr:colOff>9525</xdr:colOff>
      <xdr:row>56</xdr:row>
      <xdr:rowOff>85725</xdr:rowOff>
    </xdr:to>
    <xdr:graphicFrame>
      <xdr:nvGraphicFramePr>
        <xdr:cNvPr id="1" name="Gráfico 2"/>
        <xdr:cNvGraphicFramePr/>
      </xdr:nvGraphicFramePr>
      <xdr:xfrm>
        <a:off x="123825" y="6696075"/>
        <a:ext cx="8372475" cy="3714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13</xdr:col>
      <xdr:colOff>9525</xdr:colOff>
      <xdr:row>60</xdr:row>
      <xdr:rowOff>9525</xdr:rowOff>
    </xdr:to>
    <xdr:graphicFrame>
      <xdr:nvGraphicFramePr>
        <xdr:cNvPr id="1" name="Gráfico 1"/>
        <xdr:cNvGraphicFramePr/>
      </xdr:nvGraphicFramePr>
      <xdr:xfrm>
        <a:off x="76200" y="6172200"/>
        <a:ext cx="10201275" cy="42957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81175" cy="247650"/>
    <xdr:sp>
      <xdr:nvSpPr>
        <xdr:cNvPr id="2" name="1 CuadroTexto"/>
        <xdr:cNvSpPr txBox="1">
          <a:spLocks noChangeArrowheads="1"/>
        </xdr:cNvSpPr>
      </xdr:nvSpPr>
      <xdr:spPr>
        <a:xfrm>
          <a:off x="85725" y="10125075"/>
          <a:ext cx="1781175" cy="2476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0.24575</cdr:x>
      <cdr:y>1</cdr:y>
    </cdr:to>
    <cdr:sp>
      <cdr:nvSpPr>
        <cdr:cNvPr id="1" name="1 CuadroTexto"/>
        <cdr:cNvSpPr txBox="1">
          <a:spLocks noChangeArrowheads="1"/>
        </cdr:cNvSpPr>
      </cdr:nvSpPr>
      <cdr:spPr>
        <a:xfrm>
          <a:off x="0" y="3533775"/>
          <a:ext cx="2047875"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28575</xdr:rowOff>
    </xdr:from>
    <xdr:to>
      <xdr:col>9</xdr:col>
      <xdr:colOff>714375</xdr:colOff>
      <xdr:row>45</xdr:row>
      <xdr:rowOff>47625</xdr:rowOff>
    </xdr:to>
    <xdr:graphicFrame>
      <xdr:nvGraphicFramePr>
        <xdr:cNvPr id="1" name="Gráfico 1"/>
        <xdr:cNvGraphicFramePr/>
      </xdr:nvGraphicFramePr>
      <xdr:xfrm>
        <a:off x="85725" y="3667125"/>
        <a:ext cx="8343900"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28</xdr:row>
      <xdr:rowOff>9525</xdr:rowOff>
    </xdr:from>
    <xdr:to>
      <xdr:col>10</xdr:col>
      <xdr:colOff>19050</xdr:colOff>
      <xdr:row>58</xdr:row>
      <xdr:rowOff>190500</xdr:rowOff>
    </xdr:to>
    <xdr:graphicFrame>
      <xdr:nvGraphicFramePr>
        <xdr:cNvPr id="1" name="Gráfico 1"/>
        <xdr:cNvGraphicFramePr/>
      </xdr:nvGraphicFramePr>
      <xdr:xfrm>
        <a:off x="657225" y="4486275"/>
        <a:ext cx="7200900" cy="56102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9525</xdr:rowOff>
    </xdr:from>
    <xdr:to>
      <xdr:col>18</xdr:col>
      <xdr:colOff>57150</xdr:colOff>
      <xdr:row>58</xdr:row>
      <xdr:rowOff>180975</xdr:rowOff>
    </xdr:to>
    <xdr:graphicFrame>
      <xdr:nvGraphicFramePr>
        <xdr:cNvPr id="2" name="Gráfico 4"/>
        <xdr:cNvGraphicFramePr/>
      </xdr:nvGraphicFramePr>
      <xdr:xfrm>
        <a:off x="7867650" y="4486275"/>
        <a:ext cx="6915150" cy="56007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6%20B%20Papa\pap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heetName val="din por mercado"/>
      <sheetName val="dinamica por volumen"/>
      <sheetName val="Hoja5"/>
      <sheetName val="Hoja7"/>
      <sheetName val="MERCADOS"/>
    </sheetNames>
    <sheetDataSet>
      <sheetData sheetId="5">
        <row r="999">
          <cell r="A999">
            <v>42373</v>
          </cell>
          <cell r="M999">
            <v>12180.159285714284</v>
          </cell>
        </row>
        <row r="1000">
          <cell r="A1000">
            <v>42374</v>
          </cell>
          <cell r="M1000">
            <v>11617.626875</v>
          </cell>
        </row>
        <row r="1001">
          <cell r="A1001">
            <v>42375</v>
          </cell>
          <cell r="M1001">
            <v>11414.236875</v>
          </cell>
        </row>
        <row r="1002">
          <cell r="A1002">
            <v>42376</v>
          </cell>
          <cell r="M1002">
            <v>11218.140666666668</v>
          </cell>
        </row>
        <row r="1003">
          <cell r="A1003">
            <v>42377</v>
          </cell>
          <cell r="M1003">
            <v>11609.775789473686</v>
          </cell>
        </row>
        <row r="1004">
          <cell r="A1004">
            <v>42380</v>
          </cell>
          <cell r="M1004">
            <v>11439.510625</v>
          </cell>
        </row>
        <row r="1005">
          <cell r="A1005">
            <v>42381</v>
          </cell>
          <cell r="M1005">
            <v>10404.226842105261</v>
          </cell>
        </row>
        <row r="1006">
          <cell r="A1006">
            <v>42382</v>
          </cell>
          <cell r="M1006">
            <v>10456.660666666665</v>
          </cell>
        </row>
        <row r="1007">
          <cell r="A1007">
            <v>42383</v>
          </cell>
          <cell r="M1007">
            <v>10731.447647058823</v>
          </cell>
        </row>
        <row r="1008">
          <cell r="A1008">
            <v>42384</v>
          </cell>
          <cell r="M1008">
            <v>10438.459545454545</v>
          </cell>
        </row>
        <row r="1009">
          <cell r="A1009">
            <v>42387</v>
          </cell>
          <cell r="M1009">
            <v>10063.532</v>
          </cell>
        </row>
        <row r="1010">
          <cell r="A1010">
            <v>42388</v>
          </cell>
          <cell r="M1010">
            <v>9638.412999999997</v>
          </cell>
        </row>
        <row r="1011">
          <cell r="A1011">
            <v>42389</v>
          </cell>
          <cell r="M1011">
            <v>9456.29588235294</v>
          </cell>
        </row>
        <row r="1012">
          <cell r="A1012">
            <v>42390</v>
          </cell>
          <cell r="M1012">
            <v>10041.209285714287</v>
          </cell>
        </row>
        <row r="1013">
          <cell r="A1013">
            <v>42391</v>
          </cell>
          <cell r="M1013">
            <v>10007.79111111111</v>
          </cell>
        </row>
        <row r="1014">
          <cell r="A1014">
            <v>42394</v>
          </cell>
          <cell r="M1014">
            <v>9845.467857142856</v>
          </cell>
        </row>
        <row r="1015">
          <cell r="A1015">
            <v>42395</v>
          </cell>
          <cell r="M1015">
            <v>9269.9725</v>
          </cell>
        </row>
        <row r="1016">
          <cell r="A1016">
            <v>42396</v>
          </cell>
          <cell r="M1016">
            <v>8424.063333333334</v>
          </cell>
        </row>
        <row r="1017">
          <cell r="A1017">
            <v>42397</v>
          </cell>
          <cell r="M1017">
            <v>9536.824499999999</v>
          </cell>
        </row>
        <row r="1018">
          <cell r="A1018">
            <v>42398</v>
          </cell>
          <cell r="M1018">
            <v>8876.89470588235</v>
          </cell>
        </row>
        <row r="1019">
          <cell r="A1019">
            <v>42401</v>
          </cell>
          <cell r="M1019">
            <v>9574.328125</v>
          </cell>
        </row>
        <row r="1020">
          <cell r="A1020">
            <v>42402</v>
          </cell>
          <cell r="M1020">
            <v>9074.86</v>
          </cell>
        </row>
        <row r="1021">
          <cell r="A1021">
            <v>42403</v>
          </cell>
          <cell r="M1021">
            <v>9111.72</v>
          </cell>
        </row>
        <row r="1022">
          <cell r="A1022">
            <v>42404</v>
          </cell>
          <cell r="M1022">
            <v>8965.5065</v>
          </cell>
        </row>
        <row r="1023">
          <cell r="A1023">
            <v>42405</v>
          </cell>
          <cell r="M1023">
            <v>8863.6905</v>
          </cell>
        </row>
        <row r="1024">
          <cell r="A1024">
            <v>42408</v>
          </cell>
          <cell r="M1024">
            <v>9253.124705882352</v>
          </cell>
        </row>
        <row r="1025">
          <cell r="A1025">
            <v>42409</v>
          </cell>
          <cell r="M1025">
            <v>9723.587894736842</v>
          </cell>
        </row>
        <row r="1026">
          <cell r="A1026">
            <v>42410</v>
          </cell>
          <cell r="M1026">
            <v>9090.588888888891</v>
          </cell>
        </row>
        <row r="1027">
          <cell r="A1027">
            <v>42411</v>
          </cell>
          <cell r="M1027">
            <v>9540.092352941178</v>
          </cell>
        </row>
        <row r="1028">
          <cell r="A1028">
            <v>42412</v>
          </cell>
          <cell r="M1028">
            <v>9367.851739130434</v>
          </cell>
        </row>
        <row r="1029">
          <cell r="A1029">
            <v>42415</v>
          </cell>
          <cell r="M1029">
            <v>10153.766666666668</v>
          </cell>
        </row>
        <row r="1030">
          <cell r="A1030">
            <v>42416</v>
          </cell>
          <cell r="M1030">
            <v>9520.782173913045</v>
          </cell>
        </row>
        <row r="1031">
          <cell r="A1031">
            <v>42417</v>
          </cell>
          <cell r="M1031">
            <v>9303.99294117647</v>
          </cell>
        </row>
        <row r="1032">
          <cell r="A1032">
            <v>42418</v>
          </cell>
          <cell r="M1032">
            <v>8591.172499999999</v>
          </cell>
        </row>
        <row r="1033">
          <cell r="A1033">
            <v>42419</v>
          </cell>
          <cell r="M1033">
            <v>8926.4</v>
          </cell>
        </row>
        <row r="1034">
          <cell r="A1034">
            <v>42422</v>
          </cell>
          <cell r="M1034">
            <v>9121.785714285714</v>
          </cell>
        </row>
        <row r="1035">
          <cell r="A1035">
            <v>42423</v>
          </cell>
          <cell r="M1035">
            <v>9414.564</v>
          </cell>
        </row>
        <row r="1036">
          <cell r="A1036">
            <v>42424</v>
          </cell>
          <cell r="M1036">
            <v>8715.043333333333</v>
          </cell>
        </row>
        <row r="1037">
          <cell r="A1037">
            <v>42425</v>
          </cell>
          <cell r="M1037">
            <v>9465.087333333333</v>
          </cell>
        </row>
        <row r="1038">
          <cell r="A1038">
            <v>42426</v>
          </cell>
          <cell r="M1038">
            <v>9236.0445</v>
          </cell>
        </row>
        <row r="1039">
          <cell r="A1039">
            <v>42429</v>
          </cell>
          <cell r="M1039">
            <v>9694.070000000002</v>
          </cell>
        </row>
        <row r="1040">
          <cell r="A1040">
            <v>42430</v>
          </cell>
          <cell r="M1040">
            <v>9269.893157894738</v>
          </cell>
        </row>
        <row r="1041">
          <cell r="A1041">
            <v>42431</v>
          </cell>
          <cell r="M1041">
            <v>8454.470833333333</v>
          </cell>
        </row>
        <row r="1042">
          <cell r="A1042">
            <v>42432</v>
          </cell>
          <cell r="M1042">
            <v>9719.987222222224</v>
          </cell>
        </row>
        <row r="1043">
          <cell r="A1043">
            <v>42433</v>
          </cell>
          <cell r="M1043">
            <v>9318.6055</v>
          </cell>
        </row>
        <row r="1044">
          <cell r="A1044">
            <v>42436</v>
          </cell>
          <cell r="M1044">
            <v>9066.910588235292</v>
          </cell>
        </row>
        <row r="1045">
          <cell r="A1045">
            <v>42437</v>
          </cell>
          <cell r="M1045">
            <v>9402.8325</v>
          </cell>
        </row>
        <row r="1046">
          <cell r="A1046">
            <v>42438</v>
          </cell>
          <cell r="M1046">
            <v>9008.069375</v>
          </cell>
        </row>
        <row r="1047">
          <cell r="A1047">
            <v>42439</v>
          </cell>
          <cell r="M1047">
            <v>9002.69095238095</v>
          </cell>
        </row>
        <row r="1048">
          <cell r="A1048">
            <v>42440</v>
          </cell>
          <cell r="M1048">
            <v>9124.971304347826</v>
          </cell>
        </row>
        <row r="1049">
          <cell r="A1049">
            <v>42443</v>
          </cell>
          <cell r="M1049">
            <v>9722.250714285716</v>
          </cell>
        </row>
        <row r="1050">
          <cell r="A1050">
            <v>42444</v>
          </cell>
          <cell r="M1050">
            <v>9411.235499999999</v>
          </cell>
        </row>
        <row r="1051">
          <cell r="A1051">
            <v>42445</v>
          </cell>
          <cell r="M1051">
            <v>9758.918823529411</v>
          </cell>
        </row>
        <row r="1052">
          <cell r="A1052">
            <v>42446</v>
          </cell>
          <cell r="M1052">
            <v>9090.559444444445</v>
          </cell>
        </row>
        <row r="1053">
          <cell r="A1053">
            <v>42447</v>
          </cell>
          <cell r="M1053">
            <v>8596.26105263158</v>
          </cell>
        </row>
        <row r="1054">
          <cell r="A1054">
            <v>42450</v>
          </cell>
          <cell r="M1054">
            <v>8808.82375</v>
          </cell>
        </row>
        <row r="1055">
          <cell r="A1055">
            <v>42451</v>
          </cell>
          <cell r="M1055">
            <v>8448.876842105265</v>
          </cell>
        </row>
        <row r="1056">
          <cell r="A1056">
            <v>42452</v>
          </cell>
          <cell r="M1056">
            <v>9031.187222222223</v>
          </cell>
        </row>
        <row r="1057">
          <cell r="A1057">
            <v>42453</v>
          </cell>
          <cell r="M1057">
            <v>8641.191875</v>
          </cell>
        </row>
        <row r="1058">
          <cell r="A1058">
            <v>42457</v>
          </cell>
          <cell r="M1058">
            <v>9760.25529411765</v>
          </cell>
        </row>
        <row r="1059">
          <cell r="A1059">
            <v>42458</v>
          </cell>
          <cell r="M1059">
            <v>8720.71357142857</v>
          </cell>
        </row>
        <row r="1060">
          <cell r="A1060">
            <v>42459</v>
          </cell>
          <cell r="M1060">
            <v>9053.317857142858</v>
          </cell>
        </row>
        <row r="1061">
          <cell r="A1061">
            <v>42460</v>
          </cell>
          <cell r="M1061">
            <v>8600.51</v>
          </cell>
        </row>
        <row r="1062">
          <cell r="A1062">
            <v>42461</v>
          </cell>
          <cell r="M1062">
            <v>8008.1431250000005</v>
          </cell>
        </row>
        <row r="1063">
          <cell r="A1063">
            <v>42464</v>
          </cell>
          <cell r="M1063">
            <v>8498.52875</v>
          </cell>
        </row>
        <row r="1064">
          <cell r="A1064">
            <v>42465</v>
          </cell>
          <cell r="M1064">
            <v>8387.544285714286</v>
          </cell>
        </row>
        <row r="1065">
          <cell r="A1065">
            <v>42466</v>
          </cell>
          <cell r="M1065">
            <v>9106.6805</v>
          </cell>
        </row>
        <row r="1066">
          <cell r="A1066">
            <v>42467</v>
          </cell>
          <cell r="M1066">
            <v>8440.13875</v>
          </cell>
        </row>
        <row r="1067">
          <cell r="A1067">
            <v>42468</v>
          </cell>
          <cell r="M1067">
            <v>8573.282222222224</v>
          </cell>
        </row>
        <row r="1068">
          <cell r="A1068">
            <v>42471</v>
          </cell>
          <cell r="M1068">
            <v>7895.500588235294</v>
          </cell>
        </row>
        <row r="1069">
          <cell r="A1069">
            <v>42472</v>
          </cell>
          <cell r="M1069">
            <v>8806.655909090907</v>
          </cell>
        </row>
        <row r="1070">
          <cell r="A1070">
            <v>42473</v>
          </cell>
          <cell r="M1070">
            <v>7950.10294117647</v>
          </cell>
        </row>
        <row r="1071">
          <cell r="A1071">
            <v>42474</v>
          </cell>
          <cell r="M1071">
            <v>8704.224999999997</v>
          </cell>
        </row>
        <row r="1072">
          <cell r="A1072">
            <v>42475</v>
          </cell>
          <cell r="M1072">
            <v>8169.5526315789475</v>
          </cell>
        </row>
        <row r="1073">
          <cell r="A1073">
            <v>42478</v>
          </cell>
          <cell r="M1073">
            <v>8650.62625</v>
          </cell>
        </row>
        <row r="1074">
          <cell r="A1074">
            <v>42479</v>
          </cell>
          <cell r="M1074">
            <v>8908.4128</v>
          </cell>
        </row>
        <row r="1075">
          <cell r="A1075">
            <v>42480</v>
          </cell>
          <cell r="M1075">
            <v>8577.784375</v>
          </cell>
        </row>
        <row r="1076">
          <cell r="A1076">
            <v>42481</v>
          </cell>
          <cell r="M1076">
            <v>9172.741578947369</v>
          </cell>
        </row>
        <row r="1077">
          <cell r="A1077">
            <v>42482</v>
          </cell>
          <cell r="M1077">
            <v>8720.734</v>
          </cell>
        </row>
        <row r="1078">
          <cell r="A1078">
            <v>42485</v>
          </cell>
          <cell r="M1078">
            <v>8747.585000000001</v>
          </cell>
        </row>
        <row r="1079">
          <cell r="A1079">
            <v>42486</v>
          </cell>
          <cell r="M1079">
            <v>9182.859166666667</v>
          </cell>
        </row>
        <row r="1080">
          <cell r="A1080">
            <v>42487</v>
          </cell>
          <cell r="M1080">
            <v>9240.321</v>
          </cell>
        </row>
        <row r="1081">
          <cell r="A1081">
            <v>42488</v>
          </cell>
          <cell r="M1081">
            <v>8333.133157894737</v>
          </cell>
        </row>
        <row r="1082">
          <cell r="A1082">
            <v>42489</v>
          </cell>
          <cell r="M1082">
            <v>9156.873636363634</v>
          </cell>
        </row>
        <row r="1083">
          <cell r="A1083">
            <v>42492</v>
          </cell>
          <cell r="M1083">
            <v>8375.322142857143</v>
          </cell>
        </row>
        <row r="1084">
          <cell r="A1084">
            <v>42493</v>
          </cell>
          <cell r="M1084">
            <v>9234.40705882353</v>
          </cell>
        </row>
        <row r="1085">
          <cell r="A1085">
            <v>42494</v>
          </cell>
          <cell r="M1085">
            <v>8913.811176470588</v>
          </cell>
        </row>
        <row r="1086">
          <cell r="A1086">
            <v>42495</v>
          </cell>
          <cell r="M1086">
            <v>9153.472777777779</v>
          </cell>
        </row>
        <row r="1087">
          <cell r="A1087">
            <v>42496</v>
          </cell>
          <cell r="M1087">
            <v>8892.242352941175</v>
          </cell>
        </row>
        <row r="1088">
          <cell r="A1088">
            <v>42499</v>
          </cell>
          <cell r="M1088">
            <v>9023.330500000002</v>
          </cell>
        </row>
        <row r="1089">
          <cell r="A1089">
            <v>42500</v>
          </cell>
          <cell r="M1089">
            <v>8461.586666666666</v>
          </cell>
        </row>
        <row r="1090">
          <cell r="A1090">
            <v>42501</v>
          </cell>
          <cell r="M1090">
            <v>8229.902142857141</v>
          </cell>
        </row>
        <row r="1091">
          <cell r="A1091">
            <v>42502</v>
          </cell>
          <cell r="M1091">
            <v>8887.550714285715</v>
          </cell>
        </row>
        <row r="1092">
          <cell r="A1092">
            <v>42503</v>
          </cell>
          <cell r="M1092">
            <v>8786.133529411765</v>
          </cell>
        </row>
        <row r="1093">
          <cell r="A1093">
            <v>42506</v>
          </cell>
          <cell r="M1093">
            <v>9925.452857142855</v>
          </cell>
        </row>
        <row r="1094">
          <cell r="A1094">
            <v>42507</v>
          </cell>
          <cell r="M1094">
            <v>11149.863913043479</v>
          </cell>
        </row>
        <row r="1095">
          <cell r="A1095">
            <v>42508</v>
          </cell>
          <cell r="M1095">
            <v>11335.153750000003</v>
          </cell>
        </row>
        <row r="1096">
          <cell r="A1096">
            <v>42509</v>
          </cell>
          <cell r="M1096">
            <v>12832.023125000002</v>
          </cell>
        </row>
        <row r="1097">
          <cell r="A1097">
            <v>42510</v>
          </cell>
          <cell r="M1097">
            <v>12553.536666666669</v>
          </cell>
        </row>
        <row r="1098">
          <cell r="A1098">
            <v>42513</v>
          </cell>
          <cell r="M1098">
            <v>13142.822631578947</v>
          </cell>
        </row>
        <row r="1099">
          <cell r="A1099">
            <v>42514</v>
          </cell>
          <cell r="M1099">
            <v>13160.455652173918</v>
          </cell>
        </row>
        <row r="1100">
          <cell r="A1100">
            <v>42515</v>
          </cell>
          <cell r="M1100">
            <v>13307.286315789474</v>
          </cell>
        </row>
        <row r="1101">
          <cell r="A1101">
            <v>42516</v>
          </cell>
          <cell r="M1101">
            <v>12752.621764705884</v>
          </cell>
        </row>
        <row r="1102">
          <cell r="A1102">
            <v>42517</v>
          </cell>
          <cell r="M1102">
            <v>12770.828800000001</v>
          </cell>
        </row>
        <row r="1103">
          <cell r="A1103">
            <v>42520</v>
          </cell>
          <cell r="M1103">
            <v>12582.234444444444</v>
          </cell>
        </row>
        <row r="1104">
          <cell r="A1104">
            <v>42521</v>
          </cell>
          <cell r="M1104">
            <v>12682.959166666666</v>
          </cell>
        </row>
        <row r="1105">
          <cell r="A1105">
            <v>42522</v>
          </cell>
          <cell r="M1105">
            <v>12696.96</v>
          </cell>
        </row>
        <row r="1106">
          <cell r="A1106">
            <v>42523</v>
          </cell>
          <cell r="M1106">
            <v>12868.89888888889</v>
          </cell>
        </row>
        <row r="1107">
          <cell r="A1107">
            <v>42524</v>
          </cell>
          <cell r="M1107">
            <v>12471.907857142856</v>
          </cell>
        </row>
        <row r="1108">
          <cell r="A1108">
            <v>42527</v>
          </cell>
          <cell r="M1108">
            <v>13092.762222222222</v>
          </cell>
        </row>
        <row r="1109">
          <cell r="A1109">
            <v>42528</v>
          </cell>
          <cell r="M1109">
            <v>12872.757368421053</v>
          </cell>
        </row>
        <row r="1110">
          <cell r="A1110">
            <v>42529</v>
          </cell>
          <cell r="M1110">
            <v>12718.774736842106</v>
          </cell>
        </row>
        <row r="1111">
          <cell r="A1111">
            <v>42530</v>
          </cell>
          <cell r="M1111">
            <v>13251.71380952381</v>
          </cell>
        </row>
        <row r="1112">
          <cell r="A1112">
            <v>42531</v>
          </cell>
          <cell r="M1112">
            <v>12980.956000000002</v>
          </cell>
        </row>
        <row r="1113">
          <cell r="A1113">
            <v>42534</v>
          </cell>
          <cell r="M1113">
            <v>12295.758823529415</v>
          </cell>
        </row>
        <row r="1114">
          <cell r="A1114">
            <v>42535</v>
          </cell>
          <cell r="M1114">
            <v>13032.257142857141</v>
          </cell>
        </row>
        <row r="1115">
          <cell r="A1115">
            <v>42536</v>
          </cell>
          <cell r="M1115">
            <v>11828.070555555554</v>
          </cell>
        </row>
        <row r="1116">
          <cell r="A1116">
            <v>42537</v>
          </cell>
          <cell r="M1116">
            <v>12048.889545454544</v>
          </cell>
        </row>
        <row r="1117">
          <cell r="A1117">
            <v>42538</v>
          </cell>
          <cell r="M1117">
            <v>11762.372</v>
          </cell>
        </row>
        <row r="1118">
          <cell r="A1118">
            <v>42541</v>
          </cell>
          <cell r="M1118">
            <v>11962.815555555551</v>
          </cell>
        </row>
        <row r="1119">
          <cell r="A1119">
            <v>42542</v>
          </cell>
          <cell r="M1119">
            <v>11839.23</v>
          </cell>
        </row>
        <row r="1120">
          <cell r="A1120">
            <v>42543</v>
          </cell>
          <cell r="M1120">
            <v>11507.037999999999</v>
          </cell>
        </row>
        <row r="1121">
          <cell r="A1121">
            <v>42544</v>
          </cell>
          <cell r="M1121">
            <v>11894.513684210526</v>
          </cell>
        </row>
        <row r="1122">
          <cell r="A1122">
            <v>42545</v>
          </cell>
          <cell r="M1122">
            <v>12657.863888888889</v>
          </cell>
        </row>
        <row r="1123">
          <cell r="A1123">
            <v>42549</v>
          </cell>
          <cell r="M1123">
            <v>13269.22</v>
          </cell>
        </row>
        <row r="1124">
          <cell r="A1124">
            <v>42550</v>
          </cell>
          <cell r="M1124">
            <v>11305.195714285714</v>
          </cell>
        </row>
        <row r="1125">
          <cell r="A1125">
            <v>42551</v>
          </cell>
          <cell r="M1125">
            <v>11408.442777777775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A1" sqref="A1"/>
    </sheetView>
  </sheetViews>
  <sheetFormatPr defaultColWidth="10.8515625" defaultRowHeight="15"/>
  <cols>
    <col min="1" max="27" width="10.8515625" style="85" customWidth="1"/>
    <col min="28" max="16384" width="10.8515625" style="85" customWidth="1"/>
  </cols>
  <sheetData>
    <row r="1" ht="15">
      <c r="A1" s="88"/>
    </row>
    <row r="13" spans="6:10" ht="25.5">
      <c r="F13" s="89"/>
      <c r="G13" s="89"/>
      <c r="H13" s="90"/>
      <c r="I13" s="90"/>
      <c r="J13" s="90"/>
    </row>
    <row r="14" spans="5:7" ht="15">
      <c r="E14" s="86"/>
      <c r="F14" s="86"/>
      <c r="G14" s="86"/>
    </row>
    <row r="15" spans="5:10" ht="15.75">
      <c r="E15" s="91"/>
      <c r="F15" s="92"/>
      <c r="G15" s="92"/>
      <c r="H15" s="93"/>
      <c r="I15" s="93"/>
      <c r="J15" s="93"/>
    </row>
    <row r="20" ht="25.5">
      <c r="D20" s="89" t="s">
        <v>111</v>
      </c>
    </row>
    <row r="39" spans="4:6" ht="15.75">
      <c r="D39" s="306"/>
      <c r="E39" s="307"/>
      <c r="F39" s="307"/>
    </row>
    <row r="42" ht="15.75">
      <c r="E42" s="187" t="s">
        <v>247</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E48"/>
  <sheetViews>
    <sheetView zoomScale="80" zoomScaleNormal="80" zoomScalePageLayoutView="60" workbookViewId="0" topLeftCell="A1">
      <selection activeCell="A1" sqref="A1"/>
    </sheetView>
  </sheetViews>
  <sheetFormatPr defaultColWidth="10.8515625" defaultRowHeight="15"/>
  <cols>
    <col min="1" max="1" width="1.7109375" style="39" customWidth="1"/>
    <col min="2" max="2" width="12.140625" style="39" customWidth="1"/>
    <col min="3" max="3" width="11.8515625" style="39" customWidth="1"/>
    <col min="4" max="4" width="13.7109375" style="39" customWidth="1"/>
    <col min="5" max="5" width="14.421875" style="39" customWidth="1"/>
    <col min="6" max="7" width="12.00390625" style="39" customWidth="1"/>
    <col min="8" max="8" width="12.7109375" style="39" customWidth="1"/>
    <col min="9" max="9" width="14.00390625" style="39" customWidth="1"/>
    <col min="10" max="10" width="13.00390625" style="39" customWidth="1"/>
    <col min="11" max="11" width="12.00390625" style="39" customWidth="1"/>
    <col min="12" max="12" width="13.8515625" style="39" customWidth="1"/>
    <col min="13" max="13" width="13.421875" style="39" customWidth="1"/>
    <col min="14" max="14" width="12.28125" style="39" customWidth="1"/>
    <col min="15" max="15" width="12.00390625" style="39" customWidth="1"/>
    <col min="16" max="16" width="13.00390625" style="39" customWidth="1"/>
    <col min="17" max="17" width="13.7109375" style="39" customWidth="1"/>
    <col min="18" max="18" width="13.00390625" style="39" customWidth="1"/>
    <col min="19" max="19" width="2.140625" style="39" customWidth="1"/>
    <col min="20" max="20" width="10.8515625" style="39" customWidth="1"/>
    <col min="21" max="21" width="10.8515625" style="197" customWidth="1"/>
    <col min="22" max="22" width="10.8515625" style="228" hidden="1" customWidth="1"/>
    <col min="23" max="23" width="9.28125" style="228" hidden="1" customWidth="1"/>
    <col min="24" max="24" width="13.00390625" style="228" hidden="1" customWidth="1"/>
    <col min="25" max="25" width="13.140625" style="228" hidden="1" customWidth="1"/>
    <col min="26" max="26" width="7.140625" style="228" hidden="1" customWidth="1"/>
    <col min="27" max="27" width="8.140625" style="228" hidden="1" customWidth="1"/>
    <col min="28" max="28" width="9.28125" style="228" hidden="1" customWidth="1"/>
    <col min="29" max="29" width="15.7109375" style="228" hidden="1" customWidth="1"/>
    <col min="30" max="30" width="13.140625" style="228" hidden="1" customWidth="1"/>
    <col min="31" max="31" width="10.8515625" style="197" customWidth="1"/>
    <col min="32" max="16384" width="10.8515625" style="39" customWidth="1"/>
  </cols>
  <sheetData>
    <row r="1" ht="8.25" customHeight="1"/>
    <row r="2" spans="2:20" ht="12.75">
      <c r="B2" s="328" t="s">
        <v>60</v>
      </c>
      <c r="C2" s="328"/>
      <c r="D2" s="328"/>
      <c r="E2" s="328"/>
      <c r="F2" s="328"/>
      <c r="G2" s="328"/>
      <c r="H2" s="328"/>
      <c r="I2" s="328"/>
      <c r="J2" s="328"/>
      <c r="K2" s="328"/>
      <c r="L2" s="328"/>
      <c r="M2" s="328"/>
      <c r="N2" s="328"/>
      <c r="O2" s="328"/>
      <c r="P2" s="328"/>
      <c r="Q2" s="328"/>
      <c r="R2" s="328"/>
      <c r="S2" s="224"/>
      <c r="T2" s="52" t="s">
        <v>153</v>
      </c>
    </row>
    <row r="3" spans="2:19" ht="12.75">
      <c r="B3" s="328" t="s">
        <v>149</v>
      </c>
      <c r="C3" s="328"/>
      <c r="D3" s="328"/>
      <c r="E3" s="328"/>
      <c r="F3" s="328"/>
      <c r="G3" s="328"/>
      <c r="H3" s="328"/>
      <c r="I3" s="328"/>
      <c r="J3" s="328"/>
      <c r="K3" s="328"/>
      <c r="L3" s="328"/>
      <c r="M3" s="328"/>
      <c r="N3" s="328"/>
      <c r="O3" s="328"/>
      <c r="P3" s="328"/>
      <c r="Q3" s="328"/>
      <c r="R3" s="328"/>
      <c r="S3" s="224"/>
    </row>
    <row r="4" spans="2:19" ht="12.75">
      <c r="B4" s="328" t="s">
        <v>109</v>
      </c>
      <c r="C4" s="328"/>
      <c r="D4" s="328"/>
      <c r="E4" s="328"/>
      <c r="F4" s="328"/>
      <c r="G4" s="328"/>
      <c r="H4" s="328"/>
      <c r="I4" s="328"/>
      <c r="J4" s="328"/>
      <c r="K4" s="328"/>
      <c r="L4" s="328"/>
      <c r="M4" s="328"/>
      <c r="N4" s="328"/>
      <c r="O4" s="328"/>
      <c r="P4" s="328"/>
      <c r="Q4" s="328"/>
      <c r="R4" s="328"/>
      <c r="S4" s="224"/>
    </row>
    <row r="5" spans="3:20" ht="12.75">
      <c r="C5" s="339" t="s">
        <v>249</v>
      </c>
      <c r="D5" s="339"/>
      <c r="E5" s="339"/>
      <c r="F5" s="339"/>
      <c r="G5" s="339"/>
      <c r="H5" s="339"/>
      <c r="I5" s="339"/>
      <c r="J5" s="339"/>
      <c r="K5" s="339" t="s">
        <v>250</v>
      </c>
      <c r="L5" s="339"/>
      <c r="M5" s="339"/>
      <c r="N5" s="339"/>
      <c r="O5" s="339"/>
      <c r="P5" s="339"/>
      <c r="Q5" s="339"/>
      <c r="R5" s="339"/>
      <c r="S5" s="248"/>
      <c r="T5" s="227"/>
    </row>
    <row r="6" spans="2:30" ht="12.75">
      <c r="B6" s="249" t="s">
        <v>140</v>
      </c>
      <c r="C6" s="250" t="s">
        <v>166</v>
      </c>
      <c r="D6" s="251" t="s">
        <v>23</v>
      </c>
      <c r="E6" s="251" t="s">
        <v>22</v>
      </c>
      <c r="F6" s="251" t="s">
        <v>139</v>
      </c>
      <c r="G6" s="251" t="s">
        <v>19</v>
      </c>
      <c r="H6" s="251" t="s">
        <v>18</v>
      </c>
      <c r="I6" s="251" t="s">
        <v>17</v>
      </c>
      <c r="J6" s="252" t="s">
        <v>15</v>
      </c>
      <c r="K6" s="250" t="s">
        <v>166</v>
      </c>
      <c r="L6" s="251" t="s">
        <v>23</v>
      </c>
      <c r="M6" s="251" t="s">
        <v>22</v>
      </c>
      <c r="N6" s="251" t="s">
        <v>139</v>
      </c>
      <c r="O6" s="251" t="s">
        <v>19</v>
      </c>
      <c r="P6" s="251" t="s">
        <v>18</v>
      </c>
      <c r="Q6" s="251" t="s">
        <v>17</v>
      </c>
      <c r="R6" s="252" t="s">
        <v>15</v>
      </c>
      <c r="S6" s="141"/>
      <c r="T6" s="227"/>
      <c r="W6" s="253" t="s">
        <v>166</v>
      </c>
      <c r="X6" s="253" t="s">
        <v>23</v>
      </c>
      <c r="Y6" s="253" t="s">
        <v>22</v>
      </c>
      <c r="Z6" s="253" t="s">
        <v>139</v>
      </c>
      <c r="AA6" s="253" t="s">
        <v>19</v>
      </c>
      <c r="AB6" s="253" t="s">
        <v>18</v>
      </c>
      <c r="AC6" s="253" t="s">
        <v>17</v>
      </c>
      <c r="AD6" s="253" t="s">
        <v>15</v>
      </c>
    </row>
    <row r="7" spans="2:31" ht="12.75">
      <c r="B7" s="254">
        <v>42408</v>
      </c>
      <c r="C7" s="255">
        <v>1337</v>
      </c>
      <c r="D7" s="114">
        <v>1385</v>
      </c>
      <c r="E7" s="114">
        <v>1358</v>
      </c>
      <c r="F7" s="114">
        <v>1338</v>
      </c>
      <c r="G7" s="114">
        <v>1377.5</v>
      </c>
      <c r="H7" s="114">
        <v>1222</v>
      </c>
      <c r="I7" s="114">
        <v>1344</v>
      </c>
      <c r="J7" s="256">
        <v>1207</v>
      </c>
      <c r="K7" s="255">
        <v>545</v>
      </c>
      <c r="L7" s="114">
        <v>493</v>
      </c>
      <c r="M7" s="114">
        <v>375</v>
      </c>
      <c r="N7" s="114">
        <v>434</v>
      </c>
      <c r="O7" s="114">
        <v>422</v>
      </c>
      <c r="P7" s="114">
        <v>338</v>
      </c>
      <c r="Q7" s="114">
        <v>394</v>
      </c>
      <c r="R7" s="256">
        <v>425</v>
      </c>
      <c r="S7" s="142"/>
      <c r="T7" s="227"/>
      <c r="W7" s="232">
        <f>+IF(K7="","",((C7-K7)/K7))</f>
        <v>1.453211009174312</v>
      </c>
      <c r="X7" s="232">
        <f aca="true" t="shared" si="0" ref="X7:AD22">+IF(L7="","",((D7-L7)/L7))</f>
        <v>1.8093306288032454</v>
      </c>
      <c r="Y7" s="232">
        <f t="shared" si="0"/>
        <v>2.6213333333333333</v>
      </c>
      <c r="Z7" s="232">
        <f t="shared" si="0"/>
        <v>2.0829493087557602</v>
      </c>
      <c r="AA7" s="232">
        <f t="shared" si="0"/>
        <v>2.264218009478673</v>
      </c>
      <c r="AB7" s="232">
        <f t="shared" si="0"/>
        <v>2.6153846153846154</v>
      </c>
      <c r="AC7" s="232">
        <f t="shared" si="0"/>
        <v>2.4111675126903553</v>
      </c>
      <c r="AD7" s="232">
        <f t="shared" si="0"/>
        <v>1.84</v>
      </c>
      <c r="AE7" s="225"/>
    </row>
    <row r="8" spans="2:31" ht="12.75">
      <c r="B8" s="254">
        <v>42415</v>
      </c>
      <c r="C8" s="255">
        <v>1247</v>
      </c>
      <c r="D8" s="114">
        <v>1387</v>
      </c>
      <c r="E8" s="114">
        <v>1352</v>
      </c>
      <c r="F8" s="114">
        <v>1333</v>
      </c>
      <c r="G8" s="114">
        <v>1396</v>
      </c>
      <c r="H8" s="114">
        <v>1298</v>
      </c>
      <c r="I8" s="114">
        <v>1366</v>
      </c>
      <c r="J8" s="256">
        <v>1266</v>
      </c>
      <c r="K8" s="255">
        <v>600</v>
      </c>
      <c r="L8" s="114">
        <v>515</v>
      </c>
      <c r="M8" s="114">
        <v>325</v>
      </c>
      <c r="N8" s="114">
        <v>448</v>
      </c>
      <c r="O8" s="114">
        <v>433</v>
      </c>
      <c r="P8" s="114">
        <v>344</v>
      </c>
      <c r="Q8" s="114">
        <v>341</v>
      </c>
      <c r="R8" s="256">
        <v>400</v>
      </c>
      <c r="S8" s="142"/>
      <c r="T8" s="227"/>
      <c r="W8" s="232">
        <f aca="true" t="shared" si="1" ref="W8:W27">+IF(K8="","",((C8-K8)/K8))</f>
        <v>1.0783333333333334</v>
      </c>
      <c r="X8" s="232">
        <f t="shared" si="0"/>
        <v>1.6932038834951457</v>
      </c>
      <c r="Y8" s="232">
        <f t="shared" si="0"/>
        <v>3.16</v>
      </c>
      <c r="Z8" s="232">
        <f t="shared" si="0"/>
        <v>1.9754464285714286</v>
      </c>
      <c r="AA8" s="232">
        <f t="shared" si="0"/>
        <v>2.224018475750577</v>
      </c>
      <c r="AB8" s="232">
        <f t="shared" si="0"/>
        <v>2.7732558139534884</v>
      </c>
      <c r="AC8" s="232">
        <f t="shared" si="0"/>
        <v>3.005865102639296</v>
      </c>
      <c r="AD8" s="232">
        <f t="shared" si="0"/>
        <v>2.165</v>
      </c>
      <c r="AE8" s="225"/>
    </row>
    <row r="9" spans="2:30" ht="12.75">
      <c r="B9" s="254">
        <v>42422</v>
      </c>
      <c r="C9" s="255">
        <v>1349</v>
      </c>
      <c r="D9" s="114">
        <v>1330</v>
      </c>
      <c r="E9" s="114">
        <v>1343</v>
      </c>
      <c r="F9" s="114">
        <v>1371</v>
      </c>
      <c r="G9" s="114">
        <v>1380</v>
      </c>
      <c r="H9" s="114">
        <v>1270</v>
      </c>
      <c r="I9" s="114">
        <v>1364</v>
      </c>
      <c r="J9" s="256">
        <v>1272</v>
      </c>
      <c r="K9" s="255">
        <v>550</v>
      </c>
      <c r="L9" s="114">
        <v>519</v>
      </c>
      <c r="M9" s="114">
        <v>338</v>
      </c>
      <c r="N9" s="114">
        <v>450</v>
      </c>
      <c r="O9" s="114">
        <v>450</v>
      </c>
      <c r="P9" s="114">
        <v>332</v>
      </c>
      <c r="Q9" s="114">
        <v>344</v>
      </c>
      <c r="R9" s="256">
        <v>388</v>
      </c>
      <c r="S9" s="142"/>
      <c r="T9" s="227"/>
      <c r="W9" s="232">
        <f t="shared" si="1"/>
        <v>1.4527272727272726</v>
      </c>
      <c r="X9" s="232">
        <f t="shared" si="0"/>
        <v>1.5626204238921002</v>
      </c>
      <c r="Y9" s="232">
        <f t="shared" si="0"/>
        <v>2.973372781065089</v>
      </c>
      <c r="Z9" s="232">
        <f t="shared" si="0"/>
        <v>2.046666666666667</v>
      </c>
      <c r="AA9" s="232">
        <f t="shared" si="0"/>
        <v>2.066666666666667</v>
      </c>
      <c r="AB9" s="232">
        <f t="shared" si="0"/>
        <v>2.825301204819277</v>
      </c>
      <c r="AC9" s="232">
        <f t="shared" si="0"/>
        <v>2.9651162790697674</v>
      </c>
      <c r="AD9" s="232">
        <f t="shared" si="0"/>
        <v>2.2783505154639174</v>
      </c>
    </row>
    <row r="10" spans="2:30" ht="12.75">
      <c r="B10" s="254">
        <v>42429</v>
      </c>
      <c r="C10" s="255">
        <v>1026</v>
      </c>
      <c r="D10" s="114">
        <v>1309</v>
      </c>
      <c r="E10" s="114">
        <v>1265</v>
      </c>
      <c r="F10" s="114">
        <v>1201</v>
      </c>
      <c r="G10" s="114">
        <v>1279</v>
      </c>
      <c r="H10" s="114">
        <v>1135</v>
      </c>
      <c r="I10" s="114">
        <v>1205</v>
      </c>
      <c r="J10" s="256">
        <v>1194</v>
      </c>
      <c r="K10" s="255">
        <v>520</v>
      </c>
      <c r="L10" s="114">
        <v>533</v>
      </c>
      <c r="M10" s="114">
        <v>371</v>
      </c>
      <c r="N10" s="114">
        <v>441</v>
      </c>
      <c r="O10" s="114">
        <v>444</v>
      </c>
      <c r="P10" s="114">
        <v>387</v>
      </c>
      <c r="Q10" s="114">
        <v>354</v>
      </c>
      <c r="R10" s="256">
        <v>325</v>
      </c>
      <c r="S10" s="142"/>
      <c r="T10" s="227"/>
      <c r="W10" s="232">
        <f t="shared" si="1"/>
        <v>0.9730769230769231</v>
      </c>
      <c r="X10" s="232">
        <f t="shared" si="0"/>
        <v>1.4559099437148217</v>
      </c>
      <c r="Y10" s="232">
        <f t="shared" si="0"/>
        <v>2.4097035040431267</v>
      </c>
      <c r="Z10" s="232">
        <f t="shared" si="0"/>
        <v>1.7233560090702948</v>
      </c>
      <c r="AA10" s="232">
        <f t="shared" si="0"/>
        <v>1.8806306306306306</v>
      </c>
      <c r="AB10" s="232">
        <f t="shared" si="0"/>
        <v>1.9328165374677002</v>
      </c>
      <c r="AC10" s="232">
        <f t="shared" si="0"/>
        <v>2.403954802259887</v>
      </c>
      <c r="AD10" s="232">
        <f t="shared" si="0"/>
        <v>2.6738461538461538</v>
      </c>
    </row>
    <row r="11" spans="2:30" ht="12.75">
      <c r="B11" s="254">
        <v>42436</v>
      </c>
      <c r="C11" s="255">
        <v>1231</v>
      </c>
      <c r="D11" s="114">
        <v>1308</v>
      </c>
      <c r="E11" s="114">
        <v>1275</v>
      </c>
      <c r="F11" s="114">
        <v>1259</v>
      </c>
      <c r="G11" s="114">
        <v>1264</v>
      </c>
      <c r="H11" s="114">
        <v>1240</v>
      </c>
      <c r="I11" s="114">
        <v>1178</v>
      </c>
      <c r="J11" s="256">
        <v>1146</v>
      </c>
      <c r="K11" s="255">
        <v>513</v>
      </c>
      <c r="L11" s="114">
        <v>513</v>
      </c>
      <c r="M11" s="114">
        <v>313</v>
      </c>
      <c r="N11" s="114">
        <v>415</v>
      </c>
      <c r="O11" s="114">
        <v>438</v>
      </c>
      <c r="P11" s="114">
        <v>365</v>
      </c>
      <c r="Q11" s="114">
        <v>358</v>
      </c>
      <c r="R11" s="256">
        <v>350</v>
      </c>
      <c r="S11" s="142"/>
      <c r="T11" s="227"/>
      <c r="W11" s="232">
        <f t="shared" si="1"/>
        <v>1.3996101364522417</v>
      </c>
      <c r="X11" s="232">
        <f t="shared" si="0"/>
        <v>1.5497076023391814</v>
      </c>
      <c r="Y11" s="232">
        <f t="shared" si="0"/>
        <v>3.073482428115016</v>
      </c>
      <c r="Z11" s="232">
        <f t="shared" si="0"/>
        <v>2.0337349397590363</v>
      </c>
      <c r="AA11" s="232">
        <f t="shared" si="0"/>
        <v>1.8858447488584476</v>
      </c>
      <c r="AB11" s="232">
        <f t="shared" si="0"/>
        <v>2.3972602739726026</v>
      </c>
      <c r="AC11" s="232">
        <f t="shared" si="0"/>
        <v>2.2905027932960893</v>
      </c>
      <c r="AD11" s="232">
        <f t="shared" si="0"/>
        <v>2.2742857142857145</v>
      </c>
    </row>
    <row r="12" spans="2:30" ht="12.75">
      <c r="B12" s="254">
        <v>42443</v>
      </c>
      <c r="C12" s="255">
        <v>823</v>
      </c>
      <c r="D12" s="114">
        <v>1329</v>
      </c>
      <c r="E12" s="114">
        <v>932</v>
      </c>
      <c r="F12" s="114">
        <v>1088</v>
      </c>
      <c r="G12" s="114">
        <v>1007</v>
      </c>
      <c r="H12" s="114">
        <v>901</v>
      </c>
      <c r="I12" s="114">
        <v>1120</v>
      </c>
      <c r="J12" s="256">
        <v>856</v>
      </c>
      <c r="K12" s="255">
        <v>533</v>
      </c>
      <c r="L12" s="114">
        <v>499</v>
      </c>
      <c r="M12" s="114">
        <v>344</v>
      </c>
      <c r="N12" s="114">
        <v>437</v>
      </c>
      <c r="O12" s="114">
        <v>436</v>
      </c>
      <c r="P12" s="114">
        <v>368</v>
      </c>
      <c r="Q12" s="114">
        <v>356</v>
      </c>
      <c r="R12" s="256">
        <v>350</v>
      </c>
      <c r="S12" s="142"/>
      <c r="T12" s="227"/>
      <c r="W12" s="232">
        <f t="shared" si="1"/>
        <v>0.5440900562851783</v>
      </c>
      <c r="X12" s="232">
        <f t="shared" si="0"/>
        <v>1.6633266533066133</v>
      </c>
      <c r="Y12" s="232">
        <f t="shared" si="0"/>
        <v>1.7093023255813953</v>
      </c>
      <c r="Z12" s="232">
        <f t="shared" si="0"/>
        <v>1.4897025171624714</v>
      </c>
      <c r="AA12" s="232">
        <f t="shared" si="0"/>
        <v>1.3096330275229358</v>
      </c>
      <c r="AB12" s="232">
        <f t="shared" si="0"/>
        <v>1.4483695652173914</v>
      </c>
      <c r="AC12" s="232">
        <f t="shared" si="0"/>
        <v>2.146067415730337</v>
      </c>
      <c r="AD12" s="232">
        <f t="shared" si="0"/>
        <v>1.4457142857142857</v>
      </c>
    </row>
    <row r="13" spans="2:30" ht="12.75">
      <c r="B13" s="254">
        <v>42450</v>
      </c>
      <c r="C13" s="255">
        <v>1093</v>
      </c>
      <c r="D13" s="114">
        <v>1327</v>
      </c>
      <c r="E13" s="114">
        <v>1116</v>
      </c>
      <c r="F13" s="114">
        <v>1223</v>
      </c>
      <c r="G13" s="114">
        <v>1204</v>
      </c>
      <c r="H13" s="114">
        <v>1096</v>
      </c>
      <c r="I13" s="114">
        <v>1186</v>
      </c>
      <c r="J13" s="256">
        <v>1156</v>
      </c>
      <c r="K13" s="255">
        <v>488</v>
      </c>
      <c r="L13" s="114">
        <v>468</v>
      </c>
      <c r="M13" s="114">
        <v>338</v>
      </c>
      <c r="N13" s="114">
        <v>430</v>
      </c>
      <c r="O13" s="114">
        <v>429</v>
      </c>
      <c r="P13" s="114">
        <v>372</v>
      </c>
      <c r="Q13" s="114">
        <v>310</v>
      </c>
      <c r="R13" s="256">
        <v>350</v>
      </c>
      <c r="S13" s="142"/>
      <c r="T13" s="227"/>
      <c r="W13" s="232">
        <f t="shared" si="1"/>
        <v>1.2397540983606556</v>
      </c>
      <c r="X13" s="232">
        <f t="shared" si="0"/>
        <v>1.8354700854700854</v>
      </c>
      <c r="Y13" s="232">
        <f t="shared" si="0"/>
        <v>2.301775147928994</v>
      </c>
      <c r="Z13" s="232">
        <f t="shared" si="0"/>
        <v>1.844186046511628</v>
      </c>
      <c r="AA13" s="232">
        <f t="shared" si="0"/>
        <v>1.8065268065268065</v>
      </c>
      <c r="AB13" s="232">
        <f t="shared" si="0"/>
        <v>1.946236559139785</v>
      </c>
      <c r="AC13" s="232">
        <f t="shared" si="0"/>
        <v>2.825806451612903</v>
      </c>
      <c r="AD13" s="232">
        <f t="shared" si="0"/>
        <v>2.302857142857143</v>
      </c>
    </row>
    <row r="14" spans="2:30" ht="12.75">
      <c r="B14" s="254">
        <v>42457</v>
      </c>
      <c r="C14" s="255">
        <v>1095</v>
      </c>
      <c r="D14" s="114">
        <v>1302</v>
      </c>
      <c r="E14" s="114">
        <v>1120</v>
      </c>
      <c r="F14" s="114">
        <v>1211</v>
      </c>
      <c r="G14" s="114">
        <v>1108</v>
      </c>
      <c r="H14" s="114">
        <v>1034</v>
      </c>
      <c r="I14" s="114">
        <v>1131</v>
      </c>
      <c r="J14" s="256">
        <v>947</v>
      </c>
      <c r="K14" s="255">
        <v>500</v>
      </c>
      <c r="L14" s="114">
        <v>452</v>
      </c>
      <c r="M14" s="114">
        <v>375</v>
      </c>
      <c r="N14" s="114">
        <v>450</v>
      </c>
      <c r="O14" s="114">
        <v>438</v>
      </c>
      <c r="P14" s="114">
        <v>359</v>
      </c>
      <c r="Q14" s="114">
        <v>367</v>
      </c>
      <c r="R14" s="256">
        <v>375</v>
      </c>
      <c r="S14" s="142"/>
      <c r="T14" s="227"/>
      <c r="W14" s="232">
        <f t="shared" si="1"/>
        <v>1.19</v>
      </c>
      <c r="X14" s="232">
        <f t="shared" si="0"/>
        <v>1.8805309734513274</v>
      </c>
      <c r="Y14" s="232">
        <f t="shared" si="0"/>
        <v>1.9866666666666666</v>
      </c>
      <c r="Z14" s="232">
        <f t="shared" si="0"/>
        <v>1.691111111111111</v>
      </c>
      <c r="AA14" s="232">
        <f t="shared" si="0"/>
        <v>1.5296803652968036</v>
      </c>
      <c r="AB14" s="232">
        <f t="shared" si="0"/>
        <v>1.8802228412256268</v>
      </c>
      <c r="AC14" s="232">
        <f t="shared" si="0"/>
        <v>2.0817438692098094</v>
      </c>
      <c r="AD14" s="232">
        <f t="shared" si="0"/>
        <v>1.5253333333333334</v>
      </c>
    </row>
    <row r="15" spans="2:30" ht="12.75">
      <c r="B15" s="254">
        <v>42464</v>
      </c>
      <c r="C15" s="255">
        <v>1078</v>
      </c>
      <c r="D15" s="114">
        <v>1075</v>
      </c>
      <c r="E15" s="114">
        <v>1108</v>
      </c>
      <c r="F15" s="114">
        <v>1108</v>
      </c>
      <c r="G15" s="114">
        <v>1045.5</v>
      </c>
      <c r="H15" s="114">
        <v>1102.5</v>
      </c>
      <c r="I15" s="114">
        <v>1064</v>
      </c>
      <c r="J15" s="256">
        <v>1020</v>
      </c>
      <c r="K15" s="255">
        <v>488</v>
      </c>
      <c r="L15" s="114">
        <v>479</v>
      </c>
      <c r="M15" s="114">
        <v>366</v>
      </c>
      <c r="N15" s="114">
        <v>366</v>
      </c>
      <c r="O15" s="114">
        <v>447</v>
      </c>
      <c r="P15" s="114">
        <v>337</v>
      </c>
      <c r="Q15" s="114">
        <v>338</v>
      </c>
      <c r="R15" s="256">
        <v>350</v>
      </c>
      <c r="S15" s="142"/>
      <c r="T15" s="227"/>
      <c r="W15" s="232">
        <f t="shared" si="1"/>
        <v>1.209016393442623</v>
      </c>
      <c r="X15" s="232">
        <f t="shared" si="0"/>
        <v>1.244258872651357</v>
      </c>
      <c r="Y15" s="232">
        <f t="shared" si="0"/>
        <v>2.0273224043715845</v>
      </c>
      <c r="Z15" s="232">
        <f t="shared" si="0"/>
        <v>2.0273224043715845</v>
      </c>
      <c r="AA15" s="232">
        <f t="shared" si="0"/>
        <v>1.3389261744966443</v>
      </c>
      <c r="AB15" s="232">
        <f t="shared" si="0"/>
        <v>2.271513353115727</v>
      </c>
      <c r="AC15" s="232">
        <f t="shared" si="0"/>
        <v>2.1479289940828403</v>
      </c>
      <c r="AD15" s="232">
        <f t="shared" si="0"/>
        <v>1.9142857142857144</v>
      </c>
    </row>
    <row r="16" spans="2:30" ht="12.75">
      <c r="B16" s="254">
        <v>42471</v>
      </c>
      <c r="C16" s="255">
        <v>728</v>
      </c>
      <c r="D16" s="114">
        <v>1114</v>
      </c>
      <c r="E16" s="114">
        <v>877</v>
      </c>
      <c r="F16" s="114">
        <v>877</v>
      </c>
      <c r="G16" s="114">
        <v>985</v>
      </c>
      <c r="H16" s="114">
        <v>1097</v>
      </c>
      <c r="I16" s="114">
        <v>1024</v>
      </c>
      <c r="J16" s="256">
        <v>1047</v>
      </c>
      <c r="K16" s="255">
        <v>482</v>
      </c>
      <c r="L16" s="114">
        <v>472</v>
      </c>
      <c r="M16" s="114">
        <v>375</v>
      </c>
      <c r="N16" s="114">
        <v>375</v>
      </c>
      <c r="O16" s="114">
        <v>444</v>
      </c>
      <c r="P16" s="114">
        <v>328</v>
      </c>
      <c r="Q16" s="114">
        <v>354</v>
      </c>
      <c r="R16" s="256">
        <v>325</v>
      </c>
      <c r="S16" s="142"/>
      <c r="T16" s="227"/>
      <c r="W16" s="232">
        <f t="shared" si="1"/>
        <v>0.5103734439834025</v>
      </c>
      <c r="X16" s="232">
        <f t="shared" si="0"/>
        <v>1.3601694915254237</v>
      </c>
      <c r="Y16" s="232">
        <f t="shared" si="0"/>
        <v>1.3386666666666667</v>
      </c>
      <c r="Z16" s="232">
        <f t="shared" si="0"/>
        <v>1.3386666666666667</v>
      </c>
      <c r="AA16" s="232">
        <f t="shared" si="0"/>
        <v>1.2184684684684686</v>
      </c>
      <c r="AB16" s="232">
        <f t="shared" si="0"/>
        <v>2.3445121951219514</v>
      </c>
      <c r="AC16" s="232">
        <f t="shared" si="0"/>
        <v>1.8926553672316384</v>
      </c>
      <c r="AD16" s="232">
        <f t="shared" si="0"/>
        <v>2.2215384615384615</v>
      </c>
    </row>
    <row r="17" spans="2:30" ht="12.75">
      <c r="B17" s="254">
        <v>42478</v>
      </c>
      <c r="C17" s="255">
        <v>1027</v>
      </c>
      <c r="D17" s="114">
        <v>1175</v>
      </c>
      <c r="E17" s="114">
        <v>1049</v>
      </c>
      <c r="F17" s="114">
        <v>1049</v>
      </c>
      <c r="G17" s="114">
        <v>1075</v>
      </c>
      <c r="H17" s="114">
        <v>1039</v>
      </c>
      <c r="I17" s="114">
        <v>1016</v>
      </c>
      <c r="J17" s="256">
        <v>973</v>
      </c>
      <c r="K17" s="255">
        <v>513</v>
      </c>
      <c r="L17" s="114">
        <v>463</v>
      </c>
      <c r="M17" s="114">
        <v>373</v>
      </c>
      <c r="N17" s="114">
        <v>373</v>
      </c>
      <c r="O17" s="114">
        <v>461</v>
      </c>
      <c r="P17" s="114">
        <v>326</v>
      </c>
      <c r="Q17" s="114">
        <v>363</v>
      </c>
      <c r="R17" s="256">
        <v>338</v>
      </c>
      <c r="S17" s="142"/>
      <c r="T17" s="227"/>
      <c r="W17" s="232">
        <f t="shared" si="1"/>
        <v>1.0019493177387915</v>
      </c>
      <c r="X17" s="232">
        <f t="shared" si="0"/>
        <v>1.5377969762419006</v>
      </c>
      <c r="Y17" s="232">
        <f t="shared" si="0"/>
        <v>1.8123324396782843</v>
      </c>
      <c r="Z17" s="232">
        <f t="shared" si="0"/>
        <v>1.8123324396782843</v>
      </c>
      <c r="AA17" s="232">
        <f t="shared" si="0"/>
        <v>1.331887201735358</v>
      </c>
      <c r="AB17" s="232">
        <f t="shared" si="0"/>
        <v>2.187116564417178</v>
      </c>
      <c r="AC17" s="232">
        <f t="shared" si="0"/>
        <v>1.7988980716253444</v>
      </c>
      <c r="AD17" s="232">
        <f t="shared" si="0"/>
        <v>1.878698224852071</v>
      </c>
    </row>
    <row r="18" spans="2:30" ht="12.75">
      <c r="B18" s="254">
        <v>42485</v>
      </c>
      <c r="C18" s="255">
        <v>1035</v>
      </c>
      <c r="D18" s="114">
        <v>1100</v>
      </c>
      <c r="E18" s="114">
        <v>1088</v>
      </c>
      <c r="F18" s="114">
        <v>1088</v>
      </c>
      <c r="G18" s="114">
        <v>1015</v>
      </c>
      <c r="H18" s="114">
        <v>1000</v>
      </c>
      <c r="I18" s="114">
        <v>1039</v>
      </c>
      <c r="J18" s="256">
        <v>948</v>
      </c>
      <c r="K18" s="255">
        <v>493</v>
      </c>
      <c r="L18" s="114">
        <v>489</v>
      </c>
      <c r="M18" s="114">
        <v>361</v>
      </c>
      <c r="N18" s="114">
        <v>361</v>
      </c>
      <c r="O18" s="114">
        <v>438</v>
      </c>
      <c r="P18" s="114">
        <v>335</v>
      </c>
      <c r="Q18" s="114">
        <v>316</v>
      </c>
      <c r="R18" s="256">
        <v>375</v>
      </c>
      <c r="S18" s="142"/>
      <c r="T18" s="227"/>
      <c r="W18" s="232">
        <f t="shared" si="1"/>
        <v>1.0993914807302232</v>
      </c>
      <c r="X18" s="232">
        <f t="shared" si="0"/>
        <v>1.2494887525562373</v>
      </c>
      <c r="Y18" s="232">
        <f t="shared" si="0"/>
        <v>2.0138504155124655</v>
      </c>
      <c r="Z18" s="232">
        <f t="shared" si="0"/>
        <v>2.0138504155124655</v>
      </c>
      <c r="AA18" s="232">
        <f t="shared" si="0"/>
        <v>1.317351598173516</v>
      </c>
      <c r="AB18" s="232">
        <f t="shared" si="0"/>
        <v>1.9850746268656716</v>
      </c>
      <c r="AC18" s="232">
        <f t="shared" si="0"/>
        <v>2.287974683544304</v>
      </c>
      <c r="AD18" s="232">
        <f t="shared" si="0"/>
        <v>1.528</v>
      </c>
    </row>
    <row r="19" spans="2:30" ht="12.75">
      <c r="B19" s="254">
        <v>42492</v>
      </c>
      <c r="C19" s="255">
        <v>1023</v>
      </c>
      <c r="D19" s="114">
        <v>1068</v>
      </c>
      <c r="E19" s="114">
        <v>1094</v>
      </c>
      <c r="F19" s="114">
        <v>1094</v>
      </c>
      <c r="G19" s="114">
        <v>968</v>
      </c>
      <c r="H19" s="114">
        <v>983</v>
      </c>
      <c r="I19" s="114">
        <v>1013</v>
      </c>
      <c r="J19" s="256">
        <v>1033</v>
      </c>
      <c r="K19" s="255">
        <v>483</v>
      </c>
      <c r="L19" s="114">
        <v>471</v>
      </c>
      <c r="M19" s="114">
        <v>349</v>
      </c>
      <c r="N19" s="114">
        <v>349</v>
      </c>
      <c r="O19" s="114">
        <v>433</v>
      </c>
      <c r="P19" s="114">
        <v>288</v>
      </c>
      <c r="Q19" s="114">
        <v>294</v>
      </c>
      <c r="R19" s="256">
        <v>325</v>
      </c>
      <c r="S19" s="142"/>
      <c r="T19" s="227"/>
      <c r="W19" s="232">
        <f t="shared" si="1"/>
        <v>1.1180124223602483</v>
      </c>
      <c r="X19" s="232">
        <f t="shared" si="0"/>
        <v>1.267515923566879</v>
      </c>
      <c r="Y19" s="232">
        <f t="shared" si="0"/>
        <v>2.134670487106017</v>
      </c>
      <c r="Z19" s="232">
        <f t="shared" si="0"/>
        <v>2.134670487106017</v>
      </c>
      <c r="AA19" s="232">
        <f t="shared" si="0"/>
        <v>1.2355658198614319</v>
      </c>
      <c r="AB19" s="232">
        <f t="shared" si="0"/>
        <v>2.4131944444444446</v>
      </c>
      <c r="AC19" s="232">
        <f t="shared" si="0"/>
        <v>2.445578231292517</v>
      </c>
      <c r="AD19" s="232">
        <f t="shared" si="0"/>
        <v>2.1784615384615384</v>
      </c>
    </row>
    <row r="20" spans="2:30" ht="12.75">
      <c r="B20" s="254">
        <v>42499</v>
      </c>
      <c r="C20" s="255">
        <v>1064</v>
      </c>
      <c r="D20" s="114">
        <v>1054</v>
      </c>
      <c r="E20" s="114">
        <v>1094</v>
      </c>
      <c r="F20" s="114">
        <v>1094</v>
      </c>
      <c r="G20" s="114">
        <v>971</v>
      </c>
      <c r="H20" s="114">
        <v>1029</v>
      </c>
      <c r="I20" s="114">
        <v>1059</v>
      </c>
      <c r="J20" s="256">
        <v>1031</v>
      </c>
      <c r="K20" s="255">
        <v>483</v>
      </c>
      <c r="L20" s="114">
        <v>451</v>
      </c>
      <c r="M20" s="114">
        <v>338</v>
      </c>
      <c r="N20" s="114">
        <v>338</v>
      </c>
      <c r="O20" s="114">
        <v>438</v>
      </c>
      <c r="P20" s="114">
        <v>310</v>
      </c>
      <c r="Q20" s="114">
        <v>346</v>
      </c>
      <c r="R20" s="256">
        <v>300</v>
      </c>
      <c r="S20" s="142"/>
      <c r="T20" s="227"/>
      <c r="W20" s="232">
        <f t="shared" si="1"/>
        <v>1.2028985507246377</v>
      </c>
      <c r="X20" s="232">
        <f t="shared" si="0"/>
        <v>1.3370288248337028</v>
      </c>
      <c r="Y20" s="232">
        <f t="shared" si="0"/>
        <v>2.2366863905325443</v>
      </c>
      <c r="Z20" s="232">
        <f t="shared" si="0"/>
        <v>2.2366863905325443</v>
      </c>
      <c r="AA20" s="232">
        <f t="shared" si="0"/>
        <v>1.2168949771689497</v>
      </c>
      <c r="AB20" s="232">
        <f t="shared" si="0"/>
        <v>2.3193548387096774</v>
      </c>
      <c r="AC20" s="232">
        <f t="shared" si="0"/>
        <v>2.060693641618497</v>
      </c>
      <c r="AD20" s="232">
        <f t="shared" si="0"/>
        <v>2.4366666666666665</v>
      </c>
    </row>
    <row r="21" spans="2:30" ht="12.75">
      <c r="B21" s="254">
        <v>42506</v>
      </c>
      <c r="C21" s="255">
        <v>940</v>
      </c>
      <c r="D21" s="114">
        <v>1163</v>
      </c>
      <c r="E21" s="114">
        <v>1052</v>
      </c>
      <c r="F21" s="114">
        <v>1065</v>
      </c>
      <c r="G21" s="114">
        <v>941</v>
      </c>
      <c r="H21" s="114">
        <v>909</v>
      </c>
      <c r="I21" s="114">
        <v>1005</v>
      </c>
      <c r="J21" s="256">
        <v>873</v>
      </c>
      <c r="K21" s="255">
        <v>550</v>
      </c>
      <c r="L21" s="114">
        <v>547</v>
      </c>
      <c r="M21" s="114">
        <v>390</v>
      </c>
      <c r="N21" s="114">
        <v>473</v>
      </c>
      <c r="O21" s="114">
        <v>530</v>
      </c>
      <c r="P21" s="114">
        <v>364</v>
      </c>
      <c r="Q21" s="114">
        <v>329</v>
      </c>
      <c r="R21" s="256">
        <v>350</v>
      </c>
      <c r="S21" s="142"/>
      <c r="T21" s="227"/>
      <c r="W21" s="232">
        <f t="shared" si="1"/>
        <v>0.7090909090909091</v>
      </c>
      <c r="X21" s="232">
        <f t="shared" si="0"/>
        <v>1.1261425959780622</v>
      </c>
      <c r="Y21" s="232">
        <f t="shared" si="0"/>
        <v>1.6974358974358974</v>
      </c>
      <c r="Z21" s="232">
        <f t="shared" si="0"/>
        <v>1.251585623678647</v>
      </c>
      <c r="AA21" s="232">
        <f t="shared" si="0"/>
        <v>0.7754716981132076</v>
      </c>
      <c r="AB21" s="232">
        <f t="shared" si="0"/>
        <v>1.4972527472527473</v>
      </c>
      <c r="AC21" s="232">
        <f t="shared" si="0"/>
        <v>2.054711246200608</v>
      </c>
      <c r="AD21" s="232">
        <f t="shared" si="0"/>
        <v>1.4942857142857142</v>
      </c>
    </row>
    <row r="22" spans="2:30" ht="12.75">
      <c r="B22" s="254">
        <v>42513</v>
      </c>
      <c r="C22" s="255">
        <v>988</v>
      </c>
      <c r="D22" s="114">
        <v>994</v>
      </c>
      <c r="E22" s="114">
        <v>1015</v>
      </c>
      <c r="F22" s="114">
        <v>1038</v>
      </c>
      <c r="G22" s="114">
        <v>938</v>
      </c>
      <c r="H22" s="114">
        <v>1002</v>
      </c>
      <c r="I22" s="114">
        <v>953</v>
      </c>
      <c r="J22" s="256">
        <v>961</v>
      </c>
      <c r="K22" s="255">
        <v>546</v>
      </c>
      <c r="L22" s="114">
        <v>552</v>
      </c>
      <c r="M22" s="114">
        <v>494</v>
      </c>
      <c r="N22" s="114">
        <v>514</v>
      </c>
      <c r="O22" s="114">
        <v>521</v>
      </c>
      <c r="P22" s="114">
        <v>369</v>
      </c>
      <c r="Q22" s="114">
        <v>383</v>
      </c>
      <c r="R22" s="256">
        <v>400</v>
      </c>
      <c r="S22" s="142"/>
      <c r="T22" s="227"/>
      <c r="W22" s="232">
        <f t="shared" si="1"/>
        <v>0.8095238095238095</v>
      </c>
      <c r="X22" s="232">
        <f t="shared" si="0"/>
        <v>0.8007246376811594</v>
      </c>
      <c r="Y22" s="232">
        <f t="shared" si="0"/>
        <v>1.0546558704453441</v>
      </c>
      <c r="Z22" s="232">
        <f t="shared" si="0"/>
        <v>1.0194552529182879</v>
      </c>
      <c r="AA22" s="232">
        <f t="shared" si="0"/>
        <v>0.800383877159309</v>
      </c>
      <c r="AB22" s="232">
        <f t="shared" si="0"/>
        <v>1.7154471544715446</v>
      </c>
      <c r="AC22" s="232">
        <f t="shared" si="0"/>
        <v>1.4882506527415145</v>
      </c>
      <c r="AD22" s="232">
        <f t="shared" si="0"/>
        <v>1.4025</v>
      </c>
    </row>
    <row r="23" spans="2:30" ht="12.75">
      <c r="B23" s="254">
        <v>42520</v>
      </c>
      <c r="C23" s="255">
        <v>1020</v>
      </c>
      <c r="D23" s="114">
        <v>1054</v>
      </c>
      <c r="E23" s="114">
        <v>1048</v>
      </c>
      <c r="F23" s="114">
        <v>1081</v>
      </c>
      <c r="G23" s="114">
        <v>956</v>
      </c>
      <c r="H23" s="114">
        <v>1001</v>
      </c>
      <c r="I23" s="114">
        <v>1174</v>
      </c>
      <c r="J23" s="256">
        <v>976</v>
      </c>
      <c r="K23" s="255">
        <v>638</v>
      </c>
      <c r="L23" s="114">
        <v>558</v>
      </c>
      <c r="M23" s="114">
        <v>513</v>
      </c>
      <c r="N23" s="114">
        <v>530</v>
      </c>
      <c r="O23" s="114">
        <v>538</v>
      </c>
      <c r="P23" s="114">
        <v>364</v>
      </c>
      <c r="Q23" s="114">
        <v>375</v>
      </c>
      <c r="R23" s="256">
        <v>400</v>
      </c>
      <c r="S23" s="142"/>
      <c r="T23" s="227"/>
      <c r="W23" s="232">
        <f t="shared" si="1"/>
        <v>0.5987460815047022</v>
      </c>
      <c r="X23" s="232">
        <f aca="true" t="shared" si="2" ref="X23:AD27">+IF(L23="","",((D23-L23)/L23))</f>
        <v>0.8888888888888888</v>
      </c>
      <c r="Y23" s="232">
        <f t="shared" si="2"/>
        <v>1.0428849902534114</v>
      </c>
      <c r="Z23" s="232">
        <f t="shared" si="2"/>
        <v>1.039622641509434</v>
      </c>
      <c r="AA23" s="232">
        <f t="shared" si="2"/>
        <v>0.7769516728624535</v>
      </c>
      <c r="AB23" s="232">
        <f t="shared" si="2"/>
        <v>1.75</v>
      </c>
      <c r="AC23" s="232">
        <f t="shared" si="2"/>
        <v>2.1306666666666665</v>
      </c>
      <c r="AD23" s="232">
        <f t="shared" si="2"/>
        <v>1.44</v>
      </c>
    </row>
    <row r="24" spans="2:30" ht="12.75">
      <c r="B24" s="254">
        <v>42527</v>
      </c>
      <c r="C24" s="255">
        <v>1163</v>
      </c>
      <c r="D24" s="114">
        <v>1154</v>
      </c>
      <c r="E24" s="114">
        <v>1109</v>
      </c>
      <c r="F24" s="114">
        <v>1174</v>
      </c>
      <c r="G24" s="114">
        <v>1075</v>
      </c>
      <c r="H24" s="114">
        <v>1089</v>
      </c>
      <c r="I24" s="114">
        <v>1104</v>
      </c>
      <c r="J24" s="256">
        <v>1089</v>
      </c>
      <c r="K24" s="255">
        <v>620</v>
      </c>
      <c r="L24" s="114">
        <v>556</v>
      </c>
      <c r="M24" s="114">
        <v>513</v>
      </c>
      <c r="N24" s="114">
        <v>529</v>
      </c>
      <c r="O24" s="114">
        <v>517</v>
      </c>
      <c r="P24" s="114">
        <v>404</v>
      </c>
      <c r="Q24" s="114">
        <v>360</v>
      </c>
      <c r="R24" s="256">
        <v>400</v>
      </c>
      <c r="S24" s="142"/>
      <c r="T24" s="227"/>
      <c r="W24" s="232">
        <f t="shared" si="1"/>
        <v>0.8758064516129033</v>
      </c>
      <c r="X24" s="232">
        <f t="shared" si="2"/>
        <v>1.0755395683453237</v>
      </c>
      <c r="Y24" s="232">
        <f t="shared" si="2"/>
        <v>1.161793372319688</v>
      </c>
      <c r="Z24" s="232">
        <f t="shared" si="2"/>
        <v>1.2192816635160681</v>
      </c>
      <c r="AA24" s="232">
        <f t="shared" si="2"/>
        <v>1.079303675048356</v>
      </c>
      <c r="AB24" s="232">
        <f t="shared" si="2"/>
        <v>1.6955445544554455</v>
      </c>
      <c r="AC24" s="232">
        <f t="shared" si="2"/>
        <v>2.066666666666667</v>
      </c>
      <c r="AD24" s="232">
        <f t="shared" si="2"/>
        <v>1.7225</v>
      </c>
    </row>
    <row r="25" spans="2:30" ht="12.75">
      <c r="B25" s="254">
        <v>42534</v>
      </c>
      <c r="C25" s="255">
        <v>1148</v>
      </c>
      <c r="D25" s="114">
        <v>1153</v>
      </c>
      <c r="E25" s="114">
        <v>1135</v>
      </c>
      <c r="F25" s="114">
        <v>1119</v>
      </c>
      <c r="G25" s="114">
        <v>1071</v>
      </c>
      <c r="H25" s="114">
        <v>1117</v>
      </c>
      <c r="I25" s="114">
        <v>1129</v>
      </c>
      <c r="J25" s="256">
        <v>1121</v>
      </c>
      <c r="K25" s="255">
        <v>616</v>
      </c>
      <c r="L25" s="114">
        <v>533</v>
      </c>
      <c r="M25" s="114">
        <v>546</v>
      </c>
      <c r="N25" s="114">
        <v>512</v>
      </c>
      <c r="O25" s="114">
        <v>491</v>
      </c>
      <c r="P25" s="114">
        <v>388</v>
      </c>
      <c r="Q25" s="114">
        <v>350</v>
      </c>
      <c r="R25" s="256">
        <v>375</v>
      </c>
      <c r="S25" s="142"/>
      <c r="T25" s="227"/>
      <c r="W25" s="232">
        <f t="shared" si="1"/>
        <v>0.8636363636363636</v>
      </c>
      <c r="X25" s="232">
        <f t="shared" si="2"/>
        <v>1.1632270168855534</v>
      </c>
      <c r="Y25" s="232">
        <f t="shared" si="2"/>
        <v>1.0787545787545787</v>
      </c>
      <c r="Z25" s="232">
        <f t="shared" si="2"/>
        <v>1.185546875</v>
      </c>
      <c r="AA25" s="232">
        <f t="shared" si="2"/>
        <v>1.1812627291242364</v>
      </c>
      <c r="AB25" s="232">
        <f t="shared" si="2"/>
        <v>1.8788659793814433</v>
      </c>
      <c r="AC25" s="232">
        <f t="shared" si="2"/>
        <v>2.2257142857142855</v>
      </c>
      <c r="AD25" s="232">
        <f t="shared" si="2"/>
        <v>1.9893333333333334</v>
      </c>
    </row>
    <row r="26" spans="2:31" ht="12.75">
      <c r="B26" s="254">
        <v>42541</v>
      </c>
      <c r="C26" s="255">
        <v>1155</v>
      </c>
      <c r="D26" s="114">
        <v>1157</v>
      </c>
      <c r="E26" s="114">
        <v>1123</v>
      </c>
      <c r="F26" s="114">
        <v>1158</v>
      </c>
      <c r="G26" s="114">
        <v>1099</v>
      </c>
      <c r="H26" s="114">
        <v>1132</v>
      </c>
      <c r="I26" s="114">
        <v>1124</v>
      </c>
      <c r="J26" s="256">
        <v>1108</v>
      </c>
      <c r="K26" s="255">
        <v>610</v>
      </c>
      <c r="L26" s="114">
        <v>522</v>
      </c>
      <c r="M26" s="114">
        <v>425</v>
      </c>
      <c r="N26" s="114">
        <v>537</v>
      </c>
      <c r="O26" s="114">
        <v>492</v>
      </c>
      <c r="P26" s="114">
        <v>378</v>
      </c>
      <c r="Q26" s="114">
        <v>375</v>
      </c>
      <c r="R26" s="256">
        <v>375</v>
      </c>
      <c r="S26" s="142"/>
      <c r="T26" s="227"/>
      <c r="U26" s="225"/>
      <c r="V26" s="233"/>
      <c r="W26" s="232">
        <f t="shared" si="1"/>
        <v>0.8934426229508197</v>
      </c>
      <c r="X26" s="232">
        <f t="shared" si="2"/>
        <v>1.2164750957854407</v>
      </c>
      <c r="Y26" s="232">
        <f t="shared" si="2"/>
        <v>1.6423529411764706</v>
      </c>
      <c r="Z26" s="232">
        <f t="shared" si="2"/>
        <v>1.1564245810055866</v>
      </c>
      <c r="AA26" s="232">
        <f t="shared" si="2"/>
        <v>1.233739837398374</v>
      </c>
      <c r="AB26" s="232">
        <f t="shared" si="2"/>
        <v>1.9947089947089947</v>
      </c>
      <c r="AC26" s="232">
        <f t="shared" si="2"/>
        <v>1.9973333333333334</v>
      </c>
      <c r="AD26" s="232">
        <f t="shared" si="2"/>
        <v>1.9546666666666668</v>
      </c>
      <c r="AE26" s="225"/>
    </row>
    <row r="27" spans="2:31" ht="12.75">
      <c r="B27" s="257">
        <v>42548</v>
      </c>
      <c r="C27" s="258">
        <v>1149</v>
      </c>
      <c r="D27" s="36">
        <v>1149</v>
      </c>
      <c r="E27" s="36">
        <v>1119</v>
      </c>
      <c r="F27" s="36">
        <v>1149</v>
      </c>
      <c r="G27" s="36">
        <v>1104</v>
      </c>
      <c r="H27" s="36">
        <v>1150</v>
      </c>
      <c r="I27" s="36">
        <v>1127</v>
      </c>
      <c r="J27" s="259">
        <v>1110</v>
      </c>
      <c r="K27" s="258">
        <v>583</v>
      </c>
      <c r="L27" s="36">
        <v>538</v>
      </c>
      <c r="M27" s="36">
        <v>413</v>
      </c>
      <c r="N27" s="36">
        <v>527</v>
      </c>
      <c r="O27" s="36">
        <v>492</v>
      </c>
      <c r="P27" s="36">
        <v>393</v>
      </c>
      <c r="Q27" s="36">
        <v>438</v>
      </c>
      <c r="R27" s="259">
        <v>350</v>
      </c>
      <c r="S27" s="142"/>
      <c r="T27" s="260"/>
      <c r="U27" s="225"/>
      <c r="V27" s="233"/>
      <c r="W27" s="232">
        <f t="shared" si="1"/>
        <v>0.9708404802744426</v>
      </c>
      <c r="X27" s="232">
        <f t="shared" si="2"/>
        <v>1.1356877323420074</v>
      </c>
      <c r="Y27" s="232">
        <f t="shared" si="2"/>
        <v>1.7094430992736078</v>
      </c>
      <c r="Z27" s="232">
        <f t="shared" si="2"/>
        <v>1.1802656546489563</v>
      </c>
      <c r="AA27" s="232">
        <f t="shared" si="2"/>
        <v>1.2439024390243902</v>
      </c>
      <c r="AB27" s="232">
        <f t="shared" si="2"/>
        <v>1.9262086513994912</v>
      </c>
      <c r="AC27" s="232">
        <f t="shared" si="2"/>
        <v>1.5730593607305936</v>
      </c>
      <c r="AD27" s="232">
        <f t="shared" si="2"/>
        <v>2.1714285714285713</v>
      </c>
      <c r="AE27" s="225"/>
    </row>
    <row r="28" spans="2:31" ht="12.75">
      <c r="B28" s="39" t="s">
        <v>217</v>
      </c>
      <c r="P28" s="48"/>
      <c r="Q28" s="48"/>
      <c r="T28" s="260"/>
      <c r="U28" s="225"/>
      <c r="AE28" s="225"/>
    </row>
    <row r="29" spans="20:31" ht="12.75">
      <c r="T29" s="227"/>
      <c r="V29" s="261" t="s">
        <v>256</v>
      </c>
      <c r="W29" s="236">
        <f aca="true" t="shared" si="3" ref="W29:AD29">+_xlfn.STDEV.S(W7:W27)</f>
        <v>0.2786665432083705</v>
      </c>
      <c r="X29" s="236">
        <f t="shared" si="3"/>
        <v>0.3025215514249233</v>
      </c>
      <c r="Y29" s="236">
        <f t="shared" si="3"/>
        <v>0.6463803645222312</v>
      </c>
      <c r="Z29" s="236">
        <f t="shared" si="3"/>
        <v>0.4146643522516651</v>
      </c>
      <c r="AA29" s="236">
        <f t="shared" si="3"/>
        <v>0.44564626604763646</v>
      </c>
      <c r="AB29" s="236">
        <f t="shared" si="3"/>
        <v>0.387114407164751</v>
      </c>
      <c r="AC29" s="236">
        <f t="shared" si="3"/>
        <v>0.391652182723227</v>
      </c>
      <c r="AD29" s="236">
        <f t="shared" si="3"/>
        <v>0.37221706040868763</v>
      </c>
      <c r="AE29" s="225"/>
    </row>
    <row r="30" spans="20:31" ht="12.75">
      <c r="T30" s="227"/>
      <c r="V30" s="262" t="s">
        <v>192</v>
      </c>
      <c r="W30" s="236">
        <f aca="true" t="shared" si="4" ref="W30:AD30">+AVERAGE(W7:W27)</f>
        <v>1.0092157693801806</v>
      </c>
      <c r="X30" s="236">
        <f t="shared" si="4"/>
        <v>1.373954503416879</v>
      </c>
      <c r="Y30" s="236">
        <f t="shared" si="4"/>
        <v>1.961261225726675</v>
      </c>
      <c r="Z30" s="236">
        <f t="shared" si="4"/>
        <v>1.642993529702521</v>
      </c>
      <c r="AA30" s="236">
        <f t="shared" si="4"/>
        <v>1.4151108999698205</v>
      </c>
      <c r="AB30" s="236">
        <f t="shared" si="4"/>
        <v>2.0856019769297527</v>
      </c>
      <c r="AC30" s="236">
        <f t="shared" si="4"/>
        <v>2.2047788299027267</v>
      </c>
      <c r="AD30" s="236">
        <f t="shared" si="4"/>
        <v>1.94465485890568</v>
      </c>
      <c r="AE30" s="225"/>
    </row>
    <row r="31" ht="12.75">
      <c r="T31" s="227"/>
    </row>
    <row r="32" spans="20:30" ht="12.75">
      <c r="T32" s="227"/>
      <c r="V32" s="262" t="s">
        <v>257</v>
      </c>
      <c r="W32" s="233">
        <f aca="true" t="shared" si="5" ref="W32:AD32">+AVERAGE(C7:C27)</f>
        <v>1081.857142857143</v>
      </c>
      <c r="X32" s="233">
        <f t="shared" si="5"/>
        <v>1194.6190476190477</v>
      </c>
      <c r="Y32" s="233">
        <f t="shared" si="5"/>
        <v>1127.2380952380952</v>
      </c>
      <c r="Z32" s="233">
        <f t="shared" si="5"/>
        <v>1148.4761904761904</v>
      </c>
      <c r="AA32" s="233">
        <f t="shared" si="5"/>
        <v>1107.5714285714287</v>
      </c>
      <c r="AB32" s="233">
        <f t="shared" si="5"/>
        <v>1087.9285714285713</v>
      </c>
      <c r="AC32" s="233">
        <f t="shared" si="5"/>
        <v>1129.7619047619048</v>
      </c>
      <c r="AD32" s="233">
        <f t="shared" si="5"/>
        <v>1063.5238095238096</v>
      </c>
    </row>
    <row r="33" spans="20:30" ht="12.75">
      <c r="T33" s="227"/>
      <c r="V33" s="262" t="s">
        <v>258</v>
      </c>
      <c r="W33" s="233">
        <f aca="true" t="shared" si="6" ref="W33:AD33">+AVERAGE(K7:K27)</f>
        <v>540.6666666666666</v>
      </c>
      <c r="X33" s="233">
        <f t="shared" si="6"/>
        <v>505.85714285714283</v>
      </c>
      <c r="Y33" s="233">
        <f t="shared" si="6"/>
        <v>392.14285714285717</v>
      </c>
      <c r="Z33" s="233">
        <f t="shared" si="6"/>
        <v>442.3333333333333</v>
      </c>
      <c r="AA33" s="233">
        <f t="shared" si="6"/>
        <v>463.42857142857144</v>
      </c>
      <c r="AB33" s="233">
        <f t="shared" si="6"/>
        <v>354.7142857142857</v>
      </c>
      <c r="AC33" s="233">
        <f t="shared" si="6"/>
        <v>354.5238095238095</v>
      </c>
      <c r="AD33" s="233">
        <f t="shared" si="6"/>
        <v>363.14285714285717</v>
      </c>
    </row>
    <row r="34" spans="20:30" ht="12.75">
      <c r="T34" s="227"/>
      <c r="V34" s="262" t="s">
        <v>206</v>
      </c>
      <c r="W34" s="237">
        <f aca="true" t="shared" si="7" ref="W34:AD34">+W32/W33-1</f>
        <v>1.0009688215606838</v>
      </c>
      <c r="X34" s="237">
        <f t="shared" si="7"/>
        <v>1.3615739433305096</v>
      </c>
      <c r="Y34" s="237">
        <f t="shared" si="7"/>
        <v>1.8745598057073463</v>
      </c>
      <c r="Z34" s="237">
        <f t="shared" si="7"/>
        <v>1.5964043492302724</v>
      </c>
      <c r="AA34" s="237">
        <f t="shared" si="7"/>
        <v>1.3899506781750928</v>
      </c>
      <c r="AB34" s="237">
        <f t="shared" si="7"/>
        <v>2.067055980668546</v>
      </c>
      <c r="AC34" s="237">
        <f t="shared" si="7"/>
        <v>2.1867024848891874</v>
      </c>
      <c r="AD34" s="237">
        <f t="shared" si="7"/>
        <v>1.928665093102544</v>
      </c>
    </row>
    <row r="35" ht="12.75">
      <c r="T35" s="227"/>
    </row>
    <row r="36" ht="12.75">
      <c r="T36" s="227"/>
    </row>
    <row r="37" ht="12.75">
      <c r="T37" s="227"/>
    </row>
    <row r="48" ht="12.75">
      <c r="C48" s="39" t="s">
        <v>217</v>
      </c>
    </row>
  </sheetData>
  <sheetProtection/>
  <mergeCells count="5">
    <mergeCell ref="B2:R2"/>
    <mergeCell ref="B3:R3"/>
    <mergeCell ref="B4:R4"/>
    <mergeCell ref="C5:J5"/>
    <mergeCell ref="K5:R5"/>
  </mergeCells>
  <conditionalFormatting sqref="W32:AD32">
    <cfRule type="colorScale" priority="4" dxfId="0">
      <colorScale>
        <cfvo type="min" val="0"/>
        <cfvo type="percentile" val="50"/>
        <cfvo type="max"/>
        <color rgb="FFF8696B"/>
        <color rgb="FFFFEB84"/>
        <color rgb="FF63BE7B"/>
      </colorScale>
    </cfRule>
  </conditionalFormatting>
  <conditionalFormatting sqref="W33:AD33">
    <cfRule type="colorScale" priority="3" dxfId="0">
      <colorScale>
        <cfvo type="min" val="0"/>
        <cfvo type="percentile" val="50"/>
        <cfvo type="max"/>
        <color rgb="FFF8696B"/>
        <color rgb="FFFFEB84"/>
        <color rgb="FF63BE7B"/>
      </colorScale>
    </cfRule>
  </conditionalFormatting>
  <conditionalFormatting sqref="W34:AD34">
    <cfRule type="colorScale" priority="1" dxfId="0">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48"/>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2" customWidth="1"/>
    <col min="2" max="2" width="14.421875" style="22" customWidth="1"/>
    <col min="3" max="3" width="14.00390625" style="22" customWidth="1"/>
    <col min="4" max="4" width="13.421875" style="22" customWidth="1"/>
    <col min="5" max="5" width="14.421875" style="22" customWidth="1"/>
    <col min="6" max="6" width="18.28125" style="22" customWidth="1"/>
    <col min="7" max="8" width="14.421875" style="22" customWidth="1"/>
    <col min="9" max="9" width="10.421875" style="200" customWidth="1"/>
    <col min="10" max="10" width="7.28125" style="191" hidden="1" customWidth="1"/>
    <col min="11" max="12" width="8.421875" style="191" hidden="1" customWidth="1"/>
    <col min="13" max="13" width="14.421875" style="200" customWidth="1"/>
    <col min="14" max="16384" width="14.421875" style="22" customWidth="1"/>
  </cols>
  <sheetData>
    <row r="1" ht="6" customHeight="1"/>
    <row r="2" spans="1:9" ht="12.75">
      <c r="A2" s="2"/>
      <c r="C2" s="341" t="s">
        <v>14</v>
      </c>
      <c r="D2" s="341"/>
      <c r="E2" s="341"/>
      <c r="F2" s="341"/>
      <c r="H2" s="52" t="s">
        <v>153</v>
      </c>
      <c r="I2" s="199"/>
    </row>
    <row r="3" spans="1:6" ht="12.75">
      <c r="A3" s="2"/>
      <c r="C3" s="341" t="s">
        <v>123</v>
      </c>
      <c r="D3" s="341"/>
      <c r="E3" s="341"/>
      <c r="F3" s="341"/>
    </row>
    <row r="4" spans="1:6" ht="12.75">
      <c r="A4" s="2"/>
      <c r="C4" s="27"/>
      <c r="D4" s="27"/>
      <c r="E4" s="27"/>
      <c r="F4" s="27"/>
    </row>
    <row r="5" spans="1:6" ht="12.75" customHeight="1">
      <c r="A5" s="2"/>
      <c r="C5" s="342" t="s">
        <v>13</v>
      </c>
      <c r="D5" s="344" t="s">
        <v>155</v>
      </c>
      <c r="E5" s="344" t="s">
        <v>156</v>
      </c>
      <c r="F5" s="344" t="s">
        <v>157</v>
      </c>
    </row>
    <row r="6" spans="1:6" ht="12.75">
      <c r="A6" s="2"/>
      <c r="C6" s="343"/>
      <c r="D6" s="345"/>
      <c r="E6" s="345"/>
      <c r="F6" s="345"/>
    </row>
    <row r="7" spans="1:9" ht="12.75">
      <c r="A7" s="2"/>
      <c r="C7" s="27" t="s">
        <v>12</v>
      </c>
      <c r="D7" s="100">
        <v>63110</v>
      </c>
      <c r="E7" s="100">
        <v>1210044.3</v>
      </c>
      <c r="F7" s="106">
        <v>19.173574710822372</v>
      </c>
      <c r="H7" s="161"/>
      <c r="I7" s="198"/>
    </row>
    <row r="8" spans="1:12" ht="12.75">
      <c r="A8" s="2"/>
      <c r="C8" s="27" t="s">
        <v>11</v>
      </c>
      <c r="D8" s="100">
        <v>61360</v>
      </c>
      <c r="E8" s="100">
        <v>1303267.5</v>
      </c>
      <c r="F8" s="106">
        <v>21.239691981747065</v>
      </c>
      <c r="J8" s="239">
        <f aca="true" t="shared" si="0" ref="J8:J22">+(D8-D7)/D7</f>
        <v>-0.027729361432419584</v>
      </c>
      <c r="K8" s="239">
        <f aca="true" t="shared" si="1" ref="K8:L22">+(E8-E7)/E7</f>
        <v>0.07704114634480734</v>
      </c>
      <c r="L8" s="239">
        <f t="shared" si="1"/>
        <v>0.10775858451468047</v>
      </c>
    </row>
    <row r="9" spans="1:12" ht="12.75">
      <c r="A9" s="2"/>
      <c r="C9" s="27" t="s">
        <v>10</v>
      </c>
      <c r="D9" s="100">
        <v>56000</v>
      </c>
      <c r="E9" s="100">
        <v>1093728.4</v>
      </c>
      <c r="F9" s="106">
        <v>19.530864285714287</v>
      </c>
      <c r="J9" s="239">
        <f t="shared" si="0"/>
        <v>-0.08735332464146023</v>
      </c>
      <c r="K9" s="239">
        <f t="shared" si="1"/>
        <v>-0.16077980921031185</v>
      </c>
      <c r="L9" s="239">
        <f t="shared" si="1"/>
        <v>-0.08045444809187004</v>
      </c>
    </row>
    <row r="10" spans="1:12" ht="12.75">
      <c r="A10" s="2"/>
      <c r="C10" s="27" t="s">
        <v>9</v>
      </c>
      <c r="D10" s="100">
        <v>59560</v>
      </c>
      <c r="E10" s="100">
        <v>1144170</v>
      </c>
      <c r="F10" s="106">
        <v>19.210376091336467</v>
      </c>
      <c r="J10" s="239">
        <f t="shared" si="0"/>
        <v>0.06357142857142857</v>
      </c>
      <c r="K10" s="239">
        <f t="shared" si="1"/>
        <v>0.04611894506899528</v>
      </c>
      <c r="L10" s="239">
        <f t="shared" si="1"/>
        <v>-0.016409319612764834</v>
      </c>
    </row>
    <row r="11" spans="1:12" ht="12.75">
      <c r="A11" s="2"/>
      <c r="C11" s="27" t="s">
        <v>8</v>
      </c>
      <c r="D11" s="100">
        <v>55620</v>
      </c>
      <c r="E11" s="100">
        <v>1115735.7</v>
      </c>
      <c r="F11" s="106">
        <v>20.059973031283707</v>
      </c>
      <c r="G11" s="61"/>
      <c r="J11" s="239">
        <f t="shared" si="0"/>
        <v>-0.0661517797179315</v>
      </c>
      <c r="K11" s="239">
        <f t="shared" si="1"/>
        <v>-0.02485146438029318</v>
      </c>
      <c r="L11" s="239">
        <f t="shared" si="1"/>
        <v>0.04422593997680206</v>
      </c>
    </row>
    <row r="12" spans="1:12" ht="12.75">
      <c r="A12" s="2"/>
      <c r="C12" s="27" t="s">
        <v>7</v>
      </c>
      <c r="D12" s="100">
        <v>63200</v>
      </c>
      <c r="E12" s="100">
        <v>1391378.2</v>
      </c>
      <c r="F12" s="106">
        <v>22.015477848101266</v>
      </c>
      <c r="J12" s="239">
        <f t="shared" si="0"/>
        <v>0.1362819129809421</v>
      </c>
      <c r="K12" s="239">
        <f t="shared" si="1"/>
        <v>0.2470499958009769</v>
      </c>
      <c r="L12" s="239">
        <f t="shared" si="1"/>
        <v>0.09748292351978398</v>
      </c>
    </row>
    <row r="13" spans="1:12" ht="12.75">
      <c r="A13" s="2"/>
      <c r="C13" s="27" t="s">
        <v>6</v>
      </c>
      <c r="D13" s="100">
        <v>54145</v>
      </c>
      <c r="E13" s="100">
        <v>834859.9</v>
      </c>
      <c r="F13" s="106">
        <v>15.41896574014221</v>
      </c>
      <c r="J13" s="239">
        <f t="shared" si="0"/>
        <v>-0.1432753164556962</v>
      </c>
      <c r="K13" s="239">
        <f t="shared" si="1"/>
        <v>-0.39997629688319103</v>
      </c>
      <c r="L13" s="239">
        <f t="shared" si="1"/>
        <v>-0.29963065773418923</v>
      </c>
    </row>
    <row r="14" spans="1:12" ht="12.75">
      <c r="A14" s="2"/>
      <c r="C14" s="27" t="s">
        <v>5</v>
      </c>
      <c r="D14" s="100">
        <v>55976</v>
      </c>
      <c r="E14" s="100">
        <v>965939.5</v>
      </c>
      <c r="F14" s="106">
        <v>17.25631520651708</v>
      </c>
      <c r="J14" s="239">
        <f t="shared" si="0"/>
        <v>0.03381660356450272</v>
      </c>
      <c r="K14" s="239">
        <f t="shared" si="1"/>
        <v>0.1570079003674748</v>
      </c>
      <c r="L14" s="239">
        <f t="shared" si="1"/>
        <v>0.11916165437682093</v>
      </c>
    </row>
    <row r="15" spans="1:12" ht="12.75">
      <c r="A15" s="2"/>
      <c r="C15" s="27" t="s">
        <v>4</v>
      </c>
      <c r="D15" s="100">
        <v>45078</v>
      </c>
      <c r="E15" s="100">
        <v>924548.1</v>
      </c>
      <c r="F15" s="106">
        <v>20.50996273126581</v>
      </c>
      <c r="J15" s="239">
        <f t="shared" si="0"/>
        <v>-0.19469058167786193</v>
      </c>
      <c r="K15" s="239">
        <f t="shared" si="1"/>
        <v>-0.04285092389326663</v>
      </c>
      <c r="L15" s="239">
        <f t="shared" si="1"/>
        <v>0.18854822051001624</v>
      </c>
    </row>
    <row r="16" spans="1:12" ht="12.75">
      <c r="A16" s="2"/>
      <c r="C16" s="27" t="s">
        <v>3</v>
      </c>
      <c r="D16" s="100">
        <v>50771</v>
      </c>
      <c r="E16" s="100">
        <v>1081349.2</v>
      </c>
      <c r="F16" s="106">
        <v>21.3</v>
      </c>
      <c r="J16" s="239">
        <f t="shared" si="0"/>
        <v>0.12629220462309773</v>
      </c>
      <c r="K16" s="239">
        <f t="shared" si="1"/>
        <v>0.1695975579853552</v>
      </c>
      <c r="L16" s="239">
        <f t="shared" si="1"/>
        <v>0.03851968329176157</v>
      </c>
    </row>
    <row r="17" spans="1:12" ht="12.75">
      <c r="A17" s="2"/>
      <c r="C17" s="27" t="s">
        <v>2</v>
      </c>
      <c r="D17" s="100">
        <v>53653</v>
      </c>
      <c r="E17" s="100">
        <v>1676444</v>
      </c>
      <c r="F17" s="106">
        <v>31.25</v>
      </c>
      <c r="J17" s="239">
        <f t="shared" si="0"/>
        <v>0.05676468850327943</v>
      </c>
      <c r="K17" s="239">
        <f t="shared" si="1"/>
        <v>0.5503262035982457</v>
      </c>
      <c r="L17" s="239">
        <f t="shared" si="1"/>
        <v>0.46713615023474175</v>
      </c>
    </row>
    <row r="18" spans="1:12" ht="12.75">
      <c r="A18" s="2"/>
      <c r="C18" s="27" t="s">
        <v>122</v>
      </c>
      <c r="D18" s="100">
        <v>41534</v>
      </c>
      <c r="E18" s="100">
        <v>1093452</v>
      </c>
      <c r="F18" s="106">
        <v>26.33</v>
      </c>
      <c r="G18" s="59"/>
      <c r="J18" s="239">
        <f t="shared" si="0"/>
        <v>-0.22587739734963563</v>
      </c>
      <c r="K18" s="239">
        <f t="shared" si="1"/>
        <v>-0.3477551293094192</v>
      </c>
      <c r="L18" s="239">
        <f t="shared" si="1"/>
        <v>-0.15744000000000005</v>
      </c>
    </row>
    <row r="19" spans="1:12" ht="12.75">
      <c r="A19" s="2"/>
      <c r="C19" s="27" t="s">
        <v>131</v>
      </c>
      <c r="D19" s="100">
        <v>49576</v>
      </c>
      <c r="E19" s="100">
        <v>1159022.1</v>
      </c>
      <c r="F19" s="106">
        <v>23.3786933193481</v>
      </c>
      <c r="G19" s="59"/>
      <c r="J19" s="239">
        <f t="shared" si="0"/>
        <v>0.19362450040930324</v>
      </c>
      <c r="K19" s="239">
        <f t="shared" si="1"/>
        <v>0.059966143918526</v>
      </c>
      <c r="L19" s="239">
        <f t="shared" si="1"/>
        <v>-0.1120891257368743</v>
      </c>
    </row>
    <row r="20" spans="1:12" ht="12.75" customHeight="1">
      <c r="A20" s="2"/>
      <c r="C20" s="27" t="s">
        <v>147</v>
      </c>
      <c r="D20" s="100">
        <v>48965</v>
      </c>
      <c r="E20" s="100">
        <f>+D20*F20</f>
        <v>1061324.9400000002</v>
      </c>
      <c r="F20" s="106">
        <v>21.675174920861842</v>
      </c>
      <c r="G20" s="109"/>
      <c r="J20" s="239">
        <f t="shared" si="0"/>
        <v>-0.0123245118605777</v>
      </c>
      <c r="K20" s="239">
        <f t="shared" si="1"/>
        <v>-0.0842927498966585</v>
      </c>
      <c r="L20" s="239">
        <f t="shared" si="1"/>
        <v>-0.07286627936029394</v>
      </c>
    </row>
    <row r="21" spans="1:12" ht="12.75">
      <c r="A21" s="2"/>
      <c r="C21" s="27" t="s">
        <v>181</v>
      </c>
      <c r="D21" s="100">
        <v>50526.3379674093</v>
      </c>
      <c r="E21" s="100">
        <v>960502</v>
      </c>
      <c r="F21" s="106">
        <v>19.01</v>
      </c>
      <c r="G21" s="182"/>
      <c r="I21" s="220"/>
      <c r="J21" s="239">
        <f t="shared" si="0"/>
        <v>0.03188681644867357</v>
      </c>
      <c r="K21" s="239">
        <f t="shared" si="1"/>
        <v>-0.09499723995932872</v>
      </c>
      <c r="L21" s="239">
        <f t="shared" si="1"/>
        <v>-0.12295978835661772</v>
      </c>
    </row>
    <row r="22" spans="1:12" ht="12.75" customHeight="1">
      <c r="A22" s="2"/>
      <c r="C22" s="27" t="s">
        <v>187</v>
      </c>
      <c r="D22" s="100">
        <v>53485</v>
      </c>
      <c r="E22" s="100">
        <f>+D22*F22</f>
        <v>1142151.9976092097</v>
      </c>
      <c r="F22" s="106">
        <f>+AVERAGE(F19:F21)</f>
        <v>21.35462274673665</v>
      </c>
      <c r="G22" s="186"/>
      <c r="J22" s="239">
        <f t="shared" si="0"/>
        <v>0.058556827025522944</v>
      </c>
      <c r="K22" s="239">
        <f t="shared" si="1"/>
        <v>0.1891198535861557</v>
      </c>
      <c r="L22" s="239">
        <f t="shared" si="1"/>
        <v>0.1233362833633165</v>
      </c>
    </row>
    <row r="23" spans="1:7" ht="12.75">
      <c r="A23" s="2"/>
      <c r="B23" s="186"/>
      <c r="C23" s="194" t="s">
        <v>135</v>
      </c>
      <c r="D23" s="193"/>
      <c r="E23" s="193"/>
      <c r="F23" s="193"/>
      <c r="G23" s="186"/>
    </row>
    <row r="24" spans="1:8" ht="12.75">
      <c r="A24" s="2"/>
      <c r="C24" s="340" t="s">
        <v>213</v>
      </c>
      <c r="D24" s="340"/>
      <c r="E24" s="340"/>
      <c r="F24" s="340"/>
      <c r="G24" s="340"/>
      <c r="H24" s="340"/>
    </row>
    <row r="25" ht="12.75">
      <c r="G25" s="60"/>
    </row>
    <row r="31" ht="15">
      <c r="K31" s="240"/>
    </row>
    <row r="35" ht="12.75">
      <c r="I35" s="296"/>
    </row>
    <row r="43" spans="8:9" ht="12.75">
      <c r="H43" s="60"/>
      <c r="I43" s="202"/>
    </row>
    <row r="48" ht="12.75">
      <c r="B48" s="28" t="s">
        <v>135</v>
      </c>
    </row>
  </sheetData>
  <sheetProtection/>
  <mergeCells count="7">
    <mergeCell ref="C24:H24"/>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AB52"/>
  <sheetViews>
    <sheetView zoomScale="80" zoomScaleNormal="80" zoomScalePageLayoutView="90" workbookViewId="0" topLeftCell="A1">
      <selection activeCell="A1" sqref="A1"/>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6384" width="15.8515625" style="22" customWidth="1"/>
  </cols>
  <sheetData>
    <row r="1" ht="6" customHeight="1"/>
    <row r="2" spans="2:14" ht="12.75">
      <c r="B2" s="328" t="s">
        <v>107</v>
      </c>
      <c r="C2" s="328"/>
      <c r="D2" s="328"/>
      <c r="E2" s="328"/>
      <c r="F2" s="328"/>
      <c r="G2" s="328"/>
      <c r="H2" s="328"/>
      <c r="I2" s="328"/>
      <c r="J2" s="328"/>
      <c r="K2" s="328"/>
      <c r="L2" s="328"/>
      <c r="M2" s="122"/>
      <c r="N2" s="52" t="s">
        <v>153</v>
      </c>
    </row>
    <row r="3" spans="2:13" ht="12.75" customHeight="1">
      <c r="B3" s="328" t="s">
        <v>49</v>
      </c>
      <c r="C3" s="328"/>
      <c r="D3" s="328"/>
      <c r="E3" s="328"/>
      <c r="F3" s="328"/>
      <c r="G3" s="328"/>
      <c r="H3" s="328"/>
      <c r="I3" s="328"/>
      <c r="J3" s="328"/>
      <c r="K3" s="328"/>
      <c r="L3" s="328"/>
      <c r="M3" s="122"/>
    </row>
    <row r="4" spans="2:13" ht="12.75">
      <c r="B4" s="328" t="s">
        <v>27</v>
      </c>
      <c r="C4" s="328"/>
      <c r="D4" s="328"/>
      <c r="E4" s="328"/>
      <c r="F4" s="328"/>
      <c r="G4" s="328"/>
      <c r="H4" s="328"/>
      <c r="I4" s="328"/>
      <c r="J4" s="328"/>
      <c r="K4" s="328"/>
      <c r="L4" s="328"/>
      <c r="M4" s="122"/>
    </row>
    <row r="5" spans="2:11" ht="12.75">
      <c r="B5" s="2"/>
      <c r="C5" s="2"/>
      <c r="D5" s="2"/>
      <c r="E5" s="2"/>
      <c r="F5" s="2"/>
      <c r="G5" s="2"/>
      <c r="H5" s="2"/>
      <c r="I5" s="2"/>
      <c r="J5" s="57"/>
      <c r="K5" s="2"/>
    </row>
    <row r="6" spans="2:13" ht="12.75">
      <c r="B6" s="346" t="s">
        <v>13</v>
      </c>
      <c r="C6" s="79" t="s">
        <v>24</v>
      </c>
      <c r="D6" s="79" t="s">
        <v>24</v>
      </c>
      <c r="E6" s="79" t="s">
        <v>26</v>
      </c>
      <c r="F6" s="79" t="s">
        <v>24</v>
      </c>
      <c r="G6" s="79" t="s">
        <v>25</v>
      </c>
      <c r="H6" s="79" t="s">
        <v>25</v>
      </c>
      <c r="I6" s="79" t="s">
        <v>24</v>
      </c>
      <c r="J6" s="79" t="s">
        <v>24</v>
      </c>
      <c r="K6" s="79" t="s">
        <v>24</v>
      </c>
      <c r="L6" s="79" t="s">
        <v>159</v>
      </c>
      <c r="M6" s="143"/>
    </row>
    <row r="7" spans="2:13" ht="12.75">
      <c r="B7" s="347"/>
      <c r="C7" s="80" t="s">
        <v>23</v>
      </c>
      <c r="D7" s="80" t="s">
        <v>22</v>
      </c>
      <c r="E7" s="80" t="s">
        <v>21</v>
      </c>
      <c r="F7" s="80" t="s">
        <v>20</v>
      </c>
      <c r="G7" s="80" t="s">
        <v>19</v>
      </c>
      <c r="H7" s="80" t="s">
        <v>18</v>
      </c>
      <c r="I7" s="80" t="s">
        <v>17</v>
      </c>
      <c r="J7" s="80" t="s">
        <v>16</v>
      </c>
      <c r="K7" s="80" t="s">
        <v>15</v>
      </c>
      <c r="L7" s="80" t="s">
        <v>160</v>
      </c>
      <c r="M7" s="143"/>
    </row>
    <row r="8" spans="2:15" ht="12.75">
      <c r="B8" s="82" t="s">
        <v>11</v>
      </c>
      <c r="C8" s="81">
        <v>5960</v>
      </c>
      <c r="D8" s="81">
        <v>1480</v>
      </c>
      <c r="E8" s="81">
        <v>4280</v>
      </c>
      <c r="F8" s="81">
        <v>2960</v>
      </c>
      <c r="G8" s="81">
        <v>4170</v>
      </c>
      <c r="H8" s="81">
        <v>5240</v>
      </c>
      <c r="I8" s="81">
        <v>18030</v>
      </c>
      <c r="J8" s="82"/>
      <c r="K8" s="81">
        <v>17930</v>
      </c>
      <c r="L8" s="81"/>
      <c r="M8" s="81"/>
      <c r="N8" s="58"/>
      <c r="O8" s="58"/>
    </row>
    <row r="9" spans="2:15" ht="12.75">
      <c r="B9" s="82" t="s">
        <v>10</v>
      </c>
      <c r="C9" s="81">
        <v>5420</v>
      </c>
      <c r="D9" s="81">
        <v>1190</v>
      </c>
      <c r="E9" s="81">
        <v>4090</v>
      </c>
      <c r="F9" s="81">
        <v>3140</v>
      </c>
      <c r="G9" s="81">
        <v>3850</v>
      </c>
      <c r="H9" s="81">
        <v>5690</v>
      </c>
      <c r="I9" s="81">
        <v>15000</v>
      </c>
      <c r="J9" s="82"/>
      <c r="K9" s="81">
        <v>16310</v>
      </c>
      <c r="L9" s="81"/>
      <c r="M9" s="81"/>
      <c r="N9" s="58"/>
      <c r="O9" s="58"/>
    </row>
    <row r="10" spans="2:15" ht="12.75">
      <c r="B10" s="82" t="s">
        <v>9</v>
      </c>
      <c r="C10" s="81">
        <v>5400</v>
      </c>
      <c r="D10" s="81">
        <v>1200</v>
      </c>
      <c r="E10" s="81">
        <v>4000</v>
      </c>
      <c r="F10" s="81">
        <v>3450</v>
      </c>
      <c r="G10" s="81">
        <v>3800</v>
      </c>
      <c r="H10" s="81">
        <v>6400</v>
      </c>
      <c r="I10" s="81">
        <v>16800</v>
      </c>
      <c r="J10" s="82"/>
      <c r="K10" s="81">
        <v>17200</v>
      </c>
      <c r="L10" s="81"/>
      <c r="M10" s="81"/>
      <c r="N10" s="58"/>
      <c r="O10" s="58"/>
    </row>
    <row r="11" spans="2:15" ht="12.75">
      <c r="B11" s="82" t="s">
        <v>8</v>
      </c>
      <c r="C11" s="81">
        <v>4960</v>
      </c>
      <c r="D11" s="81">
        <v>1550</v>
      </c>
      <c r="E11" s="81">
        <v>3260</v>
      </c>
      <c r="F11" s="81">
        <v>2820</v>
      </c>
      <c r="G11" s="81">
        <v>2800</v>
      </c>
      <c r="H11" s="81">
        <v>6290</v>
      </c>
      <c r="I11" s="81">
        <v>15620</v>
      </c>
      <c r="J11" s="82"/>
      <c r="K11" s="81">
        <v>17010</v>
      </c>
      <c r="L11" s="81"/>
      <c r="M11" s="81"/>
      <c r="N11" s="58"/>
      <c r="O11" s="58"/>
    </row>
    <row r="12" spans="2:15" ht="12.75">
      <c r="B12" s="82" t="s">
        <v>7</v>
      </c>
      <c r="C12" s="81">
        <v>5590</v>
      </c>
      <c r="D12" s="81">
        <v>1870</v>
      </c>
      <c r="E12" s="81">
        <v>4000</v>
      </c>
      <c r="F12" s="81">
        <v>3410</v>
      </c>
      <c r="G12" s="81">
        <v>3740</v>
      </c>
      <c r="H12" s="81">
        <v>6600</v>
      </c>
      <c r="I12" s="81">
        <v>17980</v>
      </c>
      <c r="J12" s="82"/>
      <c r="K12" s="81">
        <v>18700</v>
      </c>
      <c r="L12" s="81"/>
      <c r="M12" s="81"/>
      <c r="N12" s="58"/>
      <c r="O12" s="58"/>
    </row>
    <row r="13" spans="2:15" ht="12.75">
      <c r="B13" s="82" t="s">
        <v>6</v>
      </c>
      <c r="C13" s="83">
        <v>3236.8</v>
      </c>
      <c r="D13" s="83">
        <v>2184.18</v>
      </c>
      <c r="E13" s="83">
        <v>5236.7</v>
      </c>
      <c r="F13" s="83">
        <v>1711.1</v>
      </c>
      <c r="G13" s="83">
        <v>3368.74</v>
      </c>
      <c r="H13" s="83">
        <v>8440.58</v>
      </c>
      <c r="I13" s="83">
        <v>14058.9</v>
      </c>
      <c r="J13" s="83">
        <v>3971.3</v>
      </c>
      <c r="K13" s="83">
        <v>11228.6</v>
      </c>
      <c r="L13" s="83"/>
      <c r="M13" s="83"/>
      <c r="N13" s="58"/>
      <c r="O13" s="58"/>
    </row>
    <row r="14" spans="2:24" ht="12.75">
      <c r="B14" s="82" t="s">
        <v>5</v>
      </c>
      <c r="C14" s="81">
        <v>3520</v>
      </c>
      <c r="D14" s="81">
        <v>2040</v>
      </c>
      <c r="E14" s="81">
        <v>5610</v>
      </c>
      <c r="F14" s="81">
        <v>1570</v>
      </c>
      <c r="G14" s="81">
        <v>3430</v>
      </c>
      <c r="H14" s="81">
        <v>8100</v>
      </c>
      <c r="I14" s="81">
        <v>14800</v>
      </c>
      <c r="J14" s="81">
        <v>4240</v>
      </c>
      <c r="K14" s="81">
        <v>11960</v>
      </c>
      <c r="L14" s="81"/>
      <c r="M14" s="81"/>
      <c r="N14" s="58"/>
      <c r="O14" s="58"/>
      <c r="P14" s="58"/>
      <c r="Q14" s="58"/>
      <c r="R14" s="58"/>
      <c r="S14" s="58"/>
      <c r="T14" s="58"/>
      <c r="U14" s="58"/>
      <c r="V14" s="58"/>
      <c r="W14" s="58"/>
      <c r="X14" s="58"/>
    </row>
    <row r="15" spans="2:24" ht="12.75">
      <c r="B15" s="82" t="s">
        <v>4</v>
      </c>
      <c r="C15" s="81">
        <v>2996</v>
      </c>
      <c r="D15" s="81">
        <v>606</v>
      </c>
      <c r="E15" s="81">
        <v>2760</v>
      </c>
      <c r="F15" s="81">
        <v>259</v>
      </c>
      <c r="G15" s="81">
        <v>2183</v>
      </c>
      <c r="H15" s="81">
        <v>7025</v>
      </c>
      <c r="I15" s="81">
        <v>13473</v>
      </c>
      <c r="J15" s="81">
        <v>4567</v>
      </c>
      <c r="K15" s="81">
        <v>10522</v>
      </c>
      <c r="L15" s="81"/>
      <c r="M15" s="81"/>
      <c r="N15" s="58"/>
      <c r="O15" s="58"/>
      <c r="P15" s="58"/>
      <c r="Q15" s="58"/>
      <c r="R15" s="58"/>
      <c r="S15" s="58"/>
      <c r="T15" s="58"/>
      <c r="U15" s="58"/>
      <c r="V15" s="58"/>
      <c r="W15" s="58"/>
      <c r="X15" s="58"/>
    </row>
    <row r="16" spans="2:24" ht="12.75">
      <c r="B16" s="82" t="s">
        <v>3</v>
      </c>
      <c r="C16" s="81">
        <v>3421</v>
      </c>
      <c r="D16" s="81">
        <v>447</v>
      </c>
      <c r="E16" s="81">
        <v>3493</v>
      </c>
      <c r="F16" s="81">
        <v>1981</v>
      </c>
      <c r="G16" s="81">
        <v>4589</v>
      </c>
      <c r="H16" s="81">
        <v>8958</v>
      </c>
      <c r="I16" s="81">
        <v>16756</v>
      </c>
      <c r="J16" s="81">
        <v>3767</v>
      </c>
      <c r="K16" s="81">
        <v>6672</v>
      </c>
      <c r="L16" s="81"/>
      <c r="M16" s="81"/>
      <c r="N16" s="58"/>
      <c r="O16" s="58"/>
      <c r="P16" s="58"/>
      <c r="Q16" s="58"/>
      <c r="R16" s="58"/>
      <c r="S16" s="58"/>
      <c r="T16" s="58"/>
      <c r="U16" s="58"/>
      <c r="V16" s="58"/>
      <c r="W16" s="58"/>
      <c r="X16" s="58"/>
    </row>
    <row r="17" spans="2:24" ht="12.75">
      <c r="B17" s="82" t="s">
        <v>2</v>
      </c>
      <c r="C17" s="81">
        <v>3208</v>
      </c>
      <c r="D17" s="81">
        <v>1493</v>
      </c>
      <c r="E17" s="81">
        <v>3750</v>
      </c>
      <c r="F17" s="81">
        <v>887</v>
      </c>
      <c r="G17" s="81">
        <v>4584</v>
      </c>
      <c r="H17" s="81">
        <v>9385</v>
      </c>
      <c r="I17" s="81">
        <v>17757</v>
      </c>
      <c r="J17" s="81">
        <v>3839</v>
      </c>
      <c r="K17" s="81">
        <v>8063</v>
      </c>
      <c r="L17" s="81"/>
      <c r="M17" s="81"/>
      <c r="N17" s="58"/>
      <c r="O17" s="58"/>
      <c r="P17" s="58"/>
      <c r="Q17" s="58"/>
      <c r="R17" s="58"/>
      <c r="S17" s="58"/>
      <c r="T17" s="58"/>
      <c r="U17" s="58"/>
      <c r="V17" s="58"/>
      <c r="W17" s="58"/>
      <c r="X17" s="58"/>
    </row>
    <row r="18" spans="2:28" ht="12.75">
      <c r="B18" s="82" t="s">
        <v>122</v>
      </c>
      <c r="C18" s="81">
        <v>1865</v>
      </c>
      <c r="D18" s="81">
        <v>1421</v>
      </c>
      <c r="E18" s="81">
        <v>3607</v>
      </c>
      <c r="F18" s="81">
        <v>1681</v>
      </c>
      <c r="G18" s="81">
        <v>2080</v>
      </c>
      <c r="H18" s="81">
        <v>5998</v>
      </c>
      <c r="I18" s="81">
        <v>10383</v>
      </c>
      <c r="J18" s="81">
        <v>3393</v>
      </c>
      <c r="K18" s="81">
        <v>10419</v>
      </c>
      <c r="L18" s="81">
        <v>687</v>
      </c>
      <c r="M18" s="81"/>
      <c r="N18" s="58"/>
      <c r="O18" s="58"/>
      <c r="Q18" s="58"/>
      <c r="S18" s="161"/>
      <c r="T18" s="161"/>
      <c r="U18" s="161"/>
      <c r="V18" s="161"/>
      <c r="W18" s="161"/>
      <c r="X18" s="161"/>
      <c r="Y18" s="161"/>
      <c r="Z18" s="161"/>
      <c r="AA18" s="161"/>
      <c r="AB18" s="161"/>
    </row>
    <row r="19" spans="2:23" ht="12.75">
      <c r="B19" s="82" t="s">
        <v>131</v>
      </c>
      <c r="C19" s="81">
        <v>2546</v>
      </c>
      <c r="D19" s="81">
        <v>1103</v>
      </c>
      <c r="E19" s="81">
        <v>5104</v>
      </c>
      <c r="F19" s="81">
        <v>942</v>
      </c>
      <c r="G19" s="81">
        <v>3017</v>
      </c>
      <c r="H19" s="81">
        <v>8372</v>
      </c>
      <c r="I19" s="81">
        <v>14459</v>
      </c>
      <c r="J19" s="81">
        <v>3334</v>
      </c>
      <c r="K19" s="81">
        <v>10012</v>
      </c>
      <c r="L19" s="81">
        <v>687</v>
      </c>
      <c r="M19" s="81"/>
      <c r="N19" s="58"/>
      <c r="O19" s="58"/>
      <c r="Q19" s="58"/>
      <c r="S19" s="161"/>
      <c r="T19" s="161"/>
      <c r="U19" s="161"/>
      <c r="V19" s="161"/>
      <c r="W19" s="161"/>
    </row>
    <row r="20" spans="2:23" ht="12.75">
      <c r="B20" s="82" t="s">
        <v>147</v>
      </c>
      <c r="C20" s="81">
        <v>2197</v>
      </c>
      <c r="D20" s="81">
        <v>1480</v>
      </c>
      <c r="E20" s="81">
        <v>3299</v>
      </c>
      <c r="F20" s="81">
        <v>1394</v>
      </c>
      <c r="G20" s="81">
        <v>3557</v>
      </c>
      <c r="H20" s="81">
        <v>8532</v>
      </c>
      <c r="I20" s="81">
        <v>13054</v>
      </c>
      <c r="J20" s="81">
        <v>4007</v>
      </c>
      <c r="K20" s="81">
        <v>10758</v>
      </c>
      <c r="L20" s="81">
        <v>687</v>
      </c>
      <c r="M20" s="81"/>
      <c r="N20" s="58"/>
      <c r="O20" s="58"/>
      <c r="Q20" s="58"/>
      <c r="S20" s="161"/>
      <c r="T20" s="161"/>
      <c r="U20" s="161"/>
      <c r="V20" s="161"/>
      <c r="W20" s="161"/>
    </row>
    <row r="21" spans="2:23" ht="12.75">
      <c r="B21" s="82" t="s">
        <v>181</v>
      </c>
      <c r="C21" s="81">
        <v>1874.8517657009927</v>
      </c>
      <c r="D21" s="81">
        <v>1451.319986235742</v>
      </c>
      <c r="E21" s="81">
        <v>4939.809486900715</v>
      </c>
      <c r="F21" s="81">
        <v>2047.895051547505</v>
      </c>
      <c r="G21" s="81">
        <v>3593.539657032328</v>
      </c>
      <c r="H21" s="81">
        <v>8685.459966446108</v>
      </c>
      <c r="I21" s="81">
        <v>16788.425585779605</v>
      </c>
      <c r="J21" s="81">
        <v>3490.6066401256444</v>
      </c>
      <c r="K21" s="81">
        <v>6967.429827640695</v>
      </c>
      <c r="L21" s="81">
        <v>687</v>
      </c>
      <c r="M21" s="81"/>
      <c r="N21" s="58"/>
      <c r="O21" s="58"/>
      <c r="Q21" s="58"/>
      <c r="S21" s="161"/>
      <c r="T21" s="161"/>
      <c r="U21" s="161"/>
      <c r="V21" s="161"/>
      <c r="W21" s="161"/>
    </row>
    <row r="22" spans="2:23" ht="12.75">
      <c r="B22" s="120" t="s">
        <v>214</v>
      </c>
      <c r="C22" s="84">
        <v>2244</v>
      </c>
      <c r="D22" s="84">
        <v>776</v>
      </c>
      <c r="E22" s="84">
        <v>4449</v>
      </c>
      <c r="F22" s="84">
        <v>2251</v>
      </c>
      <c r="G22" s="84">
        <v>5243</v>
      </c>
      <c r="H22" s="84">
        <v>8946</v>
      </c>
      <c r="I22" s="84">
        <v>14976</v>
      </c>
      <c r="J22" s="84">
        <v>3369</v>
      </c>
      <c r="K22" s="84">
        <v>10544</v>
      </c>
      <c r="L22" s="84">
        <v>687</v>
      </c>
      <c r="M22" s="84"/>
      <c r="N22" s="188"/>
      <c r="O22" s="188"/>
      <c r="Q22" s="58"/>
      <c r="S22" s="161"/>
      <c r="T22" s="161"/>
      <c r="U22" s="161"/>
      <c r="V22" s="161"/>
      <c r="W22" s="161"/>
    </row>
    <row r="23" spans="2:17" ht="12.75">
      <c r="B23" s="29" t="s">
        <v>136</v>
      </c>
      <c r="N23" s="58"/>
      <c r="Q23" s="58"/>
    </row>
    <row r="24" ht="12.75">
      <c r="Q24" s="58"/>
    </row>
    <row r="25" spans="14:17" ht="12.75">
      <c r="N25" s="58"/>
      <c r="Q25" s="58"/>
    </row>
    <row r="26" ht="12.75">
      <c r="Q26" s="58"/>
    </row>
    <row r="45" ht="12.75">
      <c r="B45" s="29" t="s">
        <v>136</v>
      </c>
    </row>
    <row r="46" ht="12.75">
      <c r="B46" s="162" t="s">
        <v>135</v>
      </c>
    </row>
    <row r="47" spans="3:12" ht="12.75">
      <c r="C47" s="190"/>
      <c r="D47" s="190"/>
      <c r="E47" s="190"/>
      <c r="F47" s="190"/>
      <c r="G47" s="190"/>
      <c r="H47" s="190"/>
      <c r="I47" s="190"/>
      <c r="J47" s="190"/>
      <c r="K47" s="190"/>
      <c r="L47" s="190"/>
    </row>
    <row r="49" spans="3:13" ht="12.75">
      <c r="C49" s="161"/>
      <c r="D49" s="161"/>
      <c r="E49" s="161"/>
      <c r="F49" s="161"/>
      <c r="G49" s="161"/>
      <c r="H49" s="161"/>
      <c r="I49" s="161"/>
      <c r="J49" s="161"/>
      <c r="K49" s="161"/>
      <c r="L49" s="161"/>
      <c r="M49" s="161"/>
    </row>
    <row r="50" spans="3:13" s="191" customFormat="1" ht="12.75" hidden="1">
      <c r="C50" s="239">
        <f aca="true" t="shared" si="0" ref="C50:L50">+C22/SUM($C$22:$L$22)</f>
        <v>0.04195568851079742</v>
      </c>
      <c r="D50" s="239">
        <f t="shared" si="0"/>
        <v>0.01450874076843975</v>
      </c>
      <c r="E50" s="239">
        <f t="shared" si="0"/>
        <v>0.08318220061699542</v>
      </c>
      <c r="F50" s="239">
        <f t="shared" si="0"/>
        <v>0.04208656632700757</v>
      </c>
      <c r="G50" s="239">
        <f t="shared" si="0"/>
        <v>0.09802748434140413</v>
      </c>
      <c r="H50" s="239">
        <f t="shared" si="0"/>
        <v>0.16726184911657474</v>
      </c>
      <c r="I50" s="239">
        <f t="shared" si="0"/>
        <v>0.28000373936617745</v>
      </c>
      <c r="J50" s="239">
        <f t="shared" si="0"/>
        <v>0.06298962325885762</v>
      </c>
      <c r="K50" s="239">
        <f t="shared" si="0"/>
        <v>0.1971393848742638</v>
      </c>
      <c r="L50" s="239">
        <f t="shared" si="0"/>
        <v>0.012844722819482098</v>
      </c>
      <c r="M50" s="239"/>
    </row>
    <row r="51" s="191" customFormat="1" ht="12.75" hidden="1"/>
    <row r="52" spans="3:12" s="191" customFormat="1" ht="12.75" hidden="1">
      <c r="C52" s="239">
        <f aca="true" t="shared" si="1" ref="C52:H52">+C22/C21-1</f>
        <v>0.19689462444567485</v>
      </c>
      <c r="D52" s="239">
        <f t="shared" si="1"/>
        <v>-0.4653143294658989</v>
      </c>
      <c r="E52" s="239">
        <f t="shared" si="1"/>
        <v>-0.0993579789265625</v>
      </c>
      <c r="F52" s="239">
        <f t="shared" si="1"/>
        <v>0.09917742039516009</v>
      </c>
      <c r="G52" s="239">
        <f t="shared" si="1"/>
        <v>0.4590071351347922</v>
      </c>
      <c r="H52" s="239">
        <f t="shared" si="1"/>
        <v>0.0299972637673096</v>
      </c>
      <c r="I52" s="239">
        <f>+I22/I21-1</f>
        <v>-0.10795685256601995</v>
      </c>
      <c r="J52" s="239">
        <f>+J22/J21-1</f>
        <v>-0.03483825382319994</v>
      </c>
      <c r="K52" s="239">
        <f>+K22/K21-1</f>
        <v>0.5133270461039432</v>
      </c>
      <c r="L52" s="239">
        <f>+L22/L21-1</f>
        <v>0</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9"/>
  <sheetViews>
    <sheetView zoomScale="80" zoomScaleNormal="80" zoomScalePageLayoutView="40" workbookViewId="0" topLeftCell="A1">
      <selection activeCell="A1" sqref="A1"/>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6384" width="10.8515625" style="22" customWidth="1"/>
  </cols>
  <sheetData>
    <row r="1" ht="6.75" customHeight="1"/>
    <row r="2" spans="2:14" ht="12.75">
      <c r="B2" s="350" t="s">
        <v>66</v>
      </c>
      <c r="C2" s="350"/>
      <c r="D2" s="350"/>
      <c r="E2" s="350"/>
      <c r="F2" s="350"/>
      <c r="G2" s="350"/>
      <c r="H2" s="350"/>
      <c r="I2" s="350"/>
      <c r="J2" s="350"/>
      <c r="K2" s="350"/>
      <c r="L2" s="350"/>
      <c r="M2" s="122"/>
      <c r="N2" s="52" t="s">
        <v>153</v>
      </c>
    </row>
    <row r="3" spans="2:13" ht="14.25" customHeight="1">
      <c r="B3" s="350" t="s">
        <v>48</v>
      </c>
      <c r="C3" s="350"/>
      <c r="D3" s="350"/>
      <c r="E3" s="350"/>
      <c r="F3" s="350"/>
      <c r="G3" s="350"/>
      <c r="H3" s="350"/>
      <c r="I3" s="350"/>
      <c r="J3" s="350"/>
      <c r="K3" s="350"/>
      <c r="L3" s="350"/>
      <c r="M3" s="122"/>
    </row>
    <row r="4" spans="2:13" ht="12.75">
      <c r="B4" s="350" t="s">
        <v>28</v>
      </c>
      <c r="C4" s="350"/>
      <c r="D4" s="350"/>
      <c r="E4" s="350"/>
      <c r="F4" s="350"/>
      <c r="G4" s="350"/>
      <c r="H4" s="350"/>
      <c r="I4" s="350"/>
      <c r="J4" s="350"/>
      <c r="K4" s="350"/>
      <c r="L4" s="350"/>
      <c r="M4" s="122"/>
    </row>
    <row r="5" spans="2:12" ht="12.75">
      <c r="B5" s="144"/>
      <c r="C5" s="144"/>
      <c r="D5" s="144"/>
      <c r="E5" s="144"/>
      <c r="F5" s="144"/>
      <c r="G5" s="144"/>
      <c r="H5" s="144"/>
      <c r="I5" s="144"/>
      <c r="J5" s="145"/>
      <c r="K5" s="144"/>
      <c r="L5" s="146"/>
    </row>
    <row r="6" spans="2:13" ht="12.75">
      <c r="B6" s="348" t="s">
        <v>13</v>
      </c>
      <c r="C6" s="124" t="s">
        <v>24</v>
      </c>
      <c r="D6" s="124" t="s">
        <v>24</v>
      </c>
      <c r="E6" s="124" t="s">
        <v>26</v>
      </c>
      <c r="F6" s="124" t="s">
        <v>24</v>
      </c>
      <c r="G6" s="124" t="s">
        <v>25</v>
      </c>
      <c r="H6" s="124" t="s">
        <v>25</v>
      </c>
      <c r="I6" s="124" t="s">
        <v>24</v>
      </c>
      <c r="J6" s="124" t="s">
        <v>24</v>
      </c>
      <c r="K6" s="124" t="s">
        <v>24</v>
      </c>
      <c r="L6" s="124" t="s">
        <v>159</v>
      </c>
      <c r="M6" s="1"/>
    </row>
    <row r="7" spans="2:13" ht="12.75">
      <c r="B7" s="349"/>
      <c r="C7" s="125" t="s">
        <v>23</v>
      </c>
      <c r="D7" s="125" t="s">
        <v>22</v>
      </c>
      <c r="E7" s="125" t="s">
        <v>21</v>
      </c>
      <c r="F7" s="125" t="s">
        <v>20</v>
      </c>
      <c r="G7" s="125" t="s">
        <v>19</v>
      </c>
      <c r="H7" s="125" t="s">
        <v>18</v>
      </c>
      <c r="I7" s="125" t="s">
        <v>17</v>
      </c>
      <c r="J7" s="125" t="s">
        <v>16</v>
      </c>
      <c r="K7" s="125" t="s">
        <v>15</v>
      </c>
      <c r="L7" s="125" t="s">
        <v>160</v>
      </c>
      <c r="M7" s="1"/>
    </row>
    <row r="8" spans="2:13" ht="12.75">
      <c r="B8" s="147" t="s">
        <v>11</v>
      </c>
      <c r="C8" s="101">
        <v>131241.4</v>
      </c>
      <c r="D8" s="148">
        <v>21402.7</v>
      </c>
      <c r="E8" s="148">
        <v>82529.4</v>
      </c>
      <c r="F8" s="148">
        <v>49669.7</v>
      </c>
      <c r="G8" s="148">
        <v>62218.6</v>
      </c>
      <c r="H8" s="148">
        <v>104593.9</v>
      </c>
      <c r="I8" s="148">
        <v>420346.7</v>
      </c>
      <c r="J8" s="147"/>
      <c r="K8" s="148">
        <v>419319.1</v>
      </c>
      <c r="L8" s="148"/>
      <c r="M8" s="81"/>
    </row>
    <row r="9" spans="2:13" ht="12.75">
      <c r="B9" s="149" t="s">
        <v>10</v>
      </c>
      <c r="C9" s="150">
        <v>110721.3</v>
      </c>
      <c r="D9" s="150">
        <v>14420.5</v>
      </c>
      <c r="E9" s="150">
        <v>63776.2</v>
      </c>
      <c r="F9" s="150">
        <v>57186.7</v>
      </c>
      <c r="G9" s="150">
        <v>57216.7</v>
      </c>
      <c r="H9" s="150">
        <v>113195.2</v>
      </c>
      <c r="I9" s="150">
        <v>297628.6</v>
      </c>
      <c r="J9" s="149"/>
      <c r="K9" s="150">
        <v>367637.1</v>
      </c>
      <c r="L9" s="150"/>
      <c r="M9" s="81"/>
    </row>
    <row r="10" spans="2:13" ht="12.75">
      <c r="B10" s="149" t="s">
        <v>9</v>
      </c>
      <c r="C10" s="150">
        <v>109620</v>
      </c>
      <c r="D10" s="150">
        <v>15000</v>
      </c>
      <c r="E10" s="150">
        <v>63360</v>
      </c>
      <c r="F10" s="150">
        <v>65550</v>
      </c>
      <c r="G10" s="150">
        <v>57190</v>
      </c>
      <c r="H10" s="150">
        <v>128320</v>
      </c>
      <c r="I10" s="150">
        <v>302400</v>
      </c>
      <c r="J10" s="149"/>
      <c r="K10" s="150">
        <v>390784</v>
      </c>
      <c r="L10" s="150"/>
      <c r="M10" s="81"/>
    </row>
    <row r="11" spans="2:13" ht="12.75">
      <c r="B11" s="149" t="s">
        <v>8</v>
      </c>
      <c r="C11" s="150">
        <v>106540.8</v>
      </c>
      <c r="D11" s="150">
        <v>25575</v>
      </c>
      <c r="E11" s="150">
        <v>43227.6</v>
      </c>
      <c r="F11" s="150">
        <v>56512.8</v>
      </c>
      <c r="G11" s="150">
        <v>42448</v>
      </c>
      <c r="H11" s="150">
        <v>127498.3</v>
      </c>
      <c r="I11" s="150">
        <v>321303.4</v>
      </c>
      <c r="J11" s="149"/>
      <c r="K11" s="150">
        <v>380683.8</v>
      </c>
      <c r="L11" s="150"/>
      <c r="M11" s="81"/>
    </row>
    <row r="12" spans="2:13" ht="12.75">
      <c r="B12" s="149" t="s">
        <v>7</v>
      </c>
      <c r="C12" s="150">
        <v>120464.5</v>
      </c>
      <c r="D12" s="150">
        <v>31322.5</v>
      </c>
      <c r="E12" s="150">
        <v>59440</v>
      </c>
      <c r="F12" s="150">
        <v>44261.8</v>
      </c>
      <c r="G12" s="150">
        <v>63355.6</v>
      </c>
      <c r="H12" s="150">
        <v>131670</v>
      </c>
      <c r="I12" s="150">
        <v>446083.8</v>
      </c>
      <c r="J12" s="149"/>
      <c r="K12" s="150">
        <v>482834</v>
      </c>
      <c r="L12" s="150"/>
      <c r="M12" s="81"/>
    </row>
    <row r="13" spans="2:13" ht="12.75">
      <c r="B13" s="149" t="s">
        <v>6</v>
      </c>
      <c r="C13" s="150">
        <v>56405.8</v>
      </c>
      <c r="D13" s="150">
        <v>20394.8</v>
      </c>
      <c r="E13" s="150">
        <v>87051.9</v>
      </c>
      <c r="F13" s="150">
        <v>22726.8</v>
      </c>
      <c r="G13" s="150">
        <v>44973.2</v>
      </c>
      <c r="H13" s="150">
        <v>97715.5</v>
      </c>
      <c r="I13" s="150">
        <v>212544.8</v>
      </c>
      <c r="J13" s="150">
        <v>72423.3</v>
      </c>
      <c r="K13" s="150">
        <v>213984.4</v>
      </c>
      <c r="L13" s="150"/>
      <c r="M13" s="81"/>
    </row>
    <row r="14" spans="2:13" ht="12.75">
      <c r="B14" s="149" t="s">
        <v>5</v>
      </c>
      <c r="C14" s="150">
        <v>66880</v>
      </c>
      <c r="D14" s="150">
        <v>27744</v>
      </c>
      <c r="E14" s="150">
        <v>86001.3</v>
      </c>
      <c r="F14" s="150">
        <v>26690</v>
      </c>
      <c r="G14" s="150">
        <v>58550.1</v>
      </c>
      <c r="H14" s="150">
        <v>135270</v>
      </c>
      <c r="I14" s="150">
        <v>220224</v>
      </c>
      <c r="J14" s="150">
        <v>86623.2</v>
      </c>
      <c r="K14" s="150">
        <v>251518.8</v>
      </c>
      <c r="L14" s="150"/>
      <c r="M14" s="81"/>
    </row>
    <row r="15" spans="2:13" ht="12.75">
      <c r="B15" s="149" t="s">
        <v>4</v>
      </c>
      <c r="C15" s="150">
        <v>51591.1</v>
      </c>
      <c r="D15" s="150">
        <v>8350.7</v>
      </c>
      <c r="E15" s="150">
        <v>53081.5</v>
      </c>
      <c r="F15" s="150">
        <v>3752.9</v>
      </c>
      <c r="G15" s="150">
        <v>31915.5</v>
      </c>
      <c r="H15" s="150">
        <v>109800.8</v>
      </c>
      <c r="I15" s="150">
        <v>265552.8</v>
      </c>
      <c r="J15" s="150">
        <v>121619.2</v>
      </c>
      <c r="K15" s="150">
        <v>272625</v>
      </c>
      <c r="L15" s="150"/>
      <c r="M15" s="81"/>
    </row>
    <row r="16" spans="2:13" ht="12.75">
      <c r="B16" s="149" t="s">
        <v>3</v>
      </c>
      <c r="C16" s="150">
        <v>78466.3</v>
      </c>
      <c r="D16" s="150">
        <v>11764.2</v>
      </c>
      <c r="E16" s="150">
        <v>86174.8</v>
      </c>
      <c r="F16" s="150">
        <v>38358</v>
      </c>
      <c r="G16" s="150">
        <v>57455.5</v>
      </c>
      <c r="H16" s="150">
        <v>165633.4</v>
      </c>
      <c r="I16" s="150">
        <v>315519.2</v>
      </c>
      <c r="J16" s="150">
        <v>124687.7</v>
      </c>
      <c r="K16" s="150">
        <v>197024.2</v>
      </c>
      <c r="L16" s="150"/>
      <c r="M16" s="81"/>
    </row>
    <row r="17" spans="2:13" ht="12.75">
      <c r="B17" s="149" t="s">
        <v>2</v>
      </c>
      <c r="C17" s="150">
        <v>75516</v>
      </c>
      <c r="D17" s="150">
        <v>31084</v>
      </c>
      <c r="E17" s="150">
        <v>79125</v>
      </c>
      <c r="F17" s="150">
        <v>15805</v>
      </c>
      <c r="G17" s="150">
        <v>111620</v>
      </c>
      <c r="H17" s="150">
        <v>255835</v>
      </c>
      <c r="I17" s="150">
        <v>615990</v>
      </c>
      <c r="J17" s="150">
        <v>142120</v>
      </c>
      <c r="K17" s="150">
        <v>343081</v>
      </c>
      <c r="L17" s="150"/>
      <c r="M17" s="81"/>
    </row>
    <row r="18" spans="2:13" ht="12.75">
      <c r="B18" s="149" t="s">
        <v>122</v>
      </c>
      <c r="C18" s="150">
        <v>41067.3</v>
      </c>
      <c r="D18" s="150">
        <v>16000.460000000001</v>
      </c>
      <c r="E18" s="150">
        <v>88299.36</v>
      </c>
      <c r="F18" s="150">
        <v>25652.06</v>
      </c>
      <c r="G18" s="150">
        <v>34486.4</v>
      </c>
      <c r="H18" s="150">
        <v>101006.31999999999</v>
      </c>
      <c r="I18" s="150">
        <v>272034.6</v>
      </c>
      <c r="J18" s="150">
        <v>122928.38999999998</v>
      </c>
      <c r="K18" s="150">
        <v>385711.38</v>
      </c>
      <c r="L18" s="150"/>
      <c r="M18" s="81"/>
    </row>
    <row r="19" spans="2:13" ht="12.75">
      <c r="B19" s="149" t="s">
        <v>131</v>
      </c>
      <c r="C19" s="150">
        <v>51863.11990316702</v>
      </c>
      <c r="D19" s="150">
        <v>16391.720884117247</v>
      </c>
      <c r="E19" s="150">
        <v>112644.46653744439</v>
      </c>
      <c r="F19" s="150">
        <v>19220.222324539445</v>
      </c>
      <c r="G19" s="150">
        <v>69067.98620052033</v>
      </c>
      <c r="H19" s="150">
        <v>152632.15975101327</v>
      </c>
      <c r="I19" s="150">
        <v>314581.7498466616</v>
      </c>
      <c r="J19" s="150">
        <v>76034.57195077253</v>
      </c>
      <c r="K19" s="150">
        <v>340220.209903059</v>
      </c>
      <c r="L19" s="150"/>
      <c r="M19" s="81"/>
    </row>
    <row r="20" spans="2:13" ht="12.75">
      <c r="B20" s="149" t="s">
        <v>147</v>
      </c>
      <c r="C20" s="150">
        <v>47235.5</v>
      </c>
      <c r="D20" s="150">
        <v>18070.8</v>
      </c>
      <c r="E20" s="150">
        <v>77889.39</v>
      </c>
      <c r="F20" s="150">
        <v>17620.16</v>
      </c>
      <c r="G20" s="150">
        <v>45494.03</v>
      </c>
      <c r="H20" s="150">
        <v>131819.4</v>
      </c>
      <c r="I20" s="150">
        <v>272045.36</v>
      </c>
      <c r="J20" s="150">
        <v>100735.98000000001</v>
      </c>
      <c r="K20" s="150">
        <v>344148.42000000004</v>
      </c>
      <c r="L20" s="150">
        <v>6265.9</v>
      </c>
      <c r="M20" s="81"/>
    </row>
    <row r="21" spans="2:13" ht="12.75">
      <c r="B21" s="149" t="s">
        <v>181</v>
      </c>
      <c r="C21" s="150">
        <v>43406.3</v>
      </c>
      <c r="D21" s="150">
        <v>21881.1</v>
      </c>
      <c r="E21" s="150">
        <v>112928.4</v>
      </c>
      <c r="F21" s="150">
        <v>33402.9</v>
      </c>
      <c r="G21" s="150">
        <v>59085.4</v>
      </c>
      <c r="H21" s="150">
        <v>137049.3</v>
      </c>
      <c r="I21" s="150">
        <v>305709.5</v>
      </c>
      <c r="J21" s="150">
        <v>62139.8</v>
      </c>
      <c r="K21" s="150">
        <v>178633.9</v>
      </c>
      <c r="L21" s="150">
        <v>6265.44</v>
      </c>
      <c r="M21" s="81"/>
    </row>
    <row r="22" spans="2:15" ht="17.25" customHeight="1">
      <c r="B22" s="151" t="s">
        <v>187</v>
      </c>
      <c r="C22" s="152">
        <f>+'sup región'!C22*'rend región'!C22</f>
        <v>48635.283145156696</v>
      </c>
      <c r="D22" s="152">
        <f>+'sup región'!D22*'rend región'!D22</f>
        <v>10903.06755094439</v>
      </c>
      <c r="E22" s="152">
        <f>+'sup región'!E22*'rend región'!E22</f>
        <v>101644.58364322687</v>
      </c>
      <c r="F22" s="152">
        <f>+'sup región'!F22*'rend región'!F22</f>
        <v>37031.6759916979</v>
      </c>
      <c r="G22" s="152">
        <f>+'sup región'!G22*'rend región'!G22</f>
        <v>91093.51682458601</v>
      </c>
      <c r="H22" s="152">
        <f>+'sup región'!H22*'rend región'!H22</f>
        <v>147493.49549659836</v>
      </c>
      <c r="I22" s="152">
        <f>+'sup región'!I22*'rend región'!I22</f>
        <v>303547.6072781336</v>
      </c>
      <c r="J22" s="152">
        <f>+'sup región'!J22*'rend región'!J22</f>
        <v>73832.54510519424</v>
      </c>
      <c r="K22" s="152">
        <f>+'sup región'!K22*'rend región'!K22</f>
        <v>321982.9838146842</v>
      </c>
      <c r="L22" s="152">
        <f>+'sup región'!L22*'rend región'!L22</f>
        <v>6265.67</v>
      </c>
      <c r="M22" s="81"/>
      <c r="N22" s="192"/>
      <c r="O22" s="58"/>
    </row>
    <row r="23" spans="2:12" ht="12.75">
      <c r="B23" s="162" t="s">
        <v>135</v>
      </c>
      <c r="C23" s="144"/>
      <c r="D23" s="144"/>
      <c r="E23" s="144"/>
      <c r="F23" s="144"/>
      <c r="G23" s="144"/>
      <c r="H23" s="144"/>
      <c r="I23" s="144"/>
      <c r="J23" s="144"/>
      <c r="K23" s="144"/>
      <c r="L23" s="146"/>
    </row>
    <row r="24" spans="2:12" ht="12.75">
      <c r="B24" s="162" t="s">
        <v>216</v>
      </c>
      <c r="C24" s="144"/>
      <c r="D24" s="144"/>
      <c r="E24" s="144"/>
      <c r="F24" s="144"/>
      <c r="G24" s="144"/>
      <c r="H24" s="144"/>
      <c r="I24" s="144"/>
      <c r="J24" s="144"/>
      <c r="K24" s="144"/>
      <c r="L24" s="146"/>
    </row>
    <row r="25" spans="2:12" ht="12.75">
      <c r="B25" s="146"/>
      <c r="C25" s="146"/>
      <c r="D25" s="146"/>
      <c r="E25" s="146"/>
      <c r="F25" s="146"/>
      <c r="G25" s="146"/>
      <c r="H25" s="146"/>
      <c r="I25" s="146"/>
      <c r="J25" s="146"/>
      <c r="K25" s="146"/>
      <c r="L25" s="146"/>
    </row>
    <row r="26" spans="2:12" ht="12.75">
      <c r="B26" s="146"/>
      <c r="C26" s="146"/>
      <c r="D26" s="146"/>
      <c r="E26" s="146"/>
      <c r="F26" s="146"/>
      <c r="G26" s="146"/>
      <c r="H26" s="146"/>
      <c r="I26" s="146"/>
      <c r="J26" s="146"/>
      <c r="K26" s="146"/>
      <c r="L26" s="146"/>
    </row>
    <row r="27" spans="2:12" ht="12.75">
      <c r="B27" s="146"/>
      <c r="C27" s="146"/>
      <c r="D27" s="146"/>
      <c r="E27" s="146"/>
      <c r="F27" s="146"/>
      <c r="G27" s="146"/>
      <c r="H27" s="146"/>
      <c r="I27" s="146"/>
      <c r="J27" s="146"/>
      <c r="K27" s="146"/>
      <c r="L27" s="146"/>
    </row>
    <row r="28" spans="2:12" ht="12.75">
      <c r="B28" s="146"/>
      <c r="C28" s="146"/>
      <c r="D28" s="146"/>
      <c r="E28" s="146"/>
      <c r="F28" s="146"/>
      <c r="G28" s="146"/>
      <c r="H28" s="146"/>
      <c r="I28" s="146"/>
      <c r="J28" s="146"/>
      <c r="K28" s="146"/>
      <c r="L28" s="146"/>
    </row>
    <row r="29" spans="2:12" ht="12.75">
      <c r="B29" s="146"/>
      <c r="C29" s="146"/>
      <c r="D29" s="146"/>
      <c r="E29" s="146"/>
      <c r="F29" s="146"/>
      <c r="G29" s="146"/>
      <c r="H29" s="146"/>
      <c r="I29" s="146"/>
      <c r="J29" s="146"/>
      <c r="K29" s="146"/>
      <c r="L29" s="146"/>
    </row>
    <row r="30" spans="2:12" ht="12.75">
      <c r="B30" s="146"/>
      <c r="C30" s="146"/>
      <c r="D30" s="146"/>
      <c r="E30" s="146"/>
      <c r="F30" s="146"/>
      <c r="G30" s="146"/>
      <c r="H30" s="146"/>
      <c r="I30" s="146"/>
      <c r="J30" s="146"/>
      <c r="K30" s="146"/>
      <c r="L30" s="146"/>
    </row>
    <row r="31" spans="2:12" ht="12.75">
      <c r="B31" s="146"/>
      <c r="C31" s="146"/>
      <c r="D31" s="146"/>
      <c r="E31" s="146"/>
      <c r="F31" s="146"/>
      <c r="G31" s="146"/>
      <c r="H31" s="146"/>
      <c r="I31" s="146"/>
      <c r="J31" s="146"/>
      <c r="K31" s="146"/>
      <c r="L31" s="146"/>
    </row>
    <row r="32" spans="2:12" ht="12.75">
      <c r="B32" s="146"/>
      <c r="C32" s="146"/>
      <c r="D32" s="146"/>
      <c r="E32" s="146"/>
      <c r="F32" s="146"/>
      <c r="G32" s="146"/>
      <c r="H32" s="146"/>
      <c r="I32" s="146"/>
      <c r="J32" s="146"/>
      <c r="K32" s="146"/>
      <c r="L32" s="146"/>
    </row>
    <row r="33" spans="2:12" ht="12.75">
      <c r="B33" s="146"/>
      <c r="C33" s="146"/>
      <c r="D33" s="146"/>
      <c r="E33" s="146"/>
      <c r="F33" s="146"/>
      <c r="G33" s="146"/>
      <c r="H33" s="146"/>
      <c r="I33" s="146"/>
      <c r="J33" s="146"/>
      <c r="K33" s="146"/>
      <c r="L33" s="146"/>
    </row>
    <row r="34" spans="2:12" ht="12.75">
      <c r="B34" s="146"/>
      <c r="C34" s="146"/>
      <c r="D34" s="146"/>
      <c r="E34" s="146"/>
      <c r="F34" s="146"/>
      <c r="G34" s="146"/>
      <c r="H34" s="146"/>
      <c r="I34" s="146"/>
      <c r="J34" s="146"/>
      <c r="K34" s="146"/>
      <c r="L34" s="146"/>
    </row>
    <row r="35" spans="2:12" ht="12.75">
      <c r="B35" s="146"/>
      <c r="C35" s="146"/>
      <c r="D35" s="146"/>
      <c r="E35" s="146"/>
      <c r="F35" s="146"/>
      <c r="G35" s="146"/>
      <c r="H35" s="146"/>
      <c r="I35" s="146"/>
      <c r="J35" s="146"/>
      <c r="K35" s="146"/>
      <c r="L35" s="146"/>
    </row>
    <row r="36" spans="2:12" ht="12.75">
      <c r="B36" s="146"/>
      <c r="C36" s="146"/>
      <c r="D36" s="146"/>
      <c r="E36" s="146"/>
      <c r="F36" s="146"/>
      <c r="G36" s="146"/>
      <c r="H36" s="146"/>
      <c r="I36" s="146"/>
      <c r="J36" s="146"/>
      <c r="K36" s="146"/>
      <c r="L36" s="146"/>
    </row>
    <row r="37" spans="2:12" ht="12.75">
      <c r="B37" s="146"/>
      <c r="C37" s="146"/>
      <c r="D37" s="146"/>
      <c r="E37" s="146"/>
      <c r="F37" s="146"/>
      <c r="G37" s="146"/>
      <c r="H37" s="146"/>
      <c r="I37" s="146"/>
      <c r="J37" s="146"/>
      <c r="K37" s="146"/>
      <c r="L37" s="146"/>
    </row>
    <row r="38" spans="2:12" ht="12.75">
      <c r="B38" s="146"/>
      <c r="C38" s="146"/>
      <c r="D38" s="146"/>
      <c r="E38" s="146"/>
      <c r="F38" s="146"/>
      <c r="G38" s="146"/>
      <c r="H38" s="146"/>
      <c r="I38" s="146"/>
      <c r="J38" s="146"/>
      <c r="K38" s="146"/>
      <c r="L38" s="146"/>
    </row>
    <row r="39" spans="2:12" ht="12.75">
      <c r="B39" s="146"/>
      <c r="C39" s="146"/>
      <c r="D39" s="146"/>
      <c r="E39" s="146"/>
      <c r="F39" s="146"/>
      <c r="G39" s="146"/>
      <c r="H39" s="146"/>
      <c r="I39" s="146"/>
      <c r="J39" s="146"/>
      <c r="K39" s="146"/>
      <c r="L39" s="146"/>
    </row>
    <row r="40" spans="2:12" ht="12.75">
      <c r="B40" s="146"/>
      <c r="C40" s="146"/>
      <c r="D40" s="146"/>
      <c r="E40" s="146"/>
      <c r="F40" s="146"/>
      <c r="G40" s="146"/>
      <c r="H40" s="146"/>
      <c r="I40" s="146"/>
      <c r="J40" s="146"/>
      <c r="K40" s="146"/>
      <c r="L40" s="146"/>
    </row>
    <row r="41" spans="2:12" ht="12.75">
      <c r="B41" s="146"/>
      <c r="C41" s="146"/>
      <c r="D41" s="146"/>
      <c r="E41" s="146"/>
      <c r="F41" s="146"/>
      <c r="G41" s="146"/>
      <c r="H41" s="146"/>
      <c r="I41" s="146"/>
      <c r="J41" s="146"/>
      <c r="K41" s="146"/>
      <c r="L41" s="146"/>
    </row>
    <row r="42" spans="2:12" ht="12.75">
      <c r="B42" s="146"/>
      <c r="C42" s="146"/>
      <c r="D42" s="146"/>
      <c r="E42" s="146"/>
      <c r="F42" s="146"/>
      <c r="G42" s="146"/>
      <c r="H42" s="146"/>
      <c r="I42" s="146"/>
      <c r="J42" s="146"/>
      <c r="K42" s="146"/>
      <c r="L42" s="146"/>
    </row>
    <row r="43" spans="2:12" ht="12.75">
      <c r="B43" s="146"/>
      <c r="C43" s="146"/>
      <c r="D43" s="146"/>
      <c r="E43" s="146"/>
      <c r="F43" s="146"/>
      <c r="G43" s="146"/>
      <c r="H43" s="146"/>
      <c r="I43" s="146"/>
      <c r="J43" s="146"/>
      <c r="K43" s="146"/>
      <c r="L43" s="146"/>
    </row>
    <row r="44" spans="2:12" ht="12.75">
      <c r="B44" s="146"/>
      <c r="C44" s="146"/>
      <c r="D44" s="146"/>
      <c r="E44" s="146"/>
      <c r="F44" s="146"/>
      <c r="G44" s="146"/>
      <c r="H44" s="146"/>
      <c r="I44" s="146"/>
      <c r="J44" s="146"/>
      <c r="K44" s="146"/>
      <c r="L44" s="146"/>
    </row>
    <row r="45" spans="2:12" ht="12.75">
      <c r="B45" s="146"/>
      <c r="C45" s="146"/>
      <c r="D45" s="146"/>
      <c r="E45" s="146"/>
      <c r="F45" s="146"/>
      <c r="G45" s="146"/>
      <c r="H45" s="146"/>
      <c r="I45" s="146"/>
      <c r="J45" s="146"/>
      <c r="K45" s="146"/>
      <c r="L45" s="146"/>
    </row>
    <row r="46" spans="2:12" ht="12.75">
      <c r="B46" s="146"/>
      <c r="C46" s="146"/>
      <c r="D46" s="146"/>
      <c r="E46" s="146"/>
      <c r="F46" s="146"/>
      <c r="G46" s="146"/>
      <c r="H46" s="146"/>
      <c r="I46" s="146"/>
      <c r="J46" s="146"/>
      <c r="K46" s="146"/>
      <c r="L46" s="146"/>
    </row>
    <row r="47" spans="3:12" ht="12.75">
      <c r="C47" s="146"/>
      <c r="D47" s="146"/>
      <c r="E47" s="146"/>
      <c r="F47" s="146"/>
      <c r="G47" s="146"/>
      <c r="H47" s="146"/>
      <c r="I47" s="146"/>
      <c r="J47" s="146"/>
      <c r="K47" s="146"/>
      <c r="L47" s="146"/>
    </row>
    <row r="48" spans="2:12" ht="12.75">
      <c r="B48" s="146"/>
      <c r="C48" s="146"/>
      <c r="D48" s="146"/>
      <c r="E48" s="146"/>
      <c r="F48" s="146"/>
      <c r="G48" s="146"/>
      <c r="H48" s="146"/>
      <c r="I48" s="146"/>
      <c r="J48" s="146"/>
      <c r="K48" s="146"/>
      <c r="L48" s="146"/>
    </row>
    <row r="49" ht="12.75">
      <c r="B49" s="162" t="s">
        <v>135</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50"/>
  <sheetViews>
    <sheetView zoomScale="80" zoomScaleNormal="80" zoomScalePageLayoutView="60" workbookViewId="0" topLeftCell="A1">
      <selection activeCell="A1" sqref="A1"/>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6384" width="10.8515625" style="22" customWidth="1"/>
  </cols>
  <sheetData>
    <row r="1" ht="6.75" customHeight="1"/>
    <row r="2" spans="2:19" ht="12.75">
      <c r="B2" s="328" t="s">
        <v>143</v>
      </c>
      <c r="C2" s="328"/>
      <c r="D2" s="328"/>
      <c r="E2" s="328"/>
      <c r="F2" s="328"/>
      <c r="G2" s="328"/>
      <c r="H2" s="328"/>
      <c r="I2" s="328"/>
      <c r="J2" s="328"/>
      <c r="K2" s="328"/>
      <c r="L2" s="328"/>
      <c r="M2" s="122"/>
      <c r="N2" s="52" t="s">
        <v>153</v>
      </c>
      <c r="O2" s="38"/>
      <c r="P2" s="38"/>
      <c r="Q2" s="38"/>
      <c r="R2" s="38"/>
      <c r="S2" s="38"/>
    </row>
    <row r="3" spans="2:19" ht="12.75">
      <c r="B3" s="328" t="s">
        <v>47</v>
      </c>
      <c r="C3" s="328"/>
      <c r="D3" s="328"/>
      <c r="E3" s="328"/>
      <c r="F3" s="328"/>
      <c r="G3" s="328"/>
      <c r="H3" s="328"/>
      <c r="I3" s="328"/>
      <c r="J3" s="328"/>
      <c r="K3" s="328"/>
      <c r="L3" s="328"/>
      <c r="M3" s="122"/>
      <c r="N3" s="38"/>
      <c r="O3" s="38"/>
      <c r="P3" s="38"/>
      <c r="Q3" s="38"/>
      <c r="R3" s="38"/>
      <c r="S3" s="38"/>
    </row>
    <row r="4" spans="2:19" ht="15" customHeight="1">
      <c r="B4" s="328" t="s">
        <v>29</v>
      </c>
      <c r="C4" s="328"/>
      <c r="D4" s="328"/>
      <c r="E4" s="328"/>
      <c r="F4" s="328"/>
      <c r="G4" s="328"/>
      <c r="H4" s="328"/>
      <c r="I4" s="328"/>
      <c r="J4" s="328"/>
      <c r="K4" s="328"/>
      <c r="L4" s="328"/>
      <c r="M4" s="122"/>
      <c r="N4" s="38"/>
      <c r="O4" s="38"/>
      <c r="P4" s="38"/>
      <c r="Q4" s="38"/>
      <c r="R4" s="38"/>
      <c r="S4" s="38"/>
    </row>
    <row r="5" spans="2:19" ht="12.75">
      <c r="B5" s="2"/>
      <c r="C5" s="2"/>
      <c r="D5" s="2"/>
      <c r="E5" s="2"/>
      <c r="F5" s="2"/>
      <c r="G5" s="2"/>
      <c r="H5" s="2"/>
      <c r="I5" s="2"/>
      <c r="J5" s="2"/>
      <c r="K5" s="2"/>
      <c r="L5" s="2"/>
      <c r="M5" s="2"/>
      <c r="N5" s="2"/>
      <c r="O5" s="2"/>
      <c r="P5" s="2"/>
      <c r="Q5" s="2"/>
      <c r="R5" s="2"/>
      <c r="S5" s="2"/>
    </row>
    <row r="6" spans="2:19" ht="15" customHeight="1">
      <c r="B6" s="348" t="s">
        <v>13</v>
      </c>
      <c r="C6" s="4" t="s">
        <v>24</v>
      </c>
      <c r="D6" s="4" t="s">
        <v>24</v>
      </c>
      <c r="E6" s="4" t="s">
        <v>26</v>
      </c>
      <c r="F6" s="4" t="s">
        <v>24</v>
      </c>
      <c r="G6" s="4" t="s">
        <v>25</v>
      </c>
      <c r="H6" s="4" t="s">
        <v>25</v>
      </c>
      <c r="I6" s="4" t="s">
        <v>24</v>
      </c>
      <c r="J6" s="4" t="s">
        <v>24</v>
      </c>
      <c r="K6" s="4" t="s">
        <v>24</v>
      </c>
      <c r="L6" s="4" t="s">
        <v>159</v>
      </c>
      <c r="M6" s="1"/>
      <c r="N6" s="1"/>
      <c r="O6" s="1"/>
      <c r="P6" s="1"/>
      <c r="Q6" s="1"/>
      <c r="R6" s="1"/>
      <c r="S6" s="1"/>
    </row>
    <row r="7" spans="2:19" ht="15" customHeight="1">
      <c r="B7" s="349"/>
      <c r="C7" s="3" t="s">
        <v>23</v>
      </c>
      <c r="D7" s="3" t="s">
        <v>22</v>
      </c>
      <c r="E7" s="3" t="s">
        <v>21</v>
      </c>
      <c r="F7" s="3" t="s">
        <v>20</v>
      </c>
      <c r="G7" s="3" t="s">
        <v>19</v>
      </c>
      <c r="H7" s="3" t="s">
        <v>18</v>
      </c>
      <c r="I7" s="3" t="s">
        <v>17</v>
      </c>
      <c r="J7" s="3" t="s">
        <v>16</v>
      </c>
      <c r="K7" s="3" t="s">
        <v>15</v>
      </c>
      <c r="L7" s="3" t="s">
        <v>160</v>
      </c>
      <c r="M7" s="1"/>
      <c r="N7" s="1"/>
      <c r="O7" s="1"/>
      <c r="P7" s="1"/>
      <c r="Q7" s="1"/>
      <c r="R7" s="1"/>
      <c r="S7" s="1"/>
    </row>
    <row r="8" spans="2:19" ht="12.75" customHeight="1">
      <c r="B8" s="82" t="s">
        <v>11</v>
      </c>
      <c r="C8" s="102">
        <v>22.020369127516776</v>
      </c>
      <c r="D8" s="103">
        <v>14.461283783783784</v>
      </c>
      <c r="E8" s="103">
        <v>19.28257009345794</v>
      </c>
      <c r="F8" s="103">
        <v>16.780304054054053</v>
      </c>
      <c r="G8" s="103">
        <v>14.920527577937651</v>
      </c>
      <c r="H8" s="103">
        <v>19.960667938931298</v>
      </c>
      <c r="I8" s="103">
        <v>23.313738214087632</v>
      </c>
      <c r="J8" s="103"/>
      <c r="K8" s="103">
        <v>23.38645287228109</v>
      </c>
      <c r="L8" s="103"/>
      <c r="M8" s="103"/>
      <c r="N8" s="53"/>
      <c r="O8" s="53"/>
      <c r="P8" s="53"/>
      <c r="Q8" s="53"/>
      <c r="R8" s="53"/>
      <c r="S8" s="53"/>
    </row>
    <row r="9" spans="2:19" ht="12.75" customHeight="1">
      <c r="B9" s="82" t="s">
        <v>10</v>
      </c>
      <c r="C9" s="103">
        <v>20.42828413284133</v>
      </c>
      <c r="D9" s="103">
        <v>12.118067226890757</v>
      </c>
      <c r="E9" s="103">
        <v>15.59320293398533</v>
      </c>
      <c r="F9" s="103">
        <v>18.21232484076433</v>
      </c>
      <c r="G9" s="103">
        <v>14.86148051948052</v>
      </c>
      <c r="H9" s="103">
        <v>19.89370826010545</v>
      </c>
      <c r="I9" s="103">
        <v>19.841906666666667</v>
      </c>
      <c r="J9" s="103"/>
      <c r="K9" s="103">
        <v>22.54059472716125</v>
      </c>
      <c r="L9" s="103"/>
      <c r="M9" s="103"/>
      <c r="N9" s="53"/>
      <c r="O9" s="53"/>
      <c r="P9" s="53"/>
      <c r="Q9" s="53"/>
      <c r="R9" s="53"/>
      <c r="S9" s="53"/>
    </row>
    <row r="10" spans="2:19" ht="12.75" customHeight="1">
      <c r="B10" s="82" t="s">
        <v>9</v>
      </c>
      <c r="C10" s="103">
        <v>20.3</v>
      </c>
      <c r="D10" s="103">
        <v>12.5</v>
      </c>
      <c r="E10" s="103">
        <v>15.84</v>
      </c>
      <c r="F10" s="103">
        <v>19</v>
      </c>
      <c r="G10" s="103">
        <v>15.05</v>
      </c>
      <c r="H10" s="103">
        <v>20.05</v>
      </c>
      <c r="I10" s="103">
        <v>18</v>
      </c>
      <c r="J10" s="103"/>
      <c r="K10" s="103">
        <v>22.72</v>
      </c>
      <c r="L10" s="103"/>
      <c r="M10" s="103"/>
      <c r="N10" s="53"/>
      <c r="O10" s="53"/>
      <c r="P10" s="53"/>
      <c r="Q10" s="53"/>
      <c r="R10" s="53"/>
      <c r="S10" s="53"/>
    </row>
    <row r="11" spans="2:19" ht="12.75" customHeight="1">
      <c r="B11" s="82" t="s">
        <v>8</v>
      </c>
      <c r="C11" s="103">
        <v>21.48</v>
      </c>
      <c r="D11" s="103">
        <v>16.5</v>
      </c>
      <c r="E11" s="103">
        <v>13.26</v>
      </c>
      <c r="F11" s="103">
        <v>20.04</v>
      </c>
      <c r="G11" s="103">
        <v>15.16</v>
      </c>
      <c r="H11" s="103">
        <v>20.27</v>
      </c>
      <c r="I11" s="103">
        <v>20.57</v>
      </c>
      <c r="J11" s="82"/>
      <c r="K11" s="103">
        <v>22.380000000000003</v>
      </c>
      <c r="L11" s="103"/>
      <c r="M11" s="103"/>
      <c r="N11" s="53"/>
      <c r="O11" s="53"/>
      <c r="P11" s="53"/>
      <c r="Q11" s="53"/>
      <c r="R11" s="53"/>
      <c r="S11" s="53"/>
    </row>
    <row r="12" spans="2:19" ht="12.75" customHeight="1">
      <c r="B12" s="82" t="s">
        <v>7</v>
      </c>
      <c r="C12" s="103">
        <v>21.55</v>
      </c>
      <c r="D12" s="103">
        <v>16.75</v>
      </c>
      <c r="E12" s="103">
        <v>14.86</v>
      </c>
      <c r="F12" s="103">
        <v>12.98</v>
      </c>
      <c r="G12" s="103">
        <v>16.94</v>
      </c>
      <c r="H12" s="103">
        <v>19.95</v>
      </c>
      <c r="I12" s="103">
        <v>24.81</v>
      </c>
      <c r="J12" s="82"/>
      <c r="K12" s="103">
        <v>25.82</v>
      </c>
      <c r="L12" s="103"/>
      <c r="M12" s="103"/>
      <c r="N12" s="53"/>
      <c r="O12" s="53"/>
      <c r="P12" s="53"/>
      <c r="Q12" s="53"/>
      <c r="R12" s="53"/>
      <c r="S12" s="53"/>
    </row>
    <row r="13" spans="2:19" ht="12.75" customHeight="1">
      <c r="B13" s="82" t="s">
        <v>6</v>
      </c>
      <c r="C13" s="103">
        <v>17.426408798813643</v>
      </c>
      <c r="D13" s="103">
        <v>9.337508813376187</v>
      </c>
      <c r="E13" s="103">
        <v>16.623426967364942</v>
      </c>
      <c r="F13" s="103">
        <v>13.281982350534744</v>
      </c>
      <c r="G13" s="103">
        <v>13.350154657230894</v>
      </c>
      <c r="H13" s="103">
        <v>11.576870309860222</v>
      </c>
      <c r="I13" s="103">
        <v>15.118167139676645</v>
      </c>
      <c r="J13" s="103">
        <v>18.236673129705636</v>
      </c>
      <c r="K13" s="103">
        <v>19.057086368736975</v>
      </c>
      <c r="L13" s="103"/>
      <c r="M13" s="103"/>
      <c r="N13" s="53"/>
      <c r="O13" s="53"/>
      <c r="P13" s="53"/>
      <c r="Q13" s="53"/>
      <c r="R13" s="53"/>
      <c r="S13" s="53"/>
    </row>
    <row r="14" spans="2:19" ht="12.75" customHeight="1">
      <c r="B14" s="82" t="s">
        <v>5</v>
      </c>
      <c r="C14" s="103">
        <v>19</v>
      </c>
      <c r="D14" s="103">
        <v>13.6</v>
      </c>
      <c r="E14" s="103">
        <v>15.330000000000002</v>
      </c>
      <c r="F14" s="103">
        <v>17</v>
      </c>
      <c r="G14" s="103">
        <v>17.07</v>
      </c>
      <c r="H14" s="103">
        <v>16.7</v>
      </c>
      <c r="I14" s="103">
        <v>14.88</v>
      </c>
      <c r="J14" s="103">
        <v>20.43</v>
      </c>
      <c r="K14" s="103">
        <v>21.03</v>
      </c>
      <c r="L14" s="103"/>
      <c r="M14" s="103"/>
      <c r="N14" s="53"/>
      <c r="O14" s="53"/>
      <c r="P14" s="53"/>
      <c r="Q14" s="53"/>
      <c r="R14" s="53"/>
      <c r="S14" s="53"/>
    </row>
    <row r="15" spans="2:19" ht="12.75" customHeight="1">
      <c r="B15" s="82" t="s">
        <v>4</v>
      </c>
      <c r="C15" s="103">
        <v>17.22</v>
      </c>
      <c r="D15" s="103">
        <v>13.780000000000001</v>
      </c>
      <c r="E15" s="103">
        <v>19.23</v>
      </c>
      <c r="F15" s="103">
        <v>14.49</v>
      </c>
      <c r="G15" s="103">
        <v>14.62</v>
      </c>
      <c r="H15" s="103">
        <v>15.63</v>
      </c>
      <c r="I15" s="103">
        <v>19.71</v>
      </c>
      <c r="J15" s="103">
        <v>26.630000000000003</v>
      </c>
      <c r="K15" s="103">
        <v>25.910000000000004</v>
      </c>
      <c r="L15" s="103"/>
      <c r="M15" s="103"/>
      <c r="N15" s="53"/>
      <c r="O15" s="53"/>
      <c r="P15" s="53"/>
      <c r="Q15" s="53"/>
      <c r="R15" s="53"/>
      <c r="S15" s="53"/>
    </row>
    <row r="16" spans="2:19" ht="12.75" customHeight="1">
      <c r="B16" s="82" t="s">
        <v>3</v>
      </c>
      <c r="C16" s="103">
        <v>22.94</v>
      </c>
      <c r="D16" s="103">
        <v>26.330000000000002</v>
      </c>
      <c r="E16" s="103">
        <v>24.669999999999998</v>
      </c>
      <c r="F16" s="103">
        <v>19.36</v>
      </c>
      <c r="G16" s="103">
        <v>12.52</v>
      </c>
      <c r="H16" s="103">
        <v>18.490000000000002</v>
      </c>
      <c r="I16" s="103">
        <v>18.830000000000002</v>
      </c>
      <c r="J16" s="103">
        <v>33.1</v>
      </c>
      <c r="K16" s="103">
        <v>29.53</v>
      </c>
      <c r="L16" s="103"/>
      <c r="M16" s="103"/>
      <c r="N16" s="53"/>
      <c r="O16" s="53"/>
      <c r="P16" s="53"/>
      <c r="Q16" s="53"/>
      <c r="R16" s="53"/>
      <c r="S16" s="53"/>
    </row>
    <row r="17" spans="2:19" ht="12.75" customHeight="1">
      <c r="B17" s="82" t="s">
        <v>2</v>
      </c>
      <c r="C17" s="103">
        <v>23.54</v>
      </c>
      <c r="D17" s="103">
        <v>20.52</v>
      </c>
      <c r="E17" s="103">
        <v>21.1</v>
      </c>
      <c r="F17" s="103">
        <v>17.82</v>
      </c>
      <c r="G17" s="103">
        <v>24.35</v>
      </c>
      <c r="H17" s="103">
        <v>27.26</v>
      </c>
      <c r="I17" s="103">
        <v>34.69</v>
      </c>
      <c r="J17" s="103">
        <v>37.019999999999996</v>
      </c>
      <c r="K17" s="103">
        <v>42.55</v>
      </c>
      <c r="L17" s="103"/>
      <c r="M17" s="103"/>
      <c r="N17" s="53"/>
      <c r="O17" s="53"/>
      <c r="P17" s="53"/>
      <c r="Q17" s="53"/>
      <c r="R17" s="53"/>
      <c r="S17" s="53"/>
    </row>
    <row r="18" spans="2:19" ht="12.75" customHeight="1">
      <c r="B18" s="82" t="s">
        <v>122</v>
      </c>
      <c r="C18" s="103">
        <v>22.02</v>
      </c>
      <c r="D18" s="103">
        <v>11.26</v>
      </c>
      <c r="E18" s="103">
        <v>24.48</v>
      </c>
      <c r="F18" s="103">
        <v>15.260000000000002</v>
      </c>
      <c r="G18" s="103">
        <v>16.580000000000002</v>
      </c>
      <c r="H18" s="103">
        <v>16.84</v>
      </c>
      <c r="I18" s="103">
        <v>26.2</v>
      </c>
      <c r="J18" s="103">
        <v>36.230000000000004</v>
      </c>
      <c r="K18" s="103">
        <v>37.019999999999996</v>
      </c>
      <c r="L18" s="103"/>
      <c r="M18" s="103"/>
      <c r="N18" s="53"/>
      <c r="O18" s="53"/>
      <c r="P18" s="53"/>
      <c r="Q18" s="53"/>
      <c r="R18" s="53"/>
      <c r="S18" s="53"/>
    </row>
    <row r="19" spans="2:19" ht="12.75" customHeight="1">
      <c r="B19" s="82" t="s">
        <v>131</v>
      </c>
      <c r="C19" s="103">
        <v>20.37043201224156</v>
      </c>
      <c r="D19" s="103">
        <v>14.861034346434494</v>
      </c>
      <c r="E19" s="103">
        <v>22.069840622540045</v>
      </c>
      <c r="F19" s="103">
        <v>20.40363304091236</v>
      </c>
      <c r="G19" s="103">
        <v>22.892935432721355</v>
      </c>
      <c r="H19" s="103">
        <v>18.231266095438755</v>
      </c>
      <c r="I19" s="103">
        <v>21.75681235539536</v>
      </c>
      <c r="J19" s="103">
        <v>22.80581042314713</v>
      </c>
      <c r="K19" s="103">
        <v>33.98124349810817</v>
      </c>
      <c r="L19" s="103"/>
      <c r="M19" s="103"/>
      <c r="N19" s="53"/>
      <c r="O19" s="53"/>
      <c r="P19" s="53"/>
      <c r="Q19" s="53"/>
      <c r="R19" s="53"/>
      <c r="S19" s="53"/>
    </row>
    <row r="20" spans="2:19" ht="12.75" customHeight="1">
      <c r="B20" s="82" t="s">
        <v>147</v>
      </c>
      <c r="C20" s="103">
        <v>21.5</v>
      </c>
      <c r="D20" s="103">
        <v>12.209999999999999</v>
      </c>
      <c r="E20" s="103">
        <v>23.61</v>
      </c>
      <c r="F20" s="103">
        <v>12.64</v>
      </c>
      <c r="G20" s="103">
        <v>12.79</v>
      </c>
      <c r="H20" s="103">
        <v>15.45</v>
      </c>
      <c r="I20" s="103">
        <v>20.84</v>
      </c>
      <c r="J20" s="103">
        <v>25.14</v>
      </c>
      <c r="K20" s="103">
        <v>31.990000000000002</v>
      </c>
      <c r="L20" s="103">
        <v>9.120669577874818</v>
      </c>
      <c r="M20" s="103"/>
      <c r="N20" s="53"/>
      <c r="O20" s="53"/>
      <c r="P20" s="53"/>
      <c r="Q20" s="53"/>
      <c r="R20" s="53"/>
      <c r="S20" s="53"/>
    </row>
    <row r="21" spans="2:19" ht="12.75" customHeight="1">
      <c r="B21" s="82" t="s">
        <v>181</v>
      </c>
      <c r="C21" s="103">
        <v>23.15</v>
      </c>
      <c r="D21" s="103">
        <v>15.08</v>
      </c>
      <c r="E21" s="103">
        <v>22.86</v>
      </c>
      <c r="F21" s="103">
        <v>16.31</v>
      </c>
      <c r="G21" s="103">
        <v>16.44</v>
      </c>
      <c r="H21" s="103">
        <v>15.78</v>
      </c>
      <c r="I21" s="103">
        <v>18.21</v>
      </c>
      <c r="J21" s="103">
        <v>17.8</v>
      </c>
      <c r="K21" s="103">
        <v>25.64</v>
      </c>
      <c r="L21" s="103">
        <v>9.12</v>
      </c>
      <c r="M21" s="103"/>
      <c r="N21" s="53"/>
      <c r="O21" s="53"/>
      <c r="P21" s="53"/>
      <c r="Q21" s="53"/>
      <c r="R21" s="53"/>
      <c r="S21" s="53"/>
    </row>
    <row r="22" spans="2:19" ht="12.75" customHeight="1">
      <c r="B22" s="120" t="s">
        <v>187</v>
      </c>
      <c r="C22" s="165">
        <f>+AVERAGE(C19:C21)</f>
        <v>21.673477337413857</v>
      </c>
      <c r="D22" s="165">
        <f aca="true" t="shared" si="0" ref="D22:L22">+AVERAGE(D19:D21)</f>
        <v>14.050344782144832</v>
      </c>
      <c r="E22" s="165">
        <f t="shared" si="0"/>
        <v>22.84661354084668</v>
      </c>
      <c r="F22" s="165">
        <f t="shared" si="0"/>
        <v>16.45121101363745</v>
      </c>
      <c r="G22" s="165">
        <f t="shared" si="0"/>
        <v>17.374311810907116</v>
      </c>
      <c r="H22" s="165">
        <f t="shared" si="0"/>
        <v>16.487088698479585</v>
      </c>
      <c r="I22" s="165">
        <f t="shared" si="0"/>
        <v>20.268937451798454</v>
      </c>
      <c r="J22" s="165">
        <f t="shared" si="0"/>
        <v>21.915270141049046</v>
      </c>
      <c r="K22" s="165">
        <f t="shared" si="0"/>
        <v>30.53708116603606</v>
      </c>
      <c r="L22" s="165">
        <f t="shared" si="0"/>
        <v>9.12033478893741</v>
      </c>
      <c r="M22" s="102"/>
      <c r="N22" s="192"/>
      <c r="O22" s="53"/>
      <c r="P22" s="53"/>
      <c r="Q22" s="53"/>
      <c r="R22" s="53"/>
      <c r="S22" s="53"/>
    </row>
    <row r="23" spans="2:11" ht="12.75" customHeight="1">
      <c r="B23" s="29" t="s">
        <v>135</v>
      </c>
      <c r="C23" s="54"/>
      <c r="D23" s="54"/>
      <c r="E23" s="54"/>
      <c r="F23" s="54"/>
      <c r="G23" s="54"/>
      <c r="H23" s="54"/>
      <c r="I23" s="54"/>
      <c r="J23" s="54"/>
      <c r="K23" s="54"/>
    </row>
    <row r="24" spans="2:11" ht="12.75" customHeight="1">
      <c r="B24" s="242" t="s">
        <v>213</v>
      </c>
      <c r="C24" s="241"/>
      <c r="D24" s="241"/>
      <c r="E24" s="241"/>
      <c r="F24" s="241"/>
      <c r="G24" s="241"/>
      <c r="H24" s="54"/>
      <c r="I24" s="54"/>
      <c r="J24" s="54"/>
      <c r="K24" s="54"/>
    </row>
    <row r="25" spans="2:11" ht="12.75">
      <c r="B25" s="2"/>
      <c r="C25" s="2"/>
      <c r="D25" s="2"/>
      <c r="E25" s="2"/>
      <c r="F25" s="2"/>
      <c r="G25" s="2"/>
      <c r="H25" s="2"/>
      <c r="I25" s="2"/>
      <c r="J25" s="2"/>
      <c r="K25" s="2"/>
    </row>
    <row r="26" ht="12.75">
      <c r="Q26" s="2"/>
    </row>
    <row r="30" ht="12.75">
      <c r="P30" s="2"/>
    </row>
    <row r="45" ht="12.75">
      <c r="N45" s="2"/>
    </row>
    <row r="47" ht="12.75">
      <c r="B47" s="56" t="s">
        <v>162</v>
      </c>
    </row>
    <row r="50" spans="3:12" ht="12.75">
      <c r="C50" s="190"/>
      <c r="D50" s="190"/>
      <c r="E50" s="190"/>
      <c r="F50" s="190"/>
      <c r="G50" s="190"/>
      <c r="H50" s="190"/>
      <c r="I50" s="190"/>
      <c r="J50" s="190"/>
      <c r="K50" s="190"/>
      <c r="L50" s="190"/>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3"/>
  <sheetViews>
    <sheetView zoomScale="90" zoomScaleNormal="90" zoomScalePageLayoutView="0" workbookViewId="0" topLeftCell="A1">
      <selection activeCell="L13" sqref="L13"/>
    </sheetView>
  </sheetViews>
  <sheetFormatPr defaultColWidth="11.421875" defaultRowHeight="15"/>
  <cols>
    <col min="1" max="1" width="1.1484375" style="39" customWidth="1"/>
    <col min="2" max="2" width="32.7109375" style="39" customWidth="1"/>
    <col min="3" max="5" width="30.7109375" style="39" customWidth="1"/>
    <col min="6" max="6" width="4.00390625" style="39" customWidth="1"/>
    <col min="7" max="7" width="14.421875" style="39" customWidth="1"/>
    <col min="8" max="16384" width="11.421875" style="39" customWidth="1"/>
  </cols>
  <sheetData>
    <row r="1" ht="6.75" customHeight="1"/>
    <row r="2" spans="2:7" ht="12.75">
      <c r="B2" s="353" t="s">
        <v>233</v>
      </c>
      <c r="C2" s="353"/>
      <c r="D2" s="353"/>
      <c r="E2" s="353"/>
      <c r="G2" s="52" t="s">
        <v>153</v>
      </c>
    </row>
    <row r="3" spans="2:5" ht="12.75">
      <c r="B3" s="354" t="s">
        <v>219</v>
      </c>
      <c r="C3" s="354"/>
      <c r="D3" s="354"/>
      <c r="E3" s="354"/>
    </row>
    <row r="5" spans="3:5" ht="38.25">
      <c r="C5" s="264" t="s">
        <v>234</v>
      </c>
      <c r="D5" s="264" t="s">
        <v>235</v>
      </c>
      <c r="E5" s="264" t="s">
        <v>236</v>
      </c>
    </row>
    <row r="6" spans="2:5" ht="12.75">
      <c r="B6" s="265" t="s">
        <v>157</v>
      </c>
      <c r="C6" s="266">
        <v>26</v>
      </c>
      <c r="D6" s="266">
        <v>30</v>
      </c>
      <c r="E6" s="266">
        <v>30</v>
      </c>
    </row>
    <row r="7" spans="2:5" ht="12.75">
      <c r="B7" s="265" t="s">
        <v>220</v>
      </c>
      <c r="C7" s="267">
        <v>998000</v>
      </c>
      <c r="D7" s="267">
        <v>803000</v>
      </c>
      <c r="E7" s="267">
        <v>201000</v>
      </c>
    </row>
    <row r="8" spans="2:5" ht="12.75">
      <c r="B8" s="265" t="s">
        <v>221</v>
      </c>
      <c r="C8" s="267">
        <v>612000</v>
      </c>
      <c r="D8" s="267">
        <v>515000</v>
      </c>
      <c r="E8" s="267">
        <v>748000</v>
      </c>
    </row>
    <row r="9" spans="2:5" ht="12.75">
      <c r="B9" s="265" t="s">
        <v>222</v>
      </c>
      <c r="C9" s="267">
        <v>1718582</v>
      </c>
      <c r="D9" s="267">
        <v>1491125</v>
      </c>
      <c r="E9" s="267">
        <v>2071408</v>
      </c>
    </row>
    <row r="10" spans="2:5" ht="14.25">
      <c r="B10" s="268" t="s">
        <v>237</v>
      </c>
      <c r="C10" s="267">
        <v>124821.82499999998</v>
      </c>
      <c r="D10" s="267">
        <v>266867</v>
      </c>
      <c r="E10" s="267">
        <v>286939</v>
      </c>
    </row>
    <row r="11" spans="2:5" ht="12.75">
      <c r="B11" s="269" t="s">
        <v>223</v>
      </c>
      <c r="C11" s="270">
        <f>SUM(C7:C10)</f>
        <v>3453403.825</v>
      </c>
      <c r="D11" s="270">
        <f>SUM(D7:D10)</f>
        <v>3075992</v>
      </c>
      <c r="E11" s="270">
        <f>SUM(E7:E10)</f>
        <v>3307347</v>
      </c>
    </row>
    <row r="12" spans="2:5" ht="16.5" customHeight="1">
      <c r="B12" s="265" t="s">
        <v>242</v>
      </c>
      <c r="C12" s="292">
        <f>+AVERAGE('precio mayorista3'!F14:F35)/50</f>
        <v>228.58898873015872</v>
      </c>
      <c r="D12" s="292">
        <f>+AVERAGE('precio mayorista3'!H14:H35)/50</f>
        <v>216.01943416666668</v>
      </c>
      <c r="E12" s="292">
        <f>+AVERAGE('precio mayorista3'!I14:J35)/50</f>
        <v>221.87523870967752</v>
      </c>
    </row>
    <row r="13" spans="2:5" ht="12.75">
      <c r="B13" s="271" t="s">
        <v>224</v>
      </c>
      <c r="C13" s="270">
        <f>C12*C6*1000</f>
        <v>5943313.706984127</v>
      </c>
      <c r="D13" s="270">
        <f>D12*D6*1000</f>
        <v>6480583.025</v>
      </c>
      <c r="E13" s="270">
        <f>E12*E6*1000</f>
        <v>6656257.161290326</v>
      </c>
    </row>
    <row r="14" spans="2:5" ht="12.75">
      <c r="B14" s="271" t="s">
        <v>225</v>
      </c>
      <c r="C14" s="272">
        <f>C13-C11</f>
        <v>2489909.8819841268</v>
      </c>
      <c r="D14" s="272">
        <f>D13-D11</f>
        <v>3404591.0250000004</v>
      </c>
      <c r="E14" s="272">
        <f>E13-E11</f>
        <v>3348910.161290326</v>
      </c>
    </row>
    <row r="15" spans="2:5" ht="12.75">
      <c r="B15" s="273"/>
      <c r="C15" s="274"/>
      <c r="D15" s="274"/>
      <c r="E15" s="274"/>
    </row>
    <row r="16" spans="2:5" ht="26.25" customHeight="1">
      <c r="B16" s="352" t="s">
        <v>238</v>
      </c>
      <c r="C16" s="352"/>
      <c r="D16" s="352"/>
      <c r="E16" s="352"/>
    </row>
    <row r="17" spans="2:5" ht="14.25">
      <c r="B17" s="355" t="s">
        <v>226</v>
      </c>
      <c r="C17" s="357" t="s">
        <v>239</v>
      </c>
      <c r="D17" s="358"/>
      <c r="E17" s="359"/>
    </row>
    <row r="18" spans="2:5" ht="12.75">
      <c r="B18" s="356"/>
      <c r="C18" s="275">
        <v>190</v>
      </c>
      <c r="D18" s="275">
        <v>230</v>
      </c>
      <c r="E18" s="275">
        <v>250</v>
      </c>
    </row>
    <row r="19" spans="2:5" ht="12.75">
      <c r="B19" s="276">
        <v>23000</v>
      </c>
      <c r="C19" s="282">
        <f aca="true" t="shared" si="0" ref="C19:E21">+$B19*C$18-$C$11</f>
        <v>916596.1749999998</v>
      </c>
      <c r="D19" s="282">
        <f t="shared" si="0"/>
        <v>1836596.1749999998</v>
      </c>
      <c r="E19" s="282">
        <f t="shared" si="0"/>
        <v>2296596.175</v>
      </c>
    </row>
    <row r="20" spans="2:5" ht="12.75">
      <c r="B20" s="276">
        <f>+C6*1000</f>
        <v>26000</v>
      </c>
      <c r="C20" s="282">
        <f t="shared" si="0"/>
        <v>1486596.1749999998</v>
      </c>
      <c r="D20" s="282">
        <f t="shared" si="0"/>
        <v>2526596.175</v>
      </c>
      <c r="E20" s="282">
        <f t="shared" si="0"/>
        <v>3046596.175</v>
      </c>
    </row>
    <row r="21" spans="2:5" ht="12.75">
      <c r="B21" s="276">
        <v>28000</v>
      </c>
      <c r="C21" s="282">
        <f t="shared" si="0"/>
        <v>1866596.1749999998</v>
      </c>
      <c r="D21" s="282">
        <f t="shared" si="0"/>
        <v>2986596.175</v>
      </c>
      <c r="E21" s="282">
        <f t="shared" si="0"/>
        <v>3546596.175</v>
      </c>
    </row>
    <row r="22" spans="2:5" ht="12.75">
      <c r="B22" s="279"/>
      <c r="C22" s="280"/>
      <c r="D22" s="280"/>
      <c r="E22" s="280"/>
    </row>
    <row r="23" spans="2:5" ht="15" customHeight="1">
      <c r="B23" s="352" t="s">
        <v>245</v>
      </c>
      <c r="C23" s="352"/>
      <c r="D23" s="352"/>
      <c r="E23" s="352"/>
    </row>
    <row r="24" spans="2:5" ht="12.75">
      <c r="B24" s="283" t="s">
        <v>241</v>
      </c>
      <c r="C24" s="281">
        <f>+B19</f>
        <v>23000</v>
      </c>
      <c r="D24" s="281">
        <f>+B20</f>
        <v>26000</v>
      </c>
      <c r="E24" s="281">
        <f>+B21</f>
        <v>28000</v>
      </c>
    </row>
    <row r="25" spans="2:5" ht="12.75">
      <c r="B25" s="283" t="s">
        <v>244</v>
      </c>
      <c r="C25" s="282">
        <f>+$C11/C24</f>
        <v>150.14799239130434</v>
      </c>
      <c r="D25" s="282">
        <f>+$C11/D24</f>
        <v>132.82322403846155</v>
      </c>
      <c r="E25" s="282">
        <f>+$C11/E24</f>
        <v>123.33585089285715</v>
      </c>
    </row>
    <row r="26" spans="2:5" ht="12.75">
      <c r="B26" s="277" t="s">
        <v>240</v>
      </c>
      <c r="C26" s="277"/>
      <c r="D26" s="277"/>
      <c r="E26" s="277"/>
    </row>
    <row r="27" spans="2:5" ht="12.75">
      <c r="B27" s="278" t="s">
        <v>227</v>
      </c>
      <c r="C27" s="278"/>
      <c r="D27" s="278"/>
      <c r="E27" s="278"/>
    </row>
    <row r="28" spans="2:5" ht="12.75">
      <c r="B28" s="351" t="s">
        <v>251</v>
      </c>
      <c r="C28" s="351"/>
      <c r="D28" s="351"/>
      <c r="E28" s="351"/>
    </row>
    <row r="29" spans="2:5" ht="12.75">
      <c r="B29" s="351" t="s">
        <v>228</v>
      </c>
      <c r="C29" s="351"/>
      <c r="D29" s="351"/>
      <c r="E29" s="351"/>
    </row>
    <row r="30" spans="2:5" ht="12.75">
      <c r="B30" s="351" t="s">
        <v>252</v>
      </c>
      <c r="C30" s="351"/>
      <c r="D30" s="351"/>
      <c r="E30" s="351"/>
    </row>
    <row r="31" spans="2:5" ht="12.75">
      <c r="B31" s="351" t="s">
        <v>253</v>
      </c>
      <c r="C31" s="351"/>
      <c r="D31" s="351"/>
      <c r="E31" s="351"/>
    </row>
    <row r="32" spans="2:5" ht="12.75">
      <c r="B32" s="351" t="s">
        <v>229</v>
      </c>
      <c r="C32" s="351"/>
      <c r="D32" s="351"/>
      <c r="E32" s="351"/>
    </row>
    <row r="33" spans="2:5" ht="12.75">
      <c r="B33" s="351" t="s">
        <v>243</v>
      </c>
      <c r="C33" s="351"/>
      <c r="D33" s="351"/>
      <c r="E33" s="351"/>
    </row>
  </sheetData>
  <sheetProtection/>
  <mergeCells count="12">
    <mergeCell ref="B2:E2"/>
    <mergeCell ref="B3:E3"/>
    <mergeCell ref="B16:E16"/>
    <mergeCell ref="B17:B18"/>
    <mergeCell ref="C17:E17"/>
    <mergeCell ref="B33:E33"/>
    <mergeCell ref="B28:E28"/>
    <mergeCell ref="B29:E29"/>
    <mergeCell ref="B30:E30"/>
    <mergeCell ref="B32:E32"/>
    <mergeCell ref="B23:E23"/>
    <mergeCell ref="B31:E31"/>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62" r:id="rId1"/>
</worksheet>
</file>

<file path=xl/worksheets/sheet16.xml><?xml version="1.0" encoding="utf-8"?>
<worksheet xmlns="http://schemas.openxmlformats.org/spreadsheetml/2006/main" xmlns:r="http://schemas.openxmlformats.org/officeDocument/2006/relationships">
  <sheetPr>
    <pageSetUpPr fitToPage="1"/>
  </sheetPr>
  <dimension ref="B2:S36"/>
  <sheetViews>
    <sheetView zoomScale="80" zoomScaleNormal="80" zoomScalePageLayoutView="70" workbookViewId="0" topLeftCell="A1">
      <selection activeCell="A1" sqref="A1"/>
    </sheetView>
  </sheetViews>
  <sheetFormatPr defaultColWidth="10.8515625" defaultRowHeight="15"/>
  <cols>
    <col min="1" max="1" width="1.421875" style="39" customWidth="1"/>
    <col min="2" max="2" width="15.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13.57421875" style="197" customWidth="1"/>
    <col min="15" max="18" width="10.8515625" style="228" hidden="1" customWidth="1"/>
    <col min="19" max="19" width="10.8515625" style="197" customWidth="1"/>
    <col min="20" max="16384" width="10.8515625" style="39" customWidth="1"/>
  </cols>
  <sheetData>
    <row r="1" ht="5.25" customHeight="1"/>
    <row r="2" spans="2:13" ht="12.75">
      <c r="B2" s="366" t="s">
        <v>230</v>
      </c>
      <c r="C2" s="367"/>
      <c r="D2" s="367"/>
      <c r="E2" s="367"/>
      <c r="F2" s="367"/>
      <c r="G2" s="367"/>
      <c r="H2" s="367"/>
      <c r="I2" s="367"/>
      <c r="J2" s="367"/>
      <c r="K2" s="368"/>
      <c r="L2" s="135"/>
      <c r="M2" s="52" t="s">
        <v>153</v>
      </c>
    </row>
    <row r="3" spans="2:12" ht="12.75">
      <c r="B3" s="372" t="s">
        <v>71</v>
      </c>
      <c r="C3" s="373" t="s">
        <v>72</v>
      </c>
      <c r="D3" s="369" t="s">
        <v>73</v>
      </c>
      <c r="E3" s="370"/>
      <c r="F3" s="370"/>
      <c r="G3" s="371"/>
      <c r="H3" s="369" t="s">
        <v>74</v>
      </c>
      <c r="I3" s="370"/>
      <c r="J3" s="370"/>
      <c r="K3" s="371"/>
      <c r="L3" s="135"/>
    </row>
    <row r="4" spans="2:18" ht="27.75" customHeight="1">
      <c r="B4" s="372"/>
      <c r="C4" s="373"/>
      <c r="D4" s="40" t="s">
        <v>198</v>
      </c>
      <c r="E4" s="41" t="s">
        <v>260</v>
      </c>
      <c r="F4" s="41" t="s">
        <v>261</v>
      </c>
      <c r="G4" s="42" t="s">
        <v>44</v>
      </c>
      <c r="H4" s="40" t="str">
        <f>+D4</f>
        <v>2015</v>
      </c>
      <c r="I4" s="43" t="str">
        <f>+E4</f>
        <v>ene-jun 2015</v>
      </c>
      <c r="J4" s="43" t="str">
        <f>+F4</f>
        <v>ene-jun 2016</v>
      </c>
      <c r="K4" s="44" t="s">
        <v>44</v>
      </c>
      <c r="L4" s="136"/>
      <c r="M4" s="48"/>
      <c r="O4" s="243" t="s">
        <v>199</v>
      </c>
      <c r="P4" s="243" t="s">
        <v>193</v>
      </c>
      <c r="Q4" s="243" t="s">
        <v>207</v>
      </c>
      <c r="R4" s="243" t="s">
        <v>208</v>
      </c>
    </row>
    <row r="5" spans="2:19" ht="12.75" customHeight="1">
      <c r="B5" s="360" t="s">
        <v>91</v>
      </c>
      <c r="C5" s="77" t="s">
        <v>79</v>
      </c>
      <c r="D5" s="45">
        <v>384050.24</v>
      </c>
      <c r="E5" s="46">
        <v>112625.52</v>
      </c>
      <c r="F5" s="46">
        <v>349358.24</v>
      </c>
      <c r="G5" s="47">
        <v>210.1945633636142</v>
      </c>
      <c r="H5" s="45">
        <v>2511736.37</v>
      </c>
      <c r="I5" s="46">
        <v>725904.63</v>
      </c>
      <c r="J5" s="46">
        <v>2118784.74</v>
      </c>
      <c r="K5" s="47">
        <v>191.88197077624372</v>
      </c>
      <c r="L5" s="137"/>
      <c r="O5" s="230">
        <f>+F5-E5</f>
        <v>236732.71999999997</v>
      </c>
      <c r="P5" s="230">
        <f>+J5-I5</f>
        <v>1392880.1100000003</v>
      </c>
      <c r="Q5" s="244">
        <f>+IF(E5=0,"",I5/E5)</f>
        <v>6.445294370227991</v>
      </c>
      <c r="R5" s="244">
        <f>+IF(F5=0,"",J5/F5)</f>
        <v>6.06479108665077</v>
      </c>
      <c r="S5" s="226"/>
    </row>
    <row r="6" spans="2:19" ht="12.75">
      <c r="B6" s="361"/>
      <c r="C6" s="107" t="s">
        <v>92</v>
      </c>
      <c r="D6" s="49">
        <v>217167.83</v>
      </c>
      <c r="E6" s="50">
        <v>124707.52</v>
      </c>
      <c r="F6" s="50">
        <v>62618.19</v>
      </c>
      <c r="G6" s="51">
        <v>-49.78795985999882</v>
      </c>
      <c r="H6" s="49">
        <v>850841.11</v>
      </c>
      <c r="I6" s="50">
        <v>512149.6</v>
      </c>
      <c r="J6" s="50">
        <v>230402.33</v>
      </c>
      <c r="K6" s="51">
        <v>-55.01268965161742</v>
      </c>
      <c r="L6" s="137"/>
      <c r="O6" s="230">
        <f aca="true" t="shared" si="0" ref="O6:O35">+F6-E6</f>
        <v>-62089.33</v>
      </c>
      <c r="P6" s="230">
        <f aca="true" t="shared" si="1" ref="P6:P35">+J6-I6</f>
        <v>-281747.27</v>
      </c>
      <c r="Q6" s="244">
        <f aca="true" t="shared" si="2" ref="Q6:Q35">+IF(E6=0,"",I6/E6)</f>
        <v>4.106806069112753</v>
      </c>
      <c r="R6" s="244">
        <f aca="true" t="shared" si="3" ref="R6:R35">+IF(F6=0,"",J6/F6)</f>
        <v>3.6794792375825613</v>
      </c>
      <c r="S6" s="226"/>
    </row>
    <row r="7" spans="2:19" ht="12.75" customHeight="1">
      <c r="B7" s="361"/>
      <c r="C7" s="107" t="s">
        <v>90</v>
      </c>
      <c r="D7" s="49">
        <v>18144.63</v>
      </c>
      <c r="E7" s="50">
        <v>7001.99</v>
      </c>
      <c r="F7" s="50">
        <v>10025.4</v>
      </c>
      <c r="G7" s="51">
        <v>43.179296171516945</v>
      </c>
      <c r="H7" s="49">
        <v>105131.04</v>
      </c>
      <c r="I7" s="50">
        <v>39813.3</v>
      </c>
      <c r="J7" s="50">
        <v>68968.25</v>
      </c>
      <c r="K7" s="51">
        <v>73.22917216106175</v>
      </c>
      <c r="L7" s="137"/>
      <c r="O7" s="230">
        <f t="shared" si="0"/>
        <v>3023.41</v>
      </c>
      <c r="P7" s="230">
        <f t="shared" si="1"/>
        <v>29154.949999999997</v>
      </c>
      <c r="Q7" s="244">
        <f t="shared" si="2"/>
        <v>5.685997837757553</v>
      </c>
      <c r="R7" s="244">
        <f t="shared" si="3"/>
        <v>6.879351447323798</v>
      </c>
      <c r="S7" s="226"/>
    </row>
    <row r="8" spans="2:19" ht="12.75" customHeight="1">
      <c r="B8" s="361"/>
      <c r="C8" s="107" t="s">
        <v>77</v>
      </c>
      <c r="D8" s="49">
        <v>7991.14</v>
      </c>
      <c r="E8" s="50">
        <v>2587.9</v>
      </c>
      <c r="F8" s="50">
        <v>7187.6</v>
      </c>
      <c r="G8" s="51">
        <v>177.7387070597782</v>
      </c>
      <c r="H8" s="49">
        <v>50755.05</v>
      </c>
      <c r="I8" s="50">
        <v>9589.1</v>
      </c>
      <c r="J8" s="50">
        <v>59645.77</v>
      </c>
      <c r="K8" s="51">
        <v>522.0163518995525</v>
      </c>
      <c r="L8" s="137"/>
      <c r="O8" s="230">
        <f t="shared" si="0"/>
        <v>4599.700000000001</v>
      </c>
      <c r="P8" s="230">
        <f t="shared" si="1"/>
        <v>50056.67</v>
      </c>
      <c r="Q8" s="244">
        <f t="shared" si="2"/>
        <v>3.7053595579427334</v>
      </c>
      <c r="R8" s="244">
        <f t="shared" si="3"/>
        <v>8.298426456675385</v>
      </c>
      <c r="S8" s="226"/>
    </row>
    <row r="9" spans="2:19" ht="12.75">
      <c r="B9" s="361"/>
      <c r="C9" s="107" t="s">
        <v>87</v>
      </c>
      <c r="D9" s="49">
        <v>3841.6</v>
      </c>
      <c r="E9" s="50">
        <v>2597</v>
      </c>
      <c r="F9" s="50">
        <v>121.52</v>
      </c>
      <c r="G9" s="51">
        <v>-95.32075471698114</v>
      </c>
      <c r="H9" s="49">
        <v>26718.37</v>
      </c>
      <c r="I9" s="50">
        <v>18066.84</v>
      </c>
      <c r="J9" s="50">
        <v>851.16</v>
      </c>
      <c r="K9" s="51">
        <v>-95.28882748726396</v>
      </c>
      <c r="L9" s="137"/>
      <c r="O9" s="230">
        <f t="shared" si="0"/>
        <v>-2475.48</v>
      </c>
      <c r="P9" s="230">
        <f t="shared" si="1"/>
        <v>-17215.68</v>
      </c>
      <c r="Q9" s="244">
        <f t="shared" si="2"/>
        <v>6.956811705814402</v>
      </c>
      <c r="R9" s="244">
        <f t="shared" si="3"/>
        <v>7.004279131007242</v>
      </c>
      <c r="S9" s="226"/>
    </row>
    <row r="10" spans="2:19" ht="12.75">
      <c r="B10" s="361"/>
      <c r="C10" s="107" t="s">
        <v>95</v>
      </c>
      <c r="D10" s="49">
        <v>826.4</v>
      </c>
      <c r="E10" s="50">
        <v>0</v>
      </c>
      <c r="F10" s="50">
        <v>0</v>
      </c>
      <c r="G10" s="51" t="s">
        <v>259</v>
      </c>
      <c r="H10" s="49">
        <v>4804.8</v>
      </c>
      <c r="I10" s="50">
        <v>0</v>
      </c>
      <c r="J10" s="50">
        <v>0</v>
      </c>
      <c r="K10" s="51" t="s">
        <v>259</v>
      </c>
      <c r="L10" s="137"/>
      <c r="O10" s="230">
        <f t="shared" si="0"/>
        <v>0</v>
      </c>
      <c r="P10" s="230">
        <f t="shared" si="1"/>
        <v>0</v>
      </c>
      <c r="Q10" s="244">
        <f t="shared" si="2"/>
      </c>
      <c r="R10" s="244">
        <f t="shared" si="3"/>
      </c>
      <c r="S10" s="226"/>
    </row>
    <row r="11" spans="2:19" ht="12.75">
      <c r="B11" s="361"/>
      <c r="C11" s="107" t="s">
        <v>186</v>
      </c>
      <c r="D11" s="49">
        <v>509.6</v>
      </c>
      <c r="E11" s="50">
        <v>0</v>
      </c>
      <c r="F11" s="50">
        <v>98</v>
      </c>
      <c r="G11" s="51" t="s">
        <v>259</v>
      </c>
      <c r="H11" s="49">
        <v>3562</v>
      </c>
      <c r="I11" s="50">
        <v>0</v>
      </c>
      <c r="J11" s="50">
        <v>687</v>
      </c>
      <c r="K11" s="51" t="s">
        <v>259</v>
      </c>
      <c r="L11" s="137"/>
      <c r="O11" s="230">
        <f t="shared" si="0"/>
        <v>98</v>
      </c>
      <c r="P11" s="230">
        <f t="shared" si="1"/>
        <v>687</v>
      </c>
      <c r="Q11" s="244">
        <f t="shared" si="2"/>
      </c>
      <c r="R11" s="244">
        <f t="shared" si="3"/>
        <v>7.010204081632653</v>
      </c>
      <c r="S11" s="226"/>
    </row>
    <row r="12" spans="2:19" ht="12.75">
      <c r="B12" s="361"/>
      <c r="C12" s="107" t="s">
        <v>121</v>
      </c>
      <c r="D12" s="49">
        <v>104.2</v>
      </c>
      <c r="E12" s="50">
        <v>2.9</v>
      </c>
      <c r="F12" s="50">
        <v>205.6</v>
      </c>
      <c r="G12" s="51">
        <v>6989.6551724137935</v>
      </c>
      <c r="H12" s="49">
        <v>1514.68</v>
      </c>
      <c r="I12" s="50">
        <v>48.72</v>
      </c>
      <c r="J12" s="50">
        <v>2159.7</v>
      </c>
      <c r="K12" s="51">
        <v>4332.8817733990145</v>
      </c>
      <c r="L12" s="137"/>
      <c r="O12" s="230">
        <f t="shared" si="0"/>
        <v>202.7</v>
      </c>
      <c r="P12" s="230">
        <f t="shared" si="1"/>
        <v>2110.98</v>
      </c>
      <c r="Q12" s="244">
        <f t="shared" si="2"/>
        <v>16.8</v>
      </c>
      <c r="R12" s="244">
        <f t="shared" si="3"/>
        <v>10.504377431906613</v>
      </c>
      <c r="S12" s="226"/>
    </row>
    <row r="13" spans="2:19" ht="12.75">
      <c r="B13" s="361"/>
      <c r="C13" s="107" t="s">
        <v>182</v>
      </c>
      <c r="D13" s="49">
        <v>25.56</v>
      </c>
      <c r="E13" s="50">
        <v>25.56</v>
      </c>
      <c r="F13" s="50">
        <v>0</v>
      </c>
      <c r="G13" s="51">
        <v>-100</v>
      </c>
      <c r="H13" s="49">
        <v>648</v>
      </c>
      <c r="I13" s="50">
        <v>648</v>
      </c>
      <c r="J13" s="50">
        <v>0</v>
      </c>
      <c r="K13" s="51">
        <v>-100</v>
      </c>
      <c r="L13" s="138"/>
      <c r="O13" s="230">
        <f t="shared" si="0"/>
        <v>-25.56</v>
      </c>
      <c r="P13" s="230">
        <f t="shared" si="1"/>
        <v>-648</v>
      </c>
      <c r="Q13" s="244">
        <f t="shared" si="2"/>
        <v>25.35211267605634</v>
      </c>
      <c r="R13" s="244">
        <f t="shared" si="3"/>
      </c>
      <c r="S13" s="226"/>
    </row>
    <row r="14" spans="2:19" ht="12.75" customHeight="1">
      <c r="B14" s="361"/>
      <c r="C14" s="107" t="s">
        <v>103</v>
      </c>
      <c r="D14" s="49">
        <v>20</v>
      </c>
      <c r="E14" s="50">
        <v>20</v>
      </c>
      <c r="F14" s="50">
        <v>0</v>
      </c>
      <c r="G14" s="51">
        <v>-100</v>
      </c>
      <c r="H14" s="49">
        <v>100</v>
      </c>
      <c r="I14" s="50">
        <v>100</v>
      </c>
      <c r="J14" s="50">
        <v>0</v>
      </c>
      <c r="K14" s="51">
        <v>-100</v>
      </c>
      <c r="L14" s="137"/>
      <c r="O14" s="230">
        <f t="shared" si="0"/>
        <v>-20</v>
      </c>
      <c r="P14" s="230">
        <f t="shared" si="1"/>
        <v>-100</v>
      </c>
      <c r="Q14" s="244">
        <f t="shared" si="2"/>
        <v>5</v>
      </c>
      <c r="R14" s="244">
        <f t="shared" si="3"/>
      </c>
      <c r="S14" s="226"/>
    </row>
    <row r="15" spans="2:19" ht="12.75">
      <c r="B15" s="154" t="s">
        <v>114</v>
      </c>
      <c r="C15" s="155"/>
      <c r="D15" s="72">
        <v>632681.2000000001</v>
      </c>
      <c r="E15" s="73">
        <v>249568.39</v>
      </c>
      <c r="F15" s="73">
        <v>429614.55</v>
      </c>
      <c r="G15" s="74">
        <v>72.14301458610201</v>
      </c>
      <c r="H15" s="73">
        <v>3555811.42</v>
      </c>
      <c r="I15" s="73">
        <v>1306320.19</v>
      </c>
      <c r="J15" s="73">
        <v>2481498.9500000007</v>
      </c>
      <c r="K15" s="74">
        <v>89.96100412411148</v>
      </c>
      <c r="L15" s="138"/>
      <c r="O15" s="230">
        <f t="shared" si="0"/>
        <v>180046.15999999997</v>
      </c>
      <c r="P15" s="230">
        <f t="shared" si="1"/>
        <v>1175178.7600000007</v>
      </c>
      <c r="Q15" s="244">
        <f t="shared" si="2"/>
        <v>5.234317495096233</v>
      </c>
      <c r="R15" s="244">
        <f t="shared" si="3"/>
        <v>5.77610546477069</v>
      </c>
      <c r="S15" s="226"/>
    </row>
    <row r="16" spans="2:19" ht="12.75" customHeight="1">
      <c r="B16" s="360" t="s">
        <v>132</v>
      </c>
      <c r="C16" s="75" t="s">
        <v>76</v>
      </c>
      <c r="D16" s="45">
        <v>550000</v>
      </c>
      <c r="E16" s="46">
        <v>25000</v>
      </c>
      <c r="F16" s="46">
        <v>75000</v>
      </c>
      <c r="G16" s="47">
        <v>200</v>
      </c>
      <c r="H16" s="46">
        <v>560050</v>
      </c>
      <c r="I16" s="46">
        <v>25000</v>
      </c>
      <c r="J16" s="46">
        <v>75000</v>
      </c>
      <c r="K16" s="47">
        <v>200</v>
      </c>
      <c r="L16" s="137"/>
      <c r="O16" s="230">
        <f t="shared" si="0"/>
        <v>50000</v>
      </c>
      <c r="P16" s="230">
        <f t="shared" si="1"/>
        <v>50000</v>
      </c>
      <c r="Q16" s="244">
        <f t="shared" si="2"/>
        <v>1</v>
      </c>
      <c r="R16" s="244">
        <f t="shared" si="3"/>
        <v>1</v>
      </c>
      <c r="S16" s="226"/>
    </row>
    <row r="17" spans="2:19" ht="12.75">
      <c r="B17" s="361"/>
      <c r="C17" s="76" t="s">
        <v>82</v>
      </c>
      <c r="D17" s="49">
        <v>192000</v>
      </c>
      <c r="E17" s="50">
        <v>192000</v>
      </c>
      <c r="F17" s="50">
        <v>240000</v>
      </c>
      <c r="G17" s="51">
        <v>25</v>
      </c>
      <c r="H17" s="50">
        <v>220800</v>
      </c>
      <c r="I17" s="50">
        <v>220800</v>
      </c>
      <c r="J17" s="50">
        <v>268800</v>
      </c>
      <c r="K17" s="51">
        <v>21.739130434782616</v>
      </c>
      <c r="L17" s="137"/>
      <c r="O17" s="230">
        <f t="shared" si="0"/>
        <v>48000</v>
      </c>
      <c r="P17" s="230">
        <f t="shared" si="1"/>
        <v>48000</v>
      </c>
      <c r="Q17" s="244">
        <f t="shared" si="2"/>
        <v>1.15</v>
      </c>
      <c r="R17" s="244">
        <f t="shared" si="3"/>
        <v>1.12</v>
      </c>
      <c r="S17" s="226"/>
    </row>
    <row r="18" spans="2:19" ht="12.75">
      <c r="B18" s="154" t="s">
        <v>133</v>
      </c>
      <c r="C18" s="155"/>
      <c r="D18" s="72">
        <v>742000</v>
      </c>
      <c r="E18" s="73">
        <v>217000</v>
      </c>
      <c r="F18" s="73">
        <v>315000</v>
      </c>
      <c r="G18" s="47">
        <v>45.16129032258065</v>
      </c>
      <c r="H18" s="73">
        <v>780850</v>
      </c>
      <c r="I18" s="73">
        <v>245800</v>
      </c>
      <c r="J18" s="73">
        <v>343800</v>
      </c>
      <c r="K18" s="47">
        <v>39.86981285598048</v>
      </c>
      <c r="L18" s="137"/>
      <c r="O18" s="230">
        <f t="shared" si="0"/>
        <v>98000</v>
      </c>
      <c r="P18" s="230">
        <f t="shared" si="1"/>
        <v>98000</v>
      </c>
      <c r="Q18" s="244">
        <f t="shared" si="2"/>
        <v>1.1327188940092165</v>
      </c>
      <c r="R18" s="244">
        <f t="shared" si="3"/>
        <v>1.0914285714285714</v>
      </c>
      <c r="S18" s="226"/>
    </row>
    <row r="19" spans="2:19" ht="12.75">
      <c r="B19" s="360" t="s">
        <v>86</v>
      </c>
      <c r="C19" s="75" t="s">
        <v>92</v>
      </c>
      <c r="D19" s="45">
        <v>222000</v>
      </c>
      <c r="E19" s="46">
        <v>197375</v>
      </c>
      <c r="F19" s="46">
        <v>0</v>
      </c>
      <c r="G19" s="47">
        <v>-100</v>
      </c>
      <c r="H19" s="46">
        <v>148108.2</v>
      </c>
      <c r="I19" s="46">
        <v>132348.2</v>
      </c>
      <c r="J19" s="46">
        <v>0</v>
      </c>
      <c r="K19" s="47">
        <v>-100</v>
      </c>
      <c r="L19" s="137"/>
      <c r="O19" s="230">
        <f t="shared" si="0"/>
        <v>-197375</v>
      </c>
      <c r="P19" s="230">
        <f t="shared" si="1"/>
        <v>-132348.2</v>
      </c>
      <c r="Q19" s="244">
        <f t="shared" si="2"/>
        <v>0.6705418619379354</v>
      </c>
      <c r="R19" s="244">
        <f t="shared" si="3"/>
      </c>
      <c r="S19" s="226"/>
    </row>
    <row r="20" spans="2:19" ht="12.75">
      <c r="B20" s="361"/>
      <c r="C20" s="76" t="s">
        <v>121</v>
      </c>
      <c r="D20" s="49">
        <v>600</v>
      </c>
      <c r="E20" s="50">
        <v>600</v>
      </c>
      <c r="F20" s="50">
        <v>300</v>
      </c>
      <c r="G20" s="51">
        <v>-50</v>
      </c>
      <c r="H20" s="50">
        <v>1092</v>
      </c>
      <c r="I20" s="50">
        <v>1092</v>
      </c>
      <c r="J20" s="50">
        <v>297</v>
      </c>
      <c r="K20" s="51">
        <v>-72.80219780219781</v>
      </c>
      <c r="L20" s="137"/>
      <c r="O20" s="230">
        <f t="shared" si="0"/>
        <v>-300</v>
      </c>
      <c r="P20" s="230">
        <f t="shared" si="1"/>
        <v>-795</v>
      </c>
      <c r="Q20" s="244">
        <f t="shared" si="2"/>
        <v>1.82</v>
      </c>
      <c r="R20" s="244">
        <f t="shared" si="3"/>
        <v>0.99</v>
      </c>
      <c r="S20" s="226"/>
    </row>
    <row r="21" spans="2:19" ht="12.75">
      <c r="B21" s="361"/>
      <c r="C21" s="76" t="s">
        <v>79</v>
      </c>
      <c r="D21" s="49">
        <v>0</v>
      </c>
      <c r="E21" s="50">
        <v>0</v>
      </c>
      <c r="F21" s="50">
        <v>168000</v>
      </c>
      <c r="G21" s="51" t="s">
        <v>259</v>
      </c>
      <c r="H21" s="50">
        <v>0</v>
      </c>
      <c r="I21" s="50">
        <v>0</v>
      </c>
      <c r="J21" s="50">
        <v>42000</v>
      </c>
      <c r="K21" s="51" t="s">
        <v>259</v>
      </c>
      <c r="L21" s="138"/>
      <c r="O21" s="230">
        <f t="shared" si="0"/>
        <v>168000</v>
      </c>
      <c r="P21" s="230">
        <f t="shared" si="1"/>
        <v>42000</v>
      </c>
      <c r="Q21" s="244">
        <f t="shared" si="2"/>
      </c>
      <c r="R21" s="244">
        <f t="shared" si="3"/>
        <v>0.25</v>
      </c>
      <c r="S21" s="226"/>
    </row>
    <row r="22" spans="2:19" ht="12.75" customHeight="1">
      <c r="B22" s="365"/>
      <c r="C22" s="76" t="s">
        <v>76</v>
      </c>
      <c r="D22" s="49">
        <v>0</v>
      </c>
      <c r="E22" s="50">
        <v>0</v>
      </c>
      <c r="F22" s="50">
        <v>1888850</v>
      </c>
      <c r="G22" s="51" t="s">
        <v>259</v>
      </c>
      <c r="H22" s="50">
        <v>0</v>
      </c>
      <c r="I22" s="50">
        <v>0</v>
      </c>
      <c r="J22" s="50">
        <v>795674</v>
      </c>
      <c r="K22" s="51" t="s">
        <v>259</v>
      </c>
      <c r="L22" s="137"/>
      <c r="O22" s="230">
        <f t="shared" si="0"/>
        <v>1888850</v>
      </c>
      <c r="P22" s="230">
        <f t="shared" si="1"/>
        <v>795674</v>
      </c>
      <c r="Q22" s="244">
        <f t="shared" si="2"/>
      </c>
      <c r="R22" s="244">
        <f t="shared" si="3"/>
        <v>0.42124784922042513</v>
      </c>
      <c r="S22" s="226"/>
    </row>
    <row r="23" spans="2:19" ht="12.75">
      <c r="B23" s="154" t="s">
        <v>118</v>
      </c>
      <c r="C23" s="155"/>
      <c r="D23" s="72">
        <v>222600</v>
      </c>
      <c r="E23" s="73">
        <v>197975</v>
      </c>
      <c r="F23" s="110">
        <v>2057150</v>
      </c>
      <c r="G23" s="74">
        <v>939.0958454350298</v>
      </c>
      <c r="H23" s="73">
        <v>149200.2</v>
      </c>
      <c r="I23" s="73">
        <v>133440.2</v>
      </c>
      <c r="J23" s="73">
        <v>837971</v>
      </c>
      <c r="K23" s="74">
        <v>527.9749280951318</v>
      </c>
      <c r="L23" s="137"/>
      <c r="O23" s="230">
        <f t="shared" si="0"/>
        <v>1859175</v>
      </c>
      <c r="P23" s="230">
        <f t="shared" si="1"/>
        <v>704530.8</v>
      </c>
      <c r="Q23" s="244">
        <f t="shared" si="2"/>
        <v>0.6740255082712464</v>
      </c>
      <c r="R23" s="244">
        <f t="shared" si="3"/>
        <v>0.4073455994944462</v>
      </c>
      <c r="S23" s="226"/>
    </row>
    <row r="24" spans="2:19" ht="12.75" customHeight="1">
      <c r="B24" s="360" t="s">
        <v>75</v>
      </c>
      <c r="C24" s="75" t="s">
        <v>80</v>
      </c>
      <c r="D24" s="45">
        <v>24815.5</v>
      </c>
      <c r="E24" s="46">
        <v>11009</v>
      </c>
      <c r="F24" s="46">
        <v>12355</v>
      </c>
      <c r="G24" s="47">
        <v>12.22636025070396</v>
      </c>
      <c r="H24" s="46">
        <v>59166.14</v>
      </c>
      <c r="I24" s="46">
        <v>26599.05</v>
      </c>
      <c r="J24" s="46">
        <v>24621</v>
      </c>
      <c r="K24" s="47">
        <v>-7.436543786338234</v>
      </c>
      <c r="L24" s="137"/>
      <c r="O24" s="230">
        <f t="shared" si="0"/>
        <v>1346</v>
      </c>
      <c r="P24" s="230">
        <f t="shared" si="1"/>
        <v>-1978.0499999999993</v>
      </c>
      <c r="Q24" s="244">
        <f t="shared" si="2"/>
        <v>2.416118630211645</v>
      </c>
      <c r="R24" s="244">
        <f t="shared" si="3"/>
        <v>1.99279643868879</v>
      </c>
      <c r="S24" s="226"/>
    </row>
    <row r="25" spans="2:19" ht="12.75" customHeight="1">
      <c r="B25" s="361"/>
      <c r="C25" s="76" t="s">
        <v>78</v>
      </c>
      <c r="D25" s="49">
        <v>1200</v>
      </c>
      <c r="E25" s="50">
        <v>1200</v>
      </c>
      <c r="F25" s="50">
        <v>0</v>
      </c>
      <c r="G25" s="51">
        <v>-100</v>
      </c>
      <c r="H25" s="50">
        <v>3526.82</v>
      </c>
      <c r="I25" s="50">
        <v>3526.82</v>
      </c>
      <c r="J25" s="50">
        <v>0</v>
      </c>
      <c r="K25" s="51">
        <v>-100</v>
      </c>
      <c r="L25" s="137"/>
      <c r="O25" s="230">
        <f t="shared" si="0"/>
        <v>-1200</v>
      </c>
      <c r="P25" s="230">
        <f t="shared" si="1"/>
        <v>-3526.82</v>
      </c>
      <c r="Q25" s="244">
        <f t="shared" si="2"/>
        <v>2.939016666666667</v>
      </c>
      <c r="R25" s="244">
        <f t="shared" si="3"/>
      </c>
      <c r="S25" s="226"/>
    </row>
    <row r="26" spans="2:19" ht="12.75">
      <c r="B26" s="361"/>
      <c r="C26" s="76" t="s">
        <v>77</v>
      </c>
      <c r="D26" s="49">
        <v>630</v>
      </c>
      <c r="E26" s="50">
        <v>426</v>
      </c>
      <c r="F26" s="50">
        <v>90</v>
      </c>
      <c r="G26" s="51">
        <v>-78.87323943661973</v>
      </c>
      <c r="H26" s="50">
        <v>1156</v>
      </c>
      <c r="I26" s="50">
        <v>808</v>
      </c>
      <c r="J26" s="50">
        <v>150</v>
      </c>
      <c r="K26" s="51">
        <v>-81.43564356435644</v>
      </c>
      <c r="L26" s="137"/>
      <c r="O26" s="230">
        <f t="shared" si="0"/>
        <v>-336</v>
      </c>
      <c r="P26" s="230">
        <f t="shared" si="1"/>
        <v>-658</v>
      </c>
      <c r="Q26" s="244">
        <f t="shared" si="2"/>
        <v>1.8967136150234742</v>
      </c>
      <c r="R26" s="244">
        <f t="shared" si="3"/>
        <v>1.6666666666666667</v>
      </c>
      <c r="S26" s="226"/>
    </row>
    <row r="27" spans="2:19" ht="12.75" customHeight="1">
      <c r="B27" s="365"/>
      <c r="C27" s="76" t="s">
        <v>84</v>
      </c>
      <c r="D27" s="49">
        <v>0</v>
      </c>
      <c r="E27" s="50">
        <v>0</v>
      </c>
      <c r="F27" s="50">
        <v>45</v>
      </c>
      <c r="G27" s="51" t="s">
        <v>259</v>
      </c>
      <c r="H27" s="50">
        <v>0</v>
      </c>
      <c r="I27" s="50">
        <v>0</v>
      </c>
      <c r="J27" s="50">
        <v>139.07</v>
      </c>
      <c r="K27" s="51" t="s">
        <v>259</v>
      </c>
      <c r="L27" s="138"/>
      <c r="O27" s="230">
        <f t="shared" si="0"/>
        <v>45</v>
      </c>
      <c r="P27" s="230">
        <f t="shared" si="1"/>
        <v>139.07</v>
      </c>
      <c r="Q27" s="244">
        <f t="shared" si="2"/>
      </c>
      <c r="R27" s="244">
        <f t="shared" si="3"/>
        <v>3.090444444444444</v>
      </c>
      <c r="S27" s="226"/>
    </row>
    <row r="28" spans="2:19" ht="12.75">
      <c r="B28" s="154" t="s">
        <v>115</v>
      </c>
      <c r="C28" s="155"/>
      <c r="D28" s="72">
        <v>26645.5</v>
      </c>
      <c r="E28" s="73">
        <v>12635</v>
      </c>
      <c r="F28" s="73">
        <v>12490</v>
      </c>
      <c r="G28" s="74">
        <v>-1.1476058567471359</v>
      </c>
      <c r="H28" s="73">
        <v>63848.96</v>
      </c>
      <c r="I28" s="73">
        <v>30933.87</v>
      </c>
      <c r="J28" s="73">
        <v>24910.07</v>
      </c>
      <c r="K28" s="74">
        <v>-19.47315353688368</v>
      </c>
      <c r="L28" s="137"/>
      <c r="O28" s="230">
        <f t="shared" si="0"/>
        <v>-145</v>
      </c>
      <c r="P28" s="230">
        <f t="shared" si="1"/>
        <v>-6023.799999999999</v>
      </c>
      <c r="Q28" s="244">
        <f t="shared" si="2"/>
        <v>2.4482683023347844</v>
      </c>
      <c r="R28" s="244">
        <f t="shared" si="3"/>
        <v>1.9944011208967174</v>
      </c>
      <c r="S28" s="226"/>
    </row>
    <row r="29" spans="2:19" ht="12.75">
      <c r="B29" s="360" t="s">
        <v>88</v>
      </c>
      <c r="C29" s="77" t="s">
        <v>90</v>
      </c>
      <c r="D29" s="45">
        <v>2519.7</v>
      </c>
      <c r="E29" s="46">
        <v>1511.82</v>
      </c>
      <c r="F29" s="46">
        <v>0</v>
      </c>
      <c r="G29" s="47">
        <v>-100</v>
      </c>
      <c r="H29" s="45">
        <v>5541.57</v>
      </c>
      <c r="I29" s="46">
        <v>3313.14</v>
      </c>
      <c r="J29" s="46">
        <v>0</v>
      </c>
      <c r="K29" s="47">
        <v>-100</v>
      </c>
      <c r="O29" s="230">
        <f t="shared" si="0"/>
        <v>-1511.82</v>
      </c>
      <c r="P29" s="230">
        <f t="shared" si="1"/>
        <v>-3313.14</v>
      </c>
      <c r="Q29" s="244">
        <f t="shared" si="2"/>
        <v>2.1914910505218876</v>
      </c>
      <c r="R29" s="244">
        <f t="shared" si="3"/>
      </c>
      <c r="S29" s="226"/>
    </row>
    <row r="30" spans="2:19" ht="12.75">
      <c r="B30" s="361"/>
      <c r="C30" s="107" t="s">
        <v>89</v>
      </c>
      <c r="D30" s="49">
        <v>300</v>
      </c>
      <c r="E30" s="50">
        <v>0</v>
      </c>
      <c r="F30" s="50">
        <v>0</v>
      </c>
      <c r="G30" s="51" t="s">
        <v>259</v>
      </c>
      <c r="H30" s="49">
        <v>561</v>
      </c>
      <c r="I30" s="50">
        <v>0</v>
      </c>
      <c r="J30" s="50">
        <v>0</v>
      </c>
      <c r="K30" s="51" t="s">
        <v>259</v>
      </c>
      <c r="O30" s="230">
        <f t="shared" si="0"/>
        <v>0</v>
      </c>
      <c r="P30" s="230">
        <f t="shared" si="1"/>
        <v>0</v>
      </c>
      <c r="Q30" s="244">
        <f t="shared" si="2"/>
      </c>
      <c r="R30" s="244">
        <f t="shared" si="3"/>
      </c>
      <c r="S30" s="226"/>
    </row>
    <row r="31" spans="2:19" ht="12.75">
      <c r="B31" s="361"/>
      <c r="C31" s="107" t="s">
        <v>77</v>
      </c>
      <c r="D31" s="49">
        <v>0</v>
      </c>
      <c r="E31" s="50">
        <v>0</v>
      </c>
      <c r="F31" s="50">
        <v>3330</v>
      </c>
      <c r="G31" s="51" t="s">
        <v>259</v>
      </c>
      <c r="H31" s="49">
        <v>0</v>
      </c>
      <c r="I31" s="50">
        <v>0</v>
      </c>
      <c r="J31" s="50">
        <v>5843.75</v>
      </c>
      <c r="K31" s="51" t="s">
        <v>259</v>
      </c>
      <c r="M31" s="219"/>
      <c r="O31" s="230">
        <f t="shared" si="0"/>
        <v>3330</v>
      </c>
      <c r="P31" s="230">
        <f t="shared" si="1"/>
        <v>5843.75</v>
      </c>
      <c r="Q31" s="244">
        <f t="shared" si="2"/>
      </c>
      <c r="R31" s="244">
        <f t="shared" si="3"/>
        <v>1.75487987987988</v>
      </c>
      <c r="S31" s="226"/>
    </row>
    <row r="32" spans="2:19" ht="12.75">
      <c r="B32" s="154" t="s">
        <v>113</v>
      </c>
      <c r="C32" s="155"/>
      <c r="D32" s="72">
        <v>2819.7</v>
      </c>
      <c r="E32" s="73">
        <v>1511.82</v>
      </c>
      <c r="F32" s="73">
        <v>3330</v>
      </c>
      <c r="G32" s="74">
        <v>120.26431718061676</v>
      </c>
      <c r="H32" s="73">
        <v>6102.57</v>
      </c>
      <c r="I32" s="73">
        <v>3313.14</v>
      </c>
      <c r="J32" s="73">
        <v>5843.75</v>
      </c>
      <c r="K32" s="74">
        <v>76.38101619611608</v>
      </c>
      <c r="O32" s="230">
        <f t="shared" si="0"/>
        <v>1818.18</v>
      </c>
      <c r="P32" s="230">
        <f t="shared" si="1"/>
        <v>2530.61</v>
      </c>
      <c r="Q32" s="244">
        <f t="shared" si="2"/>
        <v>2.1914910505218876</v>
      </c>
      <c r="R32" s="244">
        <f t="shared" si="3"/>
        <v>1.75487987987988</v>
      </c>
      <c r="S32" s="226"/>
    </row>
    <row r="33" spans="2:19" ht="12.75">
      <c r="B33" s="205" t="s">
        <v>85</v>
      </c>
      <c r="C33" s="75" t="s">
        <v>182</v>
      </c>
      <c r="D33" s="45">
        <v>45.26</v>
      </c>
      <c r="E33" s="46">
        <v>45.26</v>
      </c>
      <c r="F33" s="46">
        <v>0</v>
      </c>
      <c r="G33" s="47">
        <v>-100</v>
      </c>
      <c r="H33" s="46">
        <v>300</v>
      </c>
      <c r="I33" s="46">
        <v>300</v>
      </c>
      <c r="J33" s="46">
        <v>0</v>
      </c>
      <c r="K33" s="47">
        <v>-100</v>
      </c>
      <c r="O33" s="230">
        <f t="shared" si="0"/>
        <v>-45.26</v>
      </c>
      <c r="P33" s="230">
        <f t="shared" si="1"/>
        <v>-300</v>
      </c>
      <c r="Q33" s="244">
        <f t="shared" si="2"/>
        <v>6.628369421122404</v>
      </c>
      <c r="R33" s="244">
        <f t="shared" si="3"/>
      </c>
      <c r="S33" s="226"/>
    </row>
    <row r="34" spans="2:18" ht="12.75">
      <c r="B34" s="154" t="s">
        <v>117</v>
      </c>
      <c r="C34" s="155"/>
      <c r="D34" s="72">
        <v>45.26</v>
      </c>
      <c r="E34" s="73">
        <v>45.26</v>
      </c>
      <c r="F34" s="73">
        <v>0</v>
      </c>
      <c r="G34" s="74">
        <v>-100</v>
      </c>
      <c r="H34" s="73">
        <v>300</v>
      </c>
      <c r="I34" s="73">
        <v>300</v>
      </c>
      <c r="J34" s="73">
        <v>0</v>
      </c>
      <c r="K34" s="74">
        <v>-100</v>
      </c>
      <c r="O34" s="230">
        <f t="shared" si="0"/>
        <v>-45.26</v>
      </c>
      <c r="P34" s="230">
        <f t="shared" si="1"/>
        <v>-300</v>
      </c>
      <c r="Q34" s="244">
        <f t="shared" si="2"/>
        <v>6.628369421122404</v>
      </c>
      <c r="R34" s="244">
        <f t="shared" si="3"/>
      </c>
    </row>
    <row r="35" spans="2:18" ht="12.75">
      <c r="B35" s="154" t="s">
        <v>93</v>
      </c>
      <c r="C35" s="155"/>
      <c r="D35" s="69">
        <v>1626791.66</v>
      </c>
      <c r="E35" s="70">
        <v>678735.4700000001</v>
      </c>
      <c r="F35" s="70">
        <v>2817584.5500000003</v>
      </c>
      <c r="G35" s="71">
        <v>315.12263238578055</v>
      </c>
      <c r="H35" s="70">
        <v>4556113.15</v>
      </c>
      <c r="I35" s="70">
        <v>1720107.4000000004</v>
      </c>
      <c r="J35" s="70">
        <v>3694023.770000001</v>
      </c>
      <c r="K35" s="71">
        <v>114.75541410960734</v>
      </c>
      <c r="O35" s="230">
        <f t="shared" si="0"/>
        <v>2138849.08</v>
      </c>
      <c r="P35" s="230">
        <f t="shared" si="1"/>
        <v>1973916.3700000006</v>
      </c>
      <c r="Q35" s="244">
        <f t="shared" si="2"/>
        <v>2.534282465008054</v>
      </c>
      <c r="R35" s="244">
        <f t="shared" si="3"/>
        <v>1.3110604861884272</v>
      </c>
    </row>
    <row r="36" spans="2:11" ht="12.75">
      <c r="B36" s="362" t="s">
        <v>154</v>
      </c>
      <c r="C36" s="363"/>
      <c r="D36" s="363"/>
      <c r="E36" s="363"/>
      <c r="F36" s="363"/>
      <c r="G36" s="363"/>
      <c r="H36" s="363"/>
      <c r="I36" s="363"/>
      <c r="J36" s="363"/>
      <c r="K36" s="364"/>
    </row>
  </sheetData>
  <sheetProtection/>
  <mergeCells count="11">
    <mergeCell ref="B2:K2"/>
    <mergeCell ref="D3:G3"/>
    <mergeCell ref="H3:K3"/>
    <mergeCell ref="B3:B4"/>
    <mergeCell ref="C3:C4"/>
    <mergeCell ref="B16:B17"/>
    <mergeCell ref="B36:K36"/>
    <mergeCell ref="B29:B31"/>
    <mergeCell ref="B24:B27"/>
    <mergeCell ref="B19:B22"/>
    <mergeCell ref="B5:B14"/>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differentFirst="1">
    <oddFooter>&amp;C&amp;P</oddFooter>
  </headerFooter>
  <ignoredErrors>
    <ignoredError sqref="D4"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R118"/>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2" width="18.421875" style="39" customWidth="1"/>
    <col min="3" max="3" width="27.57421875" style="39" customWidth="1"/>
    <col min="4" max="11" width="11.7109375" style="39" customWidth="1"/>
    <col min="12" max="12" width="2.8515625" style="39" customWidth="1"/>
    <col min="13" max="14" width="10.8515625" style="39" customWidth="1"/>
    <col min="15" max="16" width="10.8515625" style="245" hidden="1" customWidth="1"/>
    <col min="17" max="17" width="11.57421875" style="228" hidden="1" customWidth="1"/>
    <col min="18" max="18" width="10.8515625" style="228" hidden="1" customWidth="1"/>
    <col min="19" max="19" width="10.8515625" style="197" customWidth="1"/>
    <col min="20" max="16384" width="10.8515625" style="39" customWidth="1"/>
  </cols>
  <sheetData>
    <row r="1" ht="6" customHeight="1"/>
    <row r="2" spans="2:14" ht="15">
      <c r="B2" s="366" t="s">
        <v>231</v>
      </c>
      <c r="C2" s="367"/>
      <c r="D2" s="367"/>
      <c r="E2" s="367"/>
      <c r="F2" s="367"/>
      <c r="G2" s="367"/>
      <c r="H2" s="367"/>
      <c r="I2" s="367"/>
      <c r="J2" s="367"/>
      <c r="K2" s="368"/>
      <c r="L2" s="135"/>
      <c r="M2" s="52" t="s">
        <v>153</v>
      </c>
      <c r="N2" s="52"/>
    </row>
    <row r="3" spans="2:12" ht="15">
      <c r="B3" s="374" t="s">
        <v>71</v>
      </c>
      <c r="C3" s="374" t="s">
        <v>72</v>
      </c>
      <c r="D3" s="366" t="s">
        <v>73</v>
      </c>
      <c r="E3" s="367"/>
      <c r="F3" s="367"/>
      <c r="G3" s="368"/>
      <c r="H3" s="366" t="s">
        <v>94</v>
      </c>
      <c r="I3" s="367"/>
      <c r="J3" s="367"/>
      <c r="K3" s="368"/>
      <c r="L3" s="135"/>
    </row>
    <row r="4" spans="2:18" ht="25.5">
      <c r="B4" s="375"/>
      <c r="C4" s="375"/>
      <c r="D4" s="40" t="str">
        <f>+export!D4</f>
        <v>2015</v>
      </c>
      <c r="E4" s="41" t="str">
        <f>+export!E4</f>
        <v>ene-jun 2015</v>
      </c>
      <c r="F4" s="41" t="str">
        <f>+export!F4</f>
        <v>ene-jun 2016</v>
      </c>
      <c r="G4" s="42" t="s">
        <v>44</v>
      </c>
      <c r="H4" s="40" t="str">
        <f>+export!H4</f>
        <v>2015</v>
      </c>
      <c r="I4" s="43" t="str">
        <f>+export!I4</f>
        <v>ene-jun 2015</v>
      </c>
      <c r="J4" s="43" t="str">
        <f>+export!J4</f>
        <v>ene-jun 2016</v>
      </c>
      <c r="K4" s="44" t="s">
        <v>44</v>
      </c>
      <c r="L4" s="136"/>
      <c r="P4" s="231" t="s">
        <v>199</v>
      </c>
      <c r="Q4" s="231" t="s">
        <v>193</v>
      </c>
      <c r="R4" s="246" t="s">
        <v>194</v>
      </c>
    </row>
    <row r="5" spans="2:18" ht="12.75" customHeight="1">
      <c r="B5" s="360" t="s">
        <v>88</v>
      </c>
      <c r="C5" s="75" t="s">
        <v>96</v>
      </c>
      <c r="D5" s="45">
        <v>41307358.52</v>
      </c>
      <c r="E5" s="46">
        <v>15645276.82</v>
      </c>
      <c r="F5" s="46">
        <v>21544259.9008</v>
      </c>
      <c r="G5" s="47">
        <v>37.70456188578963</v>
      </c>
      <c r="H5" s="46">
        <v>29075287.24</v>
      </c>
      <c r="I5" s="46">
        <v>10728607.9</v>
      </c>
      <c r="J5" s="46">
        <v>16487227.22</v>
      </c>
      <c r="K5" s="47">
        <v>53.675363790674105</v>
      </c>
      <c r="L5" s="137"/>
      <c r="O5" s="304"/>
      <c r="P5" s="233">
        <f>+F5-E5</f>
        <v>5898983.080800001</v>
      </c>
      <c r="Q5" s="233">
        <f>+J5-I5</f>
        <v>5758619.32</v>
      </c>
      <c r="R5" s="237">
        <f>+IF(F5=0,0,J5/F5)</f>
        <v>0.7652723879081955</v>
      </c>
    </row>
    <row r="6" spans="2:18" ht="15">
      <c r="B6" s="361"/>
      <c r="C6" s="76" t="s">
        <v>129</v>
      </c>
      <c r="D6" s="49">
        <v>17247981.74</v>
      </c>
      <c r="E6" s="50">
        <v>7630149.91</v>
      </c>
      <c r="F6" s="50">
        <v>12371880.1177</v>
      </c>
      <c r="G6" s="51">
        <v>62.14465329816827</v>
      </c>
      <c r="H6" s="50">
        <v>12669707.84</v>
      </c>
      <c r="I6" s="50">
        <v>5535900.26</v>
      </c>
      <c r="J6" s="50">
        <v>9783258.53</v>
      </c>
      <c r="K6" s="51">
        <v>76.72389440773631</v>
      </c>
      <c r="L6" s="137"/>
      <c r="O6" s="304"/>
      <c r="P6" s="233">
        <f aca="true" t="shared" si="0" ref="P6:P16">+F6-E6</f>
        <v>4741730.207699999</v>
      </c>
      <c r="Q6" s="233">
        <f aca="true" t="shared" si="1" ref="Q6:Q16">+J6-I6</f>
        <v>4247358.27</v>
      </c>
      <c r="R6" s="237">
        <f aca="true" t="shared" si="2" ref="R6:R16">+IF(F6=0,0,J6/F6)</f>
        <v>0.7907657071461149</v>
      </c>
    </row>
    <row r="7" spans="2:18" ht="15">
      <c r="B7" s="361"/>
      <c r="C7" s="76" t="s">
        <v>79</v>
      </c>
      <c r="D7" s="49">
        <v>10945465.1892</v>
      </c>
      <c r="E7" s="50">
        <v>3449422.3076</v>
      </c>
      <c r="F7" s="50">
        <v>5100296.4</v>
      </c>
      <c r="G7" s="51">
        <v>47.859436890713084</v>
      </c>
      <c r="H7" s="50">
        <v>11825190.35</v>
      </c>
      <c r="I7" s="50">
        <v>4162577.5</v>
      </c>
      <c r="J7" s="50">
        <v>5822719.49</v>
      </c>
      <c r="K7" s="51">
        <v>39.88254849309112</v>
      </c>
      <c r="L7" s="137"/>
      <c r="O7" s="304"/>
      <c r="P7" s="233">
        <f t="shared" si="0"/>
        <v>1650874.0924000004</v>
      </c>
      <c r="Q7" s="233">
        <f t="shared" si="1"/>
        <v>1660141.9900000002</v>
      </c>
      <c r="R7" s="237">
        <f t="shared" si="2"/>
        <v>1.1416433542960365</v>
      </c>
    </row>
    <row r="8" spans="2:18" ht="15">
      <c r="B8" s="361"/>
      <c r="C8" s="76" t="s">
        <v>95</v>
      </c>
      <c r="D8" s="49">
        <v>7728995.88</v>
      </c>
      <c r="E8" s="50">
        <v>3098770</v>
      </c>
      <c r="F8" s="50">
        <v>4702863</v>
      </c>
      <c r="G8" s="51">
        <v>51.76547468834409</v>
      </c>
      <c r="H8" s="50">
        <v>5076355.6</v>
      </c>
      <c r="I8" s="50">
        <v>1941776.01</v>
      </c>
      <c r="J8" s="50">
        <v>3557659.21</v>
      </c>
      <c r="K8" s="51">
        <v>83.21676607797828</v>
      </c>
      <c r="L8" s="137"/>
      <c r="O8" s="304"/>
      <c r="P8" s="233">
        <f t="shared" si="0"/>
        <v>1604093</v>
      </c>
      <c r="Q8" s="233">
        <f t="shared" si="1"/>
        <v>1615883.2</v>
      </c>
      <c r="R8" s="237">
        <f t="shared" si="2"/>
        <v>0.7564879542525479</v>
      </c>
    </row>
    <row r="9" spans="2:18" ht="15">
      <c r="B9" s="361"/>
      <c r="C9" s="76" t="s">
        <v>127</v>
      </c>
      <c r="D9" s="49">
        <v>1136958.6537</v>
      </c>
      <c r="E9" s="50">
        <v>837249.5697</v>
      </c>
      <c r="F9" s="50">
        <v>241152.9806</v>
      </c>
      <c r="G9" s="51">
        <v>-71.19700154800807</v>
      </c>
      <c r="H9" s="50">
        <v>1576275.06</v>
      </c>
      <c r="I9" s="50">
        <v>1140040.87</v>
      </c>
      <c r="J9" s="50">
        <v>347776.23</v>
      </c>
      <c r="K9" s="51">
        <v>-69.49440681016989</v>
      </c>
      <c r="L9" s="137"/>
      <c r="M9" s="48"/>
      <c r="O9" s="304"/>
      <c r="P9" s="233">
        <f t="shared" si="0"/>
        <v>-596096.5891</v>
      </c>
      <c r="Q9" s="233">
        <f t="shared" si="1"/>
        <v>-792264.6400000001</v>
      </c>
      <c r="R9" s="237">
        <f t="shared" si="2"/>
        <v>1.4421394632349818</v>
      </c>
    </row>
    <row r="10" spans="2:18" ht="15">
      <c r="B10" s="361"/>
      <c r="C10" s="76" t="s">
        <v>100</v>
      </c>
      <c r="D10" s="49">
        <v>1540421.6908</v>
      </c>
      <c r="E10" s="50">
        <v>1424621.6154</v>
      </c>
      <c r="F10" s="50">
        <v>248301.4616</v>
      </c>
      <c r="G10" s="51">
        <v>-82.57070797495356</v>
      </c>
      <c r="H10" s="50">
        <v>1338731.27</v>
      </c>
      <c r="I10" s="50">
        <v>1192364.11</v>
      </c>
      <c r="J10" s="50">
        <v>197936.73</v>
      </c>
      <c r="K10" s="51">
        <v>-83.39964040011235</v>
      </c>
      <c r="L10" s="137"/>
      <c r="O10" s="304"/>
      <c r="P10" s="233">
        <f t="shared" si="0"/>
        <v>-1176320.1538</v>
      </c>
      <c r="Q10" s="233">
        <f t="shared" si="1"/>
        <v>-994427.3800000001</v>
      </c>
      <c r="R10" s="237">
        <f t="shared" si="2"/>
        <v>0.7971629676464216</v>
      </c>
    </row>
    <row r="11" spans="2:18" ht="15">
      <c r="B11" s="361"/>
      <c r="C11" s="76" t="s">
        <v>92</v>
      </c>
      <c r="D11" s="49">
        <v>23625</v>
      </c>
      <c r="E11" s="50">
        <v>0</v>
      </c>
      <c r="F11" s="50">
        <v>0</v>
      </c>
      <c r="G11" s="51" t="s">
        <v>148</v>
      </c>
      <c r="H11" s="50">
        <v>35516.12</v>
      </c>
      <c r="I11" s="50">
        <v>0</v>
      </c>
      <c r="J11" s="50">
        <v>0</v>
      </c>
      <c r="K11" s="51" t="s">
        <v>148</v>
      </c>
      <c r="L11" s="137"/>
      <c r="O11" s="304"/>
      <c r="P11" s="233">
        <f t="shared" si="0"/>
        <v>0</v>
      </c>
      <c r="Q11" s="233">
        <f t="shared" si="1"/>
        <v>0</v>
      </c>
      <c r="R11" s="237">
        <f t="shared" si="2"/>
        <v>0</v>
      </c>
    </row>
    <row r="12" spans="2:18" ht="15">
      <c r="B12" s="361"/>
      <c r="C12" s="76" t="s">
        <v>77</v>
      </c>
      <c r="D12" s="49">
        <v>19205</v>
      </c>
      <c r="E12" s="50">
        <v>4980</v>
      </c>
      <c r="F12" s="50">
        <v>2505</v>
      </c>
      <c r="G12" s="51">
        <v>-49.69879518072289</v>
      </c>
      <c r="H12" s="50">
        <v>33959.96</v>
      </c>
      <c r="I12" s="50">
        <v>7552.55</v>
      </c>
      <c r="J12" s="50">
        <v>5414.02</v>
      </c>
      <c r="K12" s="51">
        <v>-28.315337203990698</v>
      </c>
      <c r="L12" s="137"/>
      <c r="O12" s="304"/>
      <c r="P12" s="233">
        <f t="shared" si="0"/>
        <v>-2475</v>
      </c>
      <c r="Q12" s="233">
        <f t="shared" si="1"/>
        <v>-2138.5299999999997</v>
      </c>
      <c r="R12" s="237">
        <f t="shared" si="2"/>
        <v>2.1612854291417167</v>
      </c>
    </row>
    <row r="13" spans="2:18" ht="15">
      <c r="B13" s="361"/>
      <c r="C13" s="76" t="s">
        <v>99</v>
      </c>
      <c r="D13" s="49">
        <v>10764</v>
      </c>
      <c r="E13" s="50">
        <v>0</v>
      </c>
      <c r="F13" s="50">
        <v>0</v>
      </c>
      <c r="G13" s="51" t="s">
        <v>148</v>
      </c>
      <c r="H13" s="50">
        <v>31921.1</v>
      </c>
      <c r="I13" s="50">
        <v>0</v>
      </c>
      <c r="J13" s="50">
        <v>0</v>
      </c>
      <c r="K13" s="51" t="s">
        <v>148</v>
      </c>
      <c r="L13" s="137"/>
      <c r="O13" s="304"/>
      <c r="P13" s="233">
        <f t="shared" si="0"/>
        <v>0</v>
      </c>
      <c r="Q13" s="233">
        <f t="shared" si="1"/>
        <v>0</v>
      </c>
      <c r="R13" s="237">
        <f t="shared" si="2"/>
        <v>0</v>
      </c>
    </row>
    <row r="14" spans="2:18" ht="15">
      <c r="B14" s="361"/>
      <c r="C14" s="76" t="s">
        <v>103</v>
      </c>
      <c r="D14" s="49">
        <v>25690.0591</v>
      </c>
      <c r="E14" s="50">
        <v>24000</v>
      </c>
      <c r="F14" s="50">
        <v>875.9782</v>
      </c>
      <c r="G14" s="51">
        <v>-96.35009083333334</v>
      </c>
      <c r="H14" s="50">
        <v>18827.18</v>
      </c>
      <c r="I14" s="50">
        <v>14405.76</v>
      </c>
      <c r="J14" s="50">
        <v>3768.02</v>
      </c>
      <c r="K14" s="51">
        <v>-73.84365698165179</v>
      </c>
      <c r="L14" s="137"/>
      <c r="O14" s="304"/>
      <c r="P14" s="233">
        <f t="shared" si="0"/>
        <v>-23124.0218</v>
      </c>
      <c r="Q14" s="233">
        <f t="shared" si="1"/>
        <v>-10637.74</v>
      </c>
      <c r="R14" s="237">
        <f t="shared" si="2"/>
        <v>4.301499740518657</v>
      </c>
    </row>
    <row r="15" spans="2:18" ht="15">
      <c r="B15" s="361"/>
      <c r="C15" s="76" t="s">
        <v>81</v>
      </c>
      <c r="D15" s="49">
        <v>4487.7431</v>
      </c>
      <c r="E15" s="50">
        <v>1063.0631</v>
      </c>
      <c r="F15" s="50">
        <v>363</v>
      </c>
      <c r="G15" s="51">
        <v>-65.85339101695845</v>
      </c>
      <c r="H15" s="50">
        <v>12581.15</v>
      </c>
      <c r="I15" s="50">
        <v>3159.54</v>
      </c>
      <c r="J15" s="50">
        <v>890.58</v>
      </c>
      <c r="K15" s="51">
        <v>-71.81298543458858</v>
      </c>
      <c r="L15" s="138"/>
      <c r="O15" s="304"/>
      <c r="P15" s="233">
        <f t="shared" si="0"/>
        <v>-700.0631000000001</v>
      </c>
      <c r="Q15" s="233">
        <f t="shared" si="1"/>
        <v>-2268.96</v>
      </c>
      <c r="R15" s="237">
        <f t="shared" si="2"/>
        <v>2.4533884297520663</v>
      </c>
    </row>
    <row r="16" spans="2:18" ht="12.75" customHeight="1">
      <c r="B16" s="361"/>
      <c r="C16" s="76" t="s">
        <v>119</v>
      </c>
      <c r="D16" s="49">
        <v>637</v>
      </c>
      <c r="E16" s="50">
        <v>0</v>
      </c>
      <c r="F16" s="50">
        <v>75600</v>
      </c>
      <c r="G16" s="51" t="s">
        <v>148</v>
      </c>
      <c r="H16" s="50">
        <v>2191.07</v>
      </c>
      <c r="I16" s="50">
        <v>0</v>
      </c>
      <c r="J16" s="50">
        <v>55192.78</v>
      </c>
      <c r="K16" s="51" t="s">
        <v>148</v>
      </c>
      <c r="L16" s="137"/>
      <c r="O16" s="304"/>
      <c r="P16" s="233">
        <f t="shared" si="0"/>
        <v>75600</v>
      </c>
      <c r="Q16" s="233">
        <f t="shared" si="1"/>
        <v>55192.78</v>
      </c>
      <c r="R16" s="237">
        <f t="shared" si="2"/>
        <v>0.7300632275132275</v>
      </c>
    </row>
    <row r="17" spans="2:18" ht="12.75" customHeight="1">
      <c r="B17" s="361"/>
      <c r="C17" s="76" t="s">
        <v>84</v>
      </c>
      <c r="D17" s="49">
        <v>0</v>
      </c>
      <c r="E17" s="50">
        <v>0</v>
      </c>
      <c r="F17" s="50">
        <v>8976.67</v>
      </c>
      <c r="G17" s="51" t="s">
        <v>148</v>
      </c>
      <c r="H17" s="50">
        <v>0</v>
      </c>
      <c r="I17" s="50">
        <v>0</v>
      </c>
      <c r="J17" s="50">
        <v>51485.8</v>
      </c>
      <c r="K17" s="51" t="s">
        <v>148</v>
      </c>
      <c r="L17" s="137"/>
      <c r="O17" s="304"/>
      <c r="P17" s="233">
        <f>+F18-E18</f>
        <v>8.2</v>
      </c>
      <c r="Q17" s="233">
        <f>+J18-I18</f>
        <v>116.84</v>
      </c>
      <c r="R17" s="237">
        <f>+IF(F18=0,0,J18/F18)</f>
        <v>14.24878048780488</v>
      </c>
    </row>
    <row r="18" spans="2:18" ht="12.75" customHeight="1">
      <c r="B18" s="361"/>
      <c r="C18" s="76" t="s">
        <v>76</v>
      </c>
      <c r="D18" s="49">
        <v>0</v>
      </c>
      <c r="E18" s="50">
        <v>0</v>
      </c>
      <c r="F18" s="50">
        <v>8.2</v>
      </c>
      <c r="G18" s="51" t="s">
        <v>148</v>
      </c>
      <c r="H18" s="50">
        <v>0</v>
      </c>
      <c r="I18" s="50">
        <v>0</v>
      </c>
      <c r="J18" s="50">
        <v>116.84</v>
      </c>
      <c r="K18" s="51" t="s">
        <v>148</v>
      </c>
      <c r="L18" s="137"/>
      <c r="O18" s="304"/>
      <c r="P18" s="233">
        <f>+F17-E17</f>
        <v>8976.67</v>
      </c>
      <c r="Q18" s="233">
        <f>+J17-I17</f>
        <v>51485.8</v>
      </c>
      <c r="R18" s="237">
        <f>+IF(F17=0,0,J17/F17)</f>
        <v>5.7355121665383715</v>
      </c>
    </row>
    <row r="19" spans="2:18" ht="12.75" customHeight="1">
      <c r="B19" s="365"/>
      <c r="C19" s="76" t="s">
        <v>102</v>
      </c>
      <c r="D19" s="49">
        <v>0</v>
      </c>
      <c r="E19" s="50">
        <v>0</v>
      </c>
      <c r="F19" s="50">
        <v>102.4</v>
      </c>
      <c r="G19" s="51" t="s">
        <v>148</v>
      </c>
      <c r="H19" s="50">
        <v>0</v>
      </c>
      <c r="I19" s="50">
        <v>0</v>
      </c>
      <c r="J19" s="50">
        <v>394.73</v>
      </c>
      <c r="K19" s="51" t="s">
        <v>148</v>
      </c>
      <c r="L19" s="137"/>
      <c r="O19" s="304"/>
      <c r="P19" s="233"/>
      <c r="Q19" s="233"/>
      <c r="R19" s="237"/>
    </row>
    <row r="20" spans="2:18" ht="15">
      <c r="B20" s="156" t="s">
        <v>113</v>
      </c>
      <c r="C20" s="157"/>
      <c r="D20" s="69">
        <v>79991590.4759</v>
      </c>
      <c r="E20" s="70">
        <v>32115533.2858</v>
      </c>
      <c r="F20" s="70">
        <v>44297185.1089</v>
      </c>
      <c r="G20" s="71">
        <v>37.93071631317475</v>
      </c>
      <c r="H20" s="70">
        <v>61696543.94</v>
      </c>
      <c r="I20" s="70">
        <v>24726384.500000004</v>
      </c>
      <c r="J20" s="70">
        <v>36313840.18</v>
      </c>
      <c r="K20" s="71">
        <v>46.86271735360257</v>
      </c>
      <c r="L20" s="137"/>
      <c r="O20" s="305">
        <f>+J20/$J$93</f>
        <v>0.7785499148539126</v>
      </c>
      <c r="P20" s="233">
        <f aca="true" t="shared" si="3" ref="P20:P51">+F20-E20</f>
        <v>12181651.823100004</v>
      </c>
      <c r="Q20" s="233">
        <f aca="true" t="shared" si="4" ref="Q20:Q51">+J20-I20</f>
        <v>11587455.679999996</v>
      </c>
      <c r="R20" s="237">
        <f aca="true" t="shared" si="5" ref="R20:R51">+IF(F20=0,0,J20/F20)</f>
        <v>0.819777601911413</v>
      </c>
    </row>
    <row r="21" spans="2:18" ht="15">
      <c r="B21" s="360" t="s">
        <v>75</v>
      </c>
      <c r="C21" s="179" t="s">
        <v>127</v>
      </c>
      <c r="D21" s="45">
        <v>2700049.9686</v>
      </c>
      <c r="E21" s="46">
        <v>2036002.1153</v>
      </c>
      <c r="F21" s="46">
        <v>542249.3251</v>
      </c>
      <c r="G21" s="47">
        <v>-73.36695669296489</v>
      </c>
      <c r="H21" s="45">
        <v>4143123.76</v>
      </c>
      <c r="I21" s="46">
        <v>3136706.49</v>
      </c>
      <c r="J21" s="46">
        <v>766409.95</v>
      </c>
      <c r="K21" s="47">
        <v>-75.56641169827783</v>
      </c>
      <c r="L21" s="137"/>
      <c r="M21" s="48"/>
      <c r="P21" s="233">
        <f t="shared" si="3"/>
        <v>-1493752.7902</v>
      </c>
      <c r="Q21" s="233">
        <f t="shared" si="4"/>
        <v>-2370296.54</v>
      </c>
      <c r="R21" s="237">
        <f t="shared" si="5"/>
        <v>1.4133903253059115</v>
      </c>
    </row>
    <row r="22" spans="2:18" ht="15">
      <c r="B22" s="361"/>
      <c r="C22" s="180" t="s">
        <v>95</v>
      </c>
      <c r="D22" s="49">
        <v>2759936.17</v>
      </c>
      <c r="E22" s="50">
        <v>1325635.2</v>
      </c>
      <c r="F22" s="50">
        <v>1134632.816</v>
      </c>
      <c r="G22" s="51">
        <v>-14.408366947407536</v>
      </c>
      <c r="H22" s="49">
        <v>3626667.66</v>
      </c>
      <c r="I22" s="50">
        <v>1774787.65</v>
      </c>
      <c r="J22" s="50">
        <v>1416149.36</v>
      </c>
      <c r="K22" s="51">
        <v>-20.207391571605747</v>
      </c>
      <c r="L22" s="137"/>
      <c r="P22" s="233">
        <f t="shared" si="3"/>
        <v>-191002.38399999985</v>
      </c>
      <c r="Q22" s="233">
        <f t="shared" si="4"/>
        <v>-358638.2899999998</v>
      </c>
      <c r="R22" s="237">
        <f t="shared" si="5"/>
        <v>1.2481124642529289</v>
      </c>
    </row>
    <row r="23" spans="2:18" ht="15">
      <c r="B23" s="361"/>
      <c r="C23" s="180" t="s">
        <v>129</v>
      </c>
      <c r="D23" s="49">
        <v>1869514.77</v>
      </c>
      <c r="E23" s="50">
        <v>583560.7</v>
      </c>
      <c r="F23" s="50">
        <v>1441572.5538</v>
      </c>
      <c r="G23" s="51">
        <v>147.03043810181188</v>
      </c>
      <c r="H23" s="49">
        <v>2492251.77</v>
      </c>
      <c r="I23" s="50">
        <v>766543.51</v>
      </c>
      <c r="J23" s="50">
        <v>1890893.58</v>
      </c>
      <c r="K23" s="51">
        <v>146.6779191699112</v>
      </c>
      <c r="L23" s="137"/>
      <c r="P23" s="233">
        <f t="shared" si="3"/>
        <v>858011.8538000002</v>
      </c>
      <c r="Q23" s="233">
        <f t="shared" si="4"/>
        <v>1124350.07</v>
      </c>
      <c r="R23" s="237">
        <f t="shared" si="5"/>
        <v>1.3116881110254113</v>
      </c>
    </row>
    <row r="24" spans="2:18" ht="15">
      <c r="B24" s="361"/>
      <c r="C24" s="180" t="s">
        <v>99</v>
      </c>
      <c r="D24" s="49">
        <v>437051</v>
      </c>
      <c r="E24" s="50">
        <v>184050</v>
      </c>
      <c r="F24" s="50">
        <v>0</v>
      </c>
      <c r="G24" s="51">
        <v>-100</v>
      </c>
      <c r="H24" s="49">
        <v>503259.09</v>
      </c>
      <c r="I24" s="50">
        <v>218931.86</v>
      </c>
      <c r="J24" s="50">
        <v>0</v>
      </c>
      <c r="K24" s="51">
        <v>-100</v>
      </c>
      <c r="L24" s="137"/>
      <c r="P24" s="233">
        <f t="shared" si="3"/>
        <v>-184050</v>
      </c>
      <c r="Q24" s="233">
        <f t="shared" si="4"/>
        <v>-218931.86</v>
      </c>
      <c r="R24" s="237">
        <f t="shared" si="5"/>
        <v>0</v>
      </c>
    </row>
    <row r="25" spans="2:18" ht="15">
      <c r="B25" s="361"/>
      <c r="C25" s="180" t="s">
        <v>101</v>
      </c>
      <c r="D25" s="49">
        <v>381350</v>
      </c>
      <c r="E25" s="50">
        <v>80100</v>
      </c>
      <c r="F25" s="50">
        <v>459575</v>
      </c>
      <c r="G25" s="51">
        <v>473.7515605493134</v>
      </c>
      <c r="H25" s="49">
        <v>446910.48</v>
      </c>
      <c r="I25" s="50">
        <v>93001.35</v>
      </c>
      <c r="J25" s="50">
        <v>579825.56</v>
      </c>
      <c r="K25" s="51">
        <v>523.4592938704653</v>
      </c>
      <c r="L25" s="137"/>
      <c r="P25" s="233">
        <f t="shared" si="3"/>
        <v>379475</v>
      </c>
      <c r="Q25" s="233">
        <f t="shared" si="4"/>
        <v>486824.2100000001</v>
      </c>
      <c r="R25" s="237">
        <f t="shared" si="5"/>
        <v>1.261656008268509</v>
      </c>
    </row>
    <row r="26" spans="2:18" ht="15">
      <c r="B26" s="361"/>
      <c r="C26" s="180" t="s">
        <v>96</v>
      </c>
      <c r="D26" s="49">
        <v>134726</v>
      </c>
      <c r="E26" s="50">
        <v>118283</v>
      </c>
      <c r="F26" s="50">
        <v>193608.5</v>
      </c>
      <c r="G26" s="51">
        <v>63.68243957288875</v>
      </c>
      <c r="H26" s="49">
        <v>177932.98</v>
      </c>
      <c r="I26" s="50">
        <v>154572.77</v>
      </c>
      <c r="J26" s="50">
        <v>247785.45</v>
      </c>
      <c r="K26" s="51">
        <v>60.303428605180606</v>
      </c>
      <c r="L26" s="137"/>
      <c r="P26" s="233">
        <f t="shared" si="3"/>
        <v>75325.5</v>
      </c>
      <c r="Q26" s="233">
        <f t="shared" si="4"/>
        <v>93212.68000000002</v>
      </c>
      <c r="R26" s="237">
        <f t="shared" si="5"/>
        <v>1.2798273319611484</v>
      </c>
    </row>
    <row r="27" spans="2:18" ht="15">
      <c r="B27" s="361"/>
      <c r="C27" s="180" t="s">
        <v>191</v>
      </c>
      <c r="D27" s="49">
        <v>23500</v>
      </c>
      <c r="E27" s="50">
        <v>0</v>
      </c>
      <c r="F27" s="50">
        <v>367760.8538</v>
      </c>
      <c r="G27" s="51" t="s">
        <v>148</v>
      </c>
      <c r="H27" s="49">
        <v>27553.76</v>
      </c>
      <c r="I27" s="50">
        <v>0</v>
      </c>
      <c r="J27" s="50">
        <v>416305.87</v>
      </c>
      <c r="K27" s="51" t="s">
        <v>148</v>
      </c>
      <c r="L27" s="137"/>
      <c r="P27" s="233">
        <f t="shared" si="3"/>
        <v>367760.8538</v>
      </c>
      <c r="Q27" s="233">
        <f t="shared" si="4"/>
        <v>416305.87</v>
      </c>
      <c r="R27" s="237">
        <f t="shared" si="5"/>
        <v>1.1320015866245523</v>
      </c>
    </row>
    <row r="28" spans="2:18" ht="15">
      <c r="B28" s="361"/>
      <c r="C28" s="180" t="s">
        <v>77</v>
      </c>
      <c r="D28" s="49">
        <v>1232.5</v>
      </c>
      <c r="E28" s="50">
        <v>1232.5</v>
      </c>
      <c r="F28" s="50">
        <v>0</v>
      </c>
      <c r="G28" s="51">
        <v>-100</v>
      </c>
      <c r="H28" s="49">
        <v>725.35</v>
      </c>
      <c r="I28" s="50">
        <v>725.35</v>
      </c>
      <c r="J28" s="50">
        <v>0</v>
      </c>
      <c r="K28" s="51">
        <v>-100</v>
      </c>
      <c r="L28" s="137"/>
      <c r="P28" s="233">
        <f t="shared" si="3"/>
        <v>-1232.5</v>
      </c>
      <c r="Q28" s="233">
        <f t="shared" si="4"/>
        <v>-725.35</v>
      </c>
      <c r="R28" s="237">
        <f t="shared" si="5"/>
        <v>0</v>
      </c>
    </row>
    <row r="29" spans="2:18" ht="15">
      <c r="B29" s="361"/>
      <c r="C29" s="76" t="s">
        <v>184</v>
      </c>
      <c r="D29" s="49">
        <v>61</v>
      </c>
      <c r="E29" s="50">
        <v>5</v>
      </c>
      <c r="F29" s="50">
        <v>0</v>
      </c>
      <c r="G29" s="51">
        <v>-100</v>
      </c>
      <c r="H29" s="50">
        <v>540.17</v>
      </c>
      <c r="I29" s="50">
        <v>120.56</v>
      </c>
      <c r="J29" s="50">
        <v>0</v>
      </c>
      <c r="K29" s="51">
        <v>-100</v>
      </c>
      <c r="L29" s="137"/>
      <c r="P29" s="233">
        <f t="shared" si="3"/>
        <v>-5</v>
      </c>
      <c r="Q29" s="233">
        <f t="shared" si="4"/>
        <v>-120.56</v>
      </c>
      <c r="R29" s="237">
        <f t="shared" si="5"/>
        <v>0</v>
      </c>
    </row>
    <row r="30" spans="2:18" ht="15">
      <c r="B30" s="361"/>
      <c r="C30" s="76" t="s">
        <v>98</v>
      </c>
      <c r="D30" s="49">
        <v>20</v>
      </c>
      <c r="E30" s="50">
        <v>20</v>
      </c>
      <c r="F30" s="50">
        <v>0</v>
      </c>
      <c r="G30" s="51">
        <v>-100</v>
      </c>
      <c r="H30" s="50">
        <v>525.56</v>
      </c>
      <c r="I30" s="50">
        <v>525.56</v>
      </c>
      <c r="J30" s="50">
        <v>0</v>
      </c>
      <c r="K30" s="51">
        <v>-100</v>
      </c>
      <c r="L30" s="137"/>
      <c r="P30" s="233">
        <f t="shared" si="3"/>
        <v>-20</v>
      </c>
      <c r="Q30" s="233">
        <f t="shared" si="4"/>
        <v>-525.56</v>
      </c>
      <c r="R30" s="237">
        <f t="shared" si="5"/>
        <v>0</v>
      </c>
    </row>
    <row r="31" spans="2:18" ht="15">
      <c r="B31" s="361"/>
      <c r="C31" s="76" t="s">
        <v>119</v>
      </c>
      <c r="D31" s="49">
        <v>7.8</v>
      </c>
      <c r="E31" s="50">
        <v>0</v>
      </c>
      <c r="F31" s="50">
        <v>0</v>
      </c>
      <c r="G31" s="51" t="s">
        <v>148</v>
      </c>
      <c r="H31" s="50">
        <v>129.82</v>
      </c>
      <c r="I31" s="50">
        <v>0</v>
      </c>
      <c r="J31" s="50">
        <v>0</v>
      </c>
      <c r="K31" s="51" t="s">
        <v>148</v>
      </c>
      <c r="L31" s="137"/>
      <c r="P31" s="233">
        <f t="shared" si="3"/>
        <v>0</v>
      </c>
      <c r="Q31" s="233">
        <f t="shared" si="4"/>
        <v>0</v>
      </c>
      <c r="R31" s="237">
        <f t="shared" si="5"/>
        <v>0</v>
      </c>
    </row>
    <row r="32" spans="2:18" ht="15">
      <c r="B32" s="156" t="s">
        <v>115</v>
      </c>
      <c r="C32" s="157"/>
      <c r="D32" s="69">
        <v>8307449.2086</v>
      </c>
      <c r="E32" s="70">
        <v>4328888.5153</v>
      </c>
      <c r="F32" s="70">
        <v>4139399.0487000006</v>
      </c>
      <c r="G32" s="71">
        <v>-4.3773237848530595</v>
      </c>
      <c r="H32" s="70">
        <v>11419620.399999999</v>
      </c>
      <c r="I32" s="70">
        <v>6145915.1</v>
      </c>
      <c r="J32" s="70">
        <v>5317369.7700000005</v>
      </c>
      <c r="K32" s="71">
        <v>-13.481236179133017</v>
      </c>
      <c r="L32" s="137"/>
      <c r="O32" s="305">
        <f>+J32/$J$93</f>
        <v>0.11400165229455138</v>
      </c>
      <c r="P32" s="233">
        <f t="shared" si="3"/>
        <v>-189489.46659999946</v>
      </c>
      <c r="Q32" s="233">
        <f t="shared" si="4"/>
        <v>-828545.3299999991</v>
      </c>
      <c r="R32" s="237">
        <f t="shared" si="5"/>
        <v>1.2845752988395616</v>
      </c>
    </row>
    <row r="33" spans="2:18" ht="15" customHeight="1">
      <c r="B33" s="377" t="s">
        <v>91</v>
      </c>
      <c r="C33" s="179" t="s">
        <v>127</v>
      </c>
      <c r="D33" s="45">
        <v>522338.181</v>
      </c>
      <c r="E33" s="46">
        <v>255922.9878</v>
      </c>
      <c r="F33" s="46">
        <v>310192.2122</v>
      </c>
      <c r="G33" s="47">
        <v>21.205294946935595</v>
      </c>
      <c r="H33" s="45">
        <v>3785401.85</v>
      </c>
      <c r="I33" s="46">
        <v>1836128.06</v>
      </c>
      <c r="J33" s="46">
        <v>2137591.25</v>
      </c>
      <c r="K33" s="47">
        <v>16.418418549738846</v>
      </c>
      <c r="L33" s="137"/>
      <c r="P33" s="233">
        <f t="shared" si="3"/>
        <v>54269.22440000001</v>
      </c>
      <c r="Q33" s="233">
        <f t="shared" si="4"/>
        <v>301463.18999999994</v>
      </c>
      <c r="R33" s="237">
        <f t="shared" si="5"/>
        <v>6.89118284059873</v>
      </c>
    </row>
    <row r="34" spans="2:18" ht="15">
      <c r="B34" s="377"/>
      <c r="C34" s="180" t="s">
        <v>84</v>
      </c>
      <c r="D34" s="49">
        <v>317234.6352</v>
      </c>
      <c r="E34" s="50">
        <v>104355</v>
      </c>
      <c r="F34" s="50">
        <v>98231.07</v>
      </c>
      <c r="G34" s="51">
        <v>-5.868362800057492</v>
      </c>
      <c r="H34" s="49">
        <v>1661288.36</v>
      </c>
      <c r="I34" s="50">
        <v>540461.81</v>
      </c>
      <c r="J34" s="50">
        <v>577337.62</v>
      </c>
      <c r="K34" s="51">
        <v>6.823018632898403</v>
      </c>
      <c r="L34" s="137"/>
      <c r="P34" s="233">
        <f t="shared" si="3"/>
        <v>-6123.929999999993</v>
      </c>
      <c r="Q34" s="233">
        <f t="shared" si="4"/>
        <v>36875.80999999994</v>
      </c>
      <c r="R34" s="237">
        <f t="shared" si="5"/>
        <v>5.877342270627816</v>
      </c>
    </row>
    <row r="35" spans="2:18" ht="15">
      <c r="B35" s="377"/>
      <c r="C35" s="180" t="s">
        <v>129</v>
      </c>
      <c r="D35" s="49">
        <v>1652890.08</v>
      </c>
      <c r="E35" s="50">
        <v>868380</v>
      </c>
      <c r="F35" s="50">
        <v>976944</v>
      </c>
      <c r="G35" s="51">
        <v>12.501900089822438</v>
      </c>
      <c r="H35" s="49">
        <v>1271855.12</v>
      </c>
      <c r="I35" s="50">
        <v>582106.45</v>
      </c>
      <c r="J35" s="50">
        <v>895274.71</v>
      </c>
      <c r="K35" s="51">
        <v>53.799139315498046</v>
      </c>
      <c r="L35" s="137"/>
      <c r="P35" s="233">
        <f t="shared" si="3"/>
        <v>108564</v>
      </c>
      <c r="Q35" s="233">
        <f t="shared" si="4"/>
        <v>313168.26</v>
      </c>
      <c r="R35" s="237">
        <f t="shared" si="5"/>
        <v>0.9164033045906418</v>
      </c>
    </row>
    <row r="36" spans="2:18" ht="15">
      <c r="B36" s="377"/>
      <c r="C36" s="76" t="s">
        <v>77</v>
      </c>
      <c r="D36" s="49">
        <v>40728.8433</v>
      </c>
      <c r="E36" s="50">
        <v>22720.7638</v>
      </c>
      <c r="F36" s="50">
        <v>7241.4677</v>
      </c>
      <c r="G36" s="51">
        <v>-68.12841432733876</v>
      </c>
      <c r="H36" s="50">
        <v>243159.43</v>
      </c>
      <c r="I36" s="50">
        <v>136316.11</v>
      </c>
      <c r="J36" s="50">
        <v>38197.69</v>
      </c>
      <c r="K36" s="51">
        <v>-71.97859445959836</v>
      </c>
      <c r="L36" s="137"/>
      <c r="P36" s="233">
        <f t="shared" si="3"/>
        <v>-15479.2961</v>
      </c>
      <c r="Q36" s="233">
        <f t="shared" si="4"/>
        <v>-98118.41999999998</v>
      </c>
      <c r="R36" s="237">
        <f t="shared" si="5"/>
        <v>5.274854709356779</v>
      </c>
    </row>
    <row r="37" spans="2:18" ht="15">
      <c r="B37" s="377"/>
      <c r="C37" s="76" t="s">
        <v>90</v>
      </c>
      <c r="D37" s="49">
        <v>12965.68</v>
      </c>
      <c r="E37" s="50">
        <v>12965.68</v>
      </c>
      <c r="F37" s="50">
        <v>0</v>
      </c>
      <c r="G37" s="51">
        <v>-100</v>
      </c>
      <c r="H37" s="50">
        <v>130285.58</v>
      </c>
      <c r="I37" s="50">
        <v>130285.58</v>
      </c>
      <c r="J37" s="50">
        <v>0</v>
      </c>
      <c r="K37" s="51">
        <v>-100</v>
      </c>
      <c r="L37" s="137"/>
      <c r="P37" s="233">
        <f t="shared" si="3"/>
        <v>-12965.68</v>
      </c>
      <c r="Q37" s="233">
        <f t="shared" si="4"/>
        <v>-130285.58</v>
      </c>
      <c r="R37" s="237">
        <f t="shared" si="5"/>
        <v>0</v>
      </c>
    </row>
    <row r="38" spans="2:18" ht="15">
      <c r="B38" s="377"/>
      <c r="C38" s="76" t="s">
        <v>92</v>
      </c>
      <c r="D38" s="49">
        <v>19240</v>
      </c>
      <c r="E38" s="50">
        <v>19240</v>
      </c>
      <c r="F38" s="50">
        <v>0</v>
      </c>
      <c r="G38" s="51">
        <v>-100</v>
      </c>
      <c r="H38" s="50">
        <v>110573.94</v>
      </c>
      <c r="I38" s="50">
        <v>110573.94</v>
      </c>
      <c r="J38" s="50">
        <v>0</v>
      </c>
      <c r="K38" s="51">
        <v>-100</v>
      </c>
      <c r="L38" s="137"/>
      <c r="P38" s="233">
        <f t="shared" si="3"/>
        <v>-19240</v>
      </c>
      <c r="Q38" s="233">
        <f t="shared" si="4"/>
        <v>-110573.94</v>
      </c>
      <c r="R38" s="237">
        <f t="shared" si="5"/>
        <v>0</v>
      </c>
    </row>
    <row r="39" spans="2:18" ht="15">
      <c r="B39" s="377"/>
      <c r="C39" s="76" t="s">
        <v>79</v>
      </c>
      <c r="D39" s="49">
        <v>40000</v>
      </c>
      <c r="E39" s="50">
        <v>40000</v>
      </c>
      <c r="F39" s="50">
        <v>20000</v>
      </c>
      <c r="G39" s="51">
        <v>-50</v>
      </c>
      <c r="H39" s="50">
        <v>84962</v>
      </c>
      <c r="I39" s="50">
        <v>84962</v>
      </c>
      <c r="J39" s="50">
        <v>45606</v>
      </c>
      <c r="K39" s="51">
        <v>-46.32188507803489</v>
      </c>
      <c r="L39" s="137"/>
      <c r="P39" s="233">
        <f t="shared" si="3"/>
        <v>-20000</v>
      </c>
      <c r="Q39" s="233">
        <f t="shared" si="4"/>
        <v>-39356</v>
      </c>
      <c r="R39" s="237">
        <f t="shared" si="5"/>
        <v>2.2803</v>
      </c>
    </row>
    <row r="40" spans="2:18" ht="15">
      <c r="B40" s="377"/>
      <c r="C40" s="76" t="s">
        <v>96</v>
      </c>
      <c r="D40" s="49">
        <v>78000</v>
      </c>
      <c r="E40" s="50">
        <v>0</v>
      </c>
      <c r="F40" s="50">
        <v>0</v>
      </c>
      <c r="G40" s="51" t="s">
        <v>148</v>
      </c>
      <c r="H40" s="50">
        <v>74619.97</v>
      </c>
      <c r="I40" s="50">
        <v>0</v>
      </c>
      <c r="J40" s="50">
        <v>0</v>
      </c>
      <c r="K40" s="51" t="s">
        <v>148</v>
      </c>
      <c r="L40" s="137"/>
      <c r="P40" s="233">
        <f t="shared" si="3"/>
        <v>0</v>
      </c>
      <c r="Q40" s="233">
        <f t="shared" si="4"/>
        <v>0</v>
      </c>
      <c r="R40" s="237">
        <f t="shared" si="5"/>
        <v>0</v>
      </c>
    </row>
    <row r="41" spans="2:18" ht="15">
      <c r="B41" s="377"/>
      <c r="C41" s="76" t="s">
        <v>78</v>
      </c>
      <c r="D41" s="49">
        <v>3764.76</v>
      </c>
      <c r="E41" s="50">
        <v>1668.24</v>
      </c>
      <c r="F41" s="50">
        <v>578.76</v>
      </c>
      <c r="G41" s="51">
        <v>-65.30715005035248</v>
      </c>
      <c r="H41" s="50">
        <v>42976.84</v>
      </c>
      <c r="I41" s="50">
        <v>18992.71</v>
      </c>
      <c r="J41" s="50">
        <v>7260.14</v>
      </c>
      <c r="K41" s="51">
        <v>-61.77407015639158</v>
      </c>
      <c r="L41" s="137"/>
      <c r="P41" s="233">
        <f t="shared" si="3"/>
        <v>-1089.48</v>
      </c>
      <c r="Q41" s="233">
        <f t="shared" si="4"/>
        <v>-11732.57</v>
      </c>
      <c r="R41" s="237">
        <f t="shared" si="5"/>
        <v>12.544301610339346</v>
      </c>
    </row>
    <row r="42" spans="2:18" ht="12.75" customHeight="1">
      <c r="B42" s="377"/>
      <c r="C42" s="76" t="s">
        <v>81</v>
      </c>
      <c r="D42" s="49">
        <v>2109.8254</v>
      </c>
      <c r="E42" s="50">
        <v>1492.5854</v>
      </c>
      <c r="F42" s="50">
        <v>2239.2</v>
      </c>
      <c r="G42" s="51">
        <v>50.0215666051671</v>
      </c>
      <c r="H42" s="50">
        <v>11124.47</v>
      </c>
      <c r="I42" s="50">
        <v>7229.36</v>
      </c>
      <c r="J42" s="50">
        <v>15297.74</v>
      </c>
      <c r="K42" s="51">
        <v>111.60572996779798</v>
      </c>
      <c r="L42" s="138"/>
      <c r="P42" s="233">
        <f t="shared" si="3"/>
        <v>746.6145999999999</v>
      </c>
      <c r="Q42" s="233">
        <f t="shared" si="4"/>
        <v>8068.38</v>
      </c>
      <c r="R42" s="237">
        <f t="shared" si="5"/>
        <v>6.8317881386209365</v>
      </c>
    </row>
    <row r="43" spans="2:18" ht="12.75" customHeight="1">
      <c r="B43" s="377"/>
      <c r="C43" s="76" t="s">
        <v>103</v>
      </c>
      <c r="D43" s="49">
        <v>1800</v>
      </c>
      <c r="E43" s="50">
        <v>1200</v>
      </c>
      <c r="F43" s="50">
        <v>2030.88</v>
      </c>
      <c r="G43" s="51">
        <v>69.24000000000001</v>
      </c>
      <c r="H43" s="50">
        <v>7396.43</v>
      </c>
      <c r="I43" s="50">
        <v>4842.71</v>
      </c>
      <c r="J43" s="50">
        <v>4648.64</v>
      </c>
      <c r="K43" s="51">
        <v>-4.007466893536882</v>
      </c>
      <c r="L43" s="137"/>
      <c r="P43" s="233">
        <f t="shared" si="3"/>
        <v>830.8800000000001</v>
      </c>
      <c r="Q43" s="233">
        <f t="shared" si="4"/>
        <v>-194.0699999999997</v>
      </c>
      <c r="R43" s="237">
        <f t="shared" si="5"/>
        <v>2.288978176947924</v>
      </c>
    </row>
    <row r="44" spans="2:18" ht="15">
      <c r="B44" s="377"/>
      <c r="C44" s="76" t="s">
        <v>100</v>
      </c>
      <c r="D44" s="49">
        <v>1140</v>
      </c>
      <c r="E44" s="50">
        <v>0</v>
      </c>
      <c r="F44" s="50">
        <v>0</v>
      </c>
      <c r="G44" s="51" t="s">
        <v>148</v>
      </c>
      <c r="H44" s="50">
        <v>3243.35</v>
      </c>
      <c r="I44" s="50">
        <v>0</v>
      </c>
      <c r="J44" s="50">
        <v>0</v>
      </c>
      <c r="K44" s="51" t="s">
        <v>148</v>
      </c>
      <c r="L44" s="137"/>
      <c r="P44" s="233">
        <f t="shared" si="3"/>
        <v>0</v>
      </c>
      <c r="Q44" s="233">
        <f t="shared" si="4"/>
        <v>0</v>
      </c>
      <c r="R44" s="237">
        <f t="shared" si="5"/>
        <v>0</v>
      </c>
    </row>
    <row r="45" spans="2:18" ht="15">
      <c r="B45" s="377"/>
      <c r="C45" s="76" t="s">
        <v>102</v>
      </c>
      <c r="D45" s="49">
        <v>796</v>
      </c>
      <c r="E45" s="50">
        <v>242</v>
      </c>
      <c r="F45" s="50">
        <v>293</v>
      </c>
      <c r="G45" s="51">
        <v>21.074380165289263</v>
      </c>
      <c r="H45" s="50">
        <v>2957.06</v>
      </c>
      <c r="I45" s="50">
        <v>721.48</v>
      </c>
      <c r="J45" s="50">
        <v>1307.96</v>
      </c>
      <c r="K45" s="51">
        <v>81.28846260464601</v>
      </c>
      <c r="L45" s="137"/>
      <c r="P45" s="233">
        <f t="shared" si="3"/>
        <v>51</v>
      </c>
      <c r="Q45" s="233">
        <f t="shared" si="4"/>
        <v>586.48</v>
      </c>
      <c r="R45" s="237">
        <f t="shared" si="5"/>
        <v>4.464027303754266</v>
      </c>
    </row>
    <row r="46" spans="2:18" ht="15">
      <c r="B46" s="377"/>
      <c r="C46" s="76" t="s">
        <v>99</v>
      </c>
      <c r="D46" s="49">
        <v>447.36</v>
      </c>
      <c r="E46" s="50">
        <v>367.36</v>
      </c>
      <c r="F46" s="50">
        <v>160</v>
      </c>
      <c r="G46" s="51">
        <v>-56.44599303135889</v>
      </c>
      <c r="H46" s="50">
        <v>2632.47</v>
      </c>
      <c r="I46" s="50">
        <v>2054.24</v>
      </c>
      <c r="J46" s="50">
        <v>1123.27</v>
      </c>
      <c r="K46" s="51">
        <v>-45.31943687203053</v>
      </c>
      <c r="L46" s="138"/>
      <c r="P46" s="233">
        <f t="shared" si="3"/>
        <v>-207.36</v>
      </c>
      <c r="Q46" s="233">
        <f t="shared" si="4"/>
        <v>-930.9699999999998</v>
      </c>
      <c r="R46" s="237">
        <f t="shared" si="5"/>
        <v>7.0204375</v>
      </c>
    </row>
    <row r="47" spans="2:18" ht="12.75" customHeight="1">
      <c r="B47" s="377"/>
      <c r="C47" s="76" t="s">
        <v>98</v>
      </c>
      <c r="D47" s="49">
        <v>1162.5232</v>
      </c>
      <c r="E47" s="50">
        <v>312.0385</v>
      </c>
      <c r="F47" s="50">
        <v>2166.1677</v>
      </c>
      <c r="G47" s="51">
        <v>594.1988568718283</v>
      </c>
      <c r="H47" s="50">
        <v>2451.04</v>
      </c>
      <c r="I47" s="50">
        <v>730.05</v>
      </c>
      <c r="J47" s="50">
        <v>2015.59</v>
      </c>
      <c r="K47" s="51">
        <v>176.0893089514417</v>
      </c>
      <c r="L47" s="137"/>
      <c r="P47" s="233">
        <f t="shared" si="3"/>
        <v>1854.1291999999999</v>
      </c>
      <c r="Q47" s="233">
        <f t="shared" si="4"/>
        <v>1285.54</v>
      </c>
      <c r="R47" s="237">
        <f t="shared" si="5"/>
        <v>0.9304865915967633</v>
      </c>
    </row>
    <row r="48" spans="2:18" ht="15">
      <c r="B48" s="377"/>
      <c r="C48" s="76" t="s">
        <v>95</v>
      </c>
      <c r="D48" s="49">
        <v>80</v>
      </c>
      <c r="E48" s="50">
        <v>0</v>
      </c>
      <c r="F48" s="50">
        <v>0</v>
      </c>
      <c r="G48" s="51" t="s">
        <v>148</v>
      </c>
      <c r="H48" s="50">
        <v>547.45</v>
      </c>
      <c r="I48" s="50">
        <v>0</v>
      </c>
      <c r="J48" s="50">
        <v>0</v>
      </c>
      <c r="K48" s="51" t="s">
        <v>148</v>
      </c>
      <c r="L48" s="137"/>
      <c r="P48" s="233">
        <f t="shared" si="3"/>
        <v>0</v>
      </c>
      <c r="Q48" s="233">
        <f t="shared" si="4"/>
        <v>0</v>
      </c>
      <c r="R48" s="237">
        <f t="shared" si="5"/>
        <v>0</v>
      </c>
    </row>
    <row r="49" spans="2:18" ht="15">
      <c r="B49" s="377"/>
      <c r="C49" s="76" t="s">
        <v>171</v>
      </c>
      <c r="D49" s="49">
        <v>43.4692</v>
      </c>
      <c r="E49" s="50">
        <v>0</v>
      </c>
      <c r="F49" s="50">
        <v>11.25</v>
      </c>
      <c r="G49" s="51" t="s">
        <v>148</v>
      </c>
      <c r="H49" s="50">
        <v>83.1</v>
      </c>
      <c r="I49" s="50">
        <v>0</v>
      </c>
      <c r="J49" s="50">
        <v>115.97</v>
      </c>
      <c r="K49" s="51" t="s">
        <v>148</v>
      </c>
      <c r="L49" s="137"/>
      <c r="P49" s="233">
        <f t="shared" si="3"/>
        <v>11.25</v>
      </c>
      <c r="Q49" s="233">
        <f t="shared" si="4"/>
        <v>115.97</v>
      </c>
      <c r="R49" s="237">
        <f t="shared" si="5"/>
        <v>10.308444444444444</v>
      </c>
    </row>
    <row r="50" spans="2:18" ht="15">
      <c r="B50" s="377"/>
      <c r="C50" s="76" t="s">
        <v>184</v>
      </c>
      <c r="D50" s="49">
        <v>0.4231</v>
      </c>
      <c r="E50" s="50">
        <v>0</v>
      </c>
      <c r="F50" s="50">
        <v>4920</v>
      </c>
      <c r="G50" s="51" t="s">
        <v>148</v>
      </c>
      <c r="H50" s="50">
        <v>74.3</v>
      </c>
      <c r="I50" s="50">
        <v>0</v>
      </c>
      <c r="J50" s="50">
        <v>11285.55</v>
      </c>
      <c r="K50" s="51" t="s">
        <v>148</v>
      </c>
      <c r="L50" s="137"/>
      <c r="P50" s="233">
        <f t="shared" si="3"/>
        <v>4920</v>
      </c>
      <c r="Q50" s="233">
        <f t="shared" si="4"/>
        <v>11285.55</v>
      </c>
      <c r="R50" s="237">
        <f t="shared" si="5"/>
        <v>2.2938109756097558</v>
      </c>
    </row>
    <row r="51" spans="2:18" ht="15">
      <c r="B51" s="377"/>
      <c r="C51" s="76" t="s">
        <v>215</v>
      </c>
      <c r="D51" s="49">
        <v>0</v>
      </c>
      <c r="E51" s="50">
        <v>0</v>
      </c>
      <c r="F51" s="50">
        <v>3</v>
      </c>
      <c r="G51" s="51" t="s">
        <v>148</v>
      </c>
      <c r="H51" s="50">
        <v>0</v>
      </c>
      <c r="I51" s="50">
        <v>0</v>
      </c>
      <c r="J51" s="50">
        <v>230.91</v>
      </c>
      <c r="K51" s="51" t="s">
        <v>148</v>
      </c>
      <c r="L51" s="137"/>
      <c r="P51" s="233">
        <f t="shared" si="3"/>
        <v>3</v>
      </c>
      <c r="Q51" s="233">
        <f t="shared" si="4"/>
        <v>230.91</v>
      </c>
      <c r="R51" s="237">
        <f t="shared" si="5"/>
        <v>76.97</v>
      </c>
    </row>
    <row r="52" spans="2:18" ht="15">
      <c r="B52" s="377"/>
      <c r="C52" s="76" t="s">
        <v>205</v>
      </c>
      <c r="D52" s="49">
        <v>0</v>
      </c>
      <c r="E52" s="50">
        <v>0</v>
      </c>
      <c r="F52" s="50">
        <v>10.05</v>
      </c>
      <c r="G52" s="51" t="s">
        <v>148</v>
      </c>
      <c r="H52" s="50">
        <v>0</v>
      </c>
      <c r="I52" s="50">
        <v>0</v>
      </c>
      <c r="J52" s="50">
        <v>51.27</v>
      </c>
      <c r="K52" s="51" t="s">
        <v>148</v>
      </c>
      <c r="L52" s="137"/>
      <c r="P52" s="233"/>
      <c r="Q52" s="233"/>
      <c r="R52" s="237"/>
    </row>
    <row r="53" spans="2:18" ht="15">
      <c r="B53" s="156" t="s">
        <v>114</v>
      </c>
      <c r="C53" s="157"/>
      <c r="D53" s="69">
        <v>2694741.7803999996</v>
      </c>
      <c r="E53" s="70">
        <v>1328866.6554999999</v>
      </c>
      <c r="F53" s="70">
        <v>1425021.0575999997</v>
      </c>
      <c r="G53" s="71">
        <v>7.235820215822986</v>
      </c>
      <c r="H53" s="70">
        <v>7435632.760000001</v>
      </c>
      <c r="I53" s="70">
        <v>3455404.5</v>
      </c>
      <c r="J53" s="70">
        <v>3737344.31</v>
      </c>
      <c r="K53" s="71">
        <v>8.159386549389524</v>
      </c>
      <c r="L53" s="137"/>
      <c r="O53" s="305">
        <f>+J53/$J$93</f>
        <v>0.08012672523499151</v>
      </c>
      <c r="P53" s="233">
        <f aca="true" t="shared" si="6" ref="P53:P71">+F53-E53</f>
        <v>96154.40209999983</v>
      </c>
      <c r="Q53" s="233">
        <f aca="true" t="shared" si="7" ref="Q53:Q71">+J53-I53</f>
        <v>281939.81000000006</v>
      </c>
      <c r="R53" s="237">
        <f aca="true" t="shared" si="8" ref="R53:R71">+IF(F53=0,0,J53/F53)</f>
        <v>2.622659005681209</v>
      </c>
    </row>
    <row r="54" spans="2:18" ht="15">
      <c r="B54" s="360" t="s">
        <v>83</v>
      </c>
      <c r="C54" s="76" t="s">
        <v>129</v>
      </c>
      <c r="D54" s="49">
        <v>527825</v>
      </c>
      <c r="E54" s="50">
        <v>60000</v>
      </c>
      <c r="F54" s="50">
        <v>345500</v>
      </c>
      <c r="G54" s="51">
        <v>475.83333333333337</v>
      </c>
      <c r="H54" s="50">
        <v>614862.91</v>
      </c>
      <c r="I54" s="50">
        <v>50926.33</v>
      </c>
      <c r="J54" s="50">
        <v>433963.35</v>
      </c>
      <c r="K54" s="51">
        <v>752.1394532062294</v>
      </c>
      <c r="L54" s="137"/>
      <c r="P54" s="233">
        <f t="shared" si="6"/>
        <v>285500</v>
      </c>
      <c r="Q54" s="233">
        <f t="shared" si="7"/>
        <v>383037.01999999996</v>
      </c>
      <c r="R54" s="237">
        <f t="shared" si="8"/>
        <v>1.2560444283646888</v>
      </c>
    </row>
    <row r="55" spans="2:18" ht="12.75" customHeight="1">
      <c r="B55" s="361"/>
      <c r="C55" s="76" t="s">
        <v>127</v>
      </c>
      <c r="D55" s="49">
        <v>419530</v>
      </c>
      <c r="E55" s="50">
        <v>244944</v>
      </c>
      <c r="F55" s="50">
        <v>96390</v>
      </c>
      <c r="G55" s="51">
        <v>-60.64814814814814</v>
      </c>
      <c r="H55" s="50">
        <v>561780.2</v>
      </c>
      <c r="I55" s="50">
        <v>346641.82</v>
      </c>
      <c r="J55" s="50">
        <v>148293.17</v>
      </c>
      <c r="K55" s="51">
        <v>-57.22005786837837</v>
      </c>
      <c r="L55" s="137"/>
      <c r="O55" s="228"/>
      <c r="P55" s="233">
        <f t="shared" si="6"/>
        <v>-148554</v>
      </c>
      <c r="Q55" s="233">
        <f t="shared" si="7"/>
        <v>-198348.65</v>
      </c>
      <c r="R55" s="237">
        <f t="shared" si="8"/>
        <v>1.5384704844900925</v>
      </c>
    </row>
    <row r="56" spans="2:18" ht="12.75" customHeight="1">
      <c r="B56" s="361"/>
      <c r="C56" s="76" t="s">
        <v>101</v>
      </c>
      <c r="D56" s="49">
        <v>441336</v>
      </c>
      <c r="E56" s="50">
        <v>231336</v>
      </c>
      <c r="F56" s="50">
        <v>126000</v>
      </c>
      <c r="G56" s="51">
        <v>-45.53376906318083</v>
      </c>
      <c r="H56" s="50">
        <v>303623.02</v>
      </c>
      <c r="I56" s="50">
        <v>178867.58</v>
      </c>
      <c r="J56" s="50">
        <v>82700.64</v>
      </c>
      <c r="K56" s="51">
        <v>-53.764321069251345</v>
      </c>
      <c r="L56" s="137"/>
      <c r="O56" s="228"/>
      <c r="P56" s="233">
        <f t="shared" si="6"/>
        <v>-105336</v>
      </c>
      <c r="Q56" s="233">
        <f t="shared" si="7"/>
        <v>-96166.93999999999</v>
      </c>
      <c r="R56" s="237">
        <f t="shared" si="8"/>
        <v>0.6563542857142857</v>
      </c>
    </row>
    <row r="57" spans="2:18" ht="12.75" customHeight="1">
      <c r="B57" s="361"/>
      <c r="C57" s="76" t="s">
        <v>95</v>
      </c>
      <c r="D57" s="49">
        <v>444036</v>
      </c>
      <c r="E57" s="50">
        <v>259086</v>
      </c>
      <c r="F57" s="50">
        <v>160025</v>
      </c>
      <c r="G57" s="51">
        <v>-38.234794624178846</v>
      </c>
      <c r="H57" s="50">
        <v>293163.52</v>
      </c>
      <c r="I57" s="50">
        <v>175156.44</v>
      </c>
      <c r="J57" s="50">
        <v>117031.89</v>
      </c>
      <c r="K57" s="51">
        <v>-33.184363646577886</v>
      </c>
      <c r="L57" s="137"/>
      <c r="O57" s="228"/>
      <c r="P57" s="233">
        <f t="shared" si="6"/>
        <v>-99061</v>
      </c>
      <c r="Q57" s="233">
        <f t="shared" si="7"/>
        <v>-58124.55</v>
      </c>
      <c r="R57" s="237">
        <f t="shared" si="8"/>
        <v>0.7313350413997812</v>
      </c>
    </row>
    <row r="58" spans="2:18" ht="12.75">
      <c r="B58" s="361"/>
      <c r="C58" s="76" t="s">
        <v>99</v>
      </c>
      <c r="D58" s="49">
        <v>124320</v>
      </c>
      <c r="E58" s="50">
        <v>63000</v>
      </c>
      <c r="F58" s="50">
        <v>147000</v>
      </c>
      <c r="G58" s="51">
        <v>133.33333333333334</v>
      </c>
      <c r="H58" s="50">
        <v>83268.54</v>
      </c>
      <c r="I58" s="50">
        <v>42474</v>
      </c>
      <c r="J58" s="50">
        <v>106466.56</v>
      </c>
      <c r="K58" s="51">
        <v>150.66289965626027</v>
      </c>
      <c r="L58" s="137"/>
      <c r="O58" s="228"/>
      <c r="P58" s="233">
        <f t="shared" si="6"/>
        <v>84000</v>
      </c>
      <c r="Q58" s="233">
        <f t="shared" si="7"/>
        <v>63992.56</v>
      </c>
      <c r="R58" s="237">
        <f t="shared" si="8"/>
        <v>0.7242623129251701</v>
      </c>
    </row>
    <row r="59" spans="2:18" ht="12.75">
      <c r="B59" s="361"/>
      <c r="C59" s="76" t="s">
        <v>100</v>
      </c>
      <c r="D59" s="49">
        <v>52050</v>
      </c>
      <c r="E59" s="50">
        <v>2050</v>
      </c>
      <c r="F59" s="50">
        <v>43000</v>
      </c>
      <c r="G59" s="51">
        <v>1997.5609756097563</v>
      </c>
      <c r="H59" s="50">
        <v>36152.24</v>
      </c>
      <c r="I59" s="50">
        <v>2950</v>
      </c>
      <c r="J59" s="50">
        <v>30153.47</v>
      </c>
      <c r="K59" s="51">
        <v>922.1515254237289</v>
      </c>
      <c r="L59" s="138"/>
      <c r="O59" s="228"/>
      <c r="P59" s="233">
        <f t="shared" si="6"/>
        <v>40950</v>
      </c>
      <c r="Q59" s="233">
        <f t="shared" si="7"/>
        <v>27203.47</v>
      </c>
      <c r="R59" s="237">
        <f t="shared" si="8"/>
        <v>0.701243488372093</v>
      </c>
    </row>
    <row r="60" spans="2:18" ht="12.75">
      <c r="B60" s="361"/>
      <c r="C60" s="76" t="s">
        <v>182</v>
      </c>
      <c r="D60" s="49">
        <v>60000</v>
      </c>
      <c r="E60" s="50">
        <v>20000</v>
      </c>
      <c r="F60" s="50">
        <v>40000</v>
      </c>
      <c r="G60" s="51">
        <v>100</v>
      </c>
      <c r="H60" s="50">
        <v>35415.13</v>
      </c>
      <c r="I60" s="50">
        <v>11804.33</v>
      </c>
      <c r="J60" s="50">
        <v>25635.99</v>
      </c>
      <c r="K60" s="51">
        <v>117.17446055811726</v>
      </c>
      <c r="L60" s="138"/>
      <c r="O60" s="228"/>
      <c r="P60" s="233">
        <f t="shared" si="6"/>
        <v>20000</v>
      </c>
      <c r="Q60" s="233">
        <f t="shared" si="7"/>
        <v>13831.660000000002</v>
      </c>
      <c r="R60" s="237">
        <f t="shared" si="8"/>
        <v>0.64089975</v>
      </c>
    </row>
    <row r="61" spans="2:18" ht="12.75">
      <c r="B61" s="361"/>
      <c r="C61" s="76" t="s">
        <v>110</v>
      </c>
      <c r="D61" s="49">
        <v>17500</v>
      </c>
      <c r="E61" s="50">
        <v>17500</v>
      </c>
      <c r="F61" s="50">
        <v>0</v>
      </c>
      <c r="G61" s="51">
        <v>-100</v>
      </c>
      <c r="H61" s="50">
        <v>11423.48</v>
      </c>
      <c r="I61" s="50">
        <v>11423.48</v>
      </c>
      <c r="J61" s="50">
        <v>0</v>
      </c>
      <c r="K61" s="51">
        <v>-100</v>
      </c>
      <c r="L61" s="138"/>
      <c r="O61" s="228"/>
      <c r="P61" s="233">
        <f t="shared" si="6"/>
        <v>-17500</v>
      </c>
      <c r="Q61" s="233">
        <f t="shared" si="7"/>
        <v>-11423.48</v>
      </c>
      <c r="R61" s="237">
        <f t="shared" si="8"/>
        <v>0</v>
      </c>
    </row>
    <row r="62" spans="2:18" ht="12.75" customHeight="1">
      <c r="B62" s="361"/>
      <c r="C62" s="76" t="s">
        <v>102</v>
      </c>
      <c r="D62" s="49">
        <v>3971.6363</v>
      </c>
      <c r="E62" s="50">
        <v>3000</v>
      </c>
      <c r="F62" s="50">
        <v>3000</v>
      </c>
      <c r="G62" s="51">
        <v>0</v>
      </c>
      <c r="H62" s="50">
        <v>4352.71</v>
      </c>
      <c r="I62" s="50">
        <v>2194.87</v>
      </c>
      <c r="J62" s="50">
        <v>2188.74</v>
      </c>
      <c r="K62" s="51">
        <v>-0.2792876115669807</v>
      </c>
      <c r="L62" s="137"/>
      <c r="O62" s="228"/>
      <c r="P62" s="233">
        <f t="shared" si="6"/>
        <v>0</v>
      </c>
      <c r="Q62" s="233">
        <f t="shared" si="7"/>
        <v>-6.130000000000109</v>
      </c>
      <c r="R62" s="237">
        <f t="shared" si="8"/>
        <v>0.7295799999999999</v>
      </c>
    </row>
    <row r="63" spans="2:18" ht="12.75">
      <c r="B63" s="361"/>
      <c r="C63" s="76" t="s">
        <v>97</v>
      </c>
      <c r="D63" s="49">
        <v>10</v>
      </c>
      <c r="E63" s="50">
        <v>7.5</v>
      </c>
      <c r="F63" s="50">
        <v>48000</v>
      </c>
      <c r="G63" s="51">
        <v>639900</v>
      </c>
      <c r="H63" s="50">
        <v>950.23</v>
      </c>
      <c r="I63" s="50">
        <v>701.37</v>
      </c>
      <c r="J63" s="50">
        <v>27360</v>
      </c>
      <c r="K63" s="51">
        <v>3800.936738098293</v>
      </c>
      <c r="L63" s="137"/>
      <c r="O63" s="228"/>
      <c r="P63" s="233">
        <f t="shared" si="6"/>
        <v>47992.5</v>
      </c>
      <c r="Q63" s="233">
        <f t="shared" si="7"/>
        <v>26658.63</v>
      </c>
      <c r="R63" s="237">
        <f t="shared" si="8"/>
        <v>0.57</v>
      </c>
    </row>
    <row r="64" spans="2:18" ht="12.75">
      <c r="B64" s="361"/>
      <c r="C64" s="76" t="s">
        <v>80</v>
      </c>
      <c r="D64" s="49">
        <v>4725</v>
      </c>
      <c r="E64" s="50">
        <v>900</v>
      </c>
      <c r="F64" s="50">
        <v>450</v>
      </c>
      <c r="G64" s="51">
        <v>-50</v>
      </c>
      <c r="H64" s="50">
        <v>851.47</v>
      </c>
      <c r="I64" s="50">
        <v>140.38</v>
      </c>
      <c r="J64" s="50">
        <v>70.19</v>
      </c>
      <c r="K64" s="51">
        <v>-50</v>
      </c>
      <c r="L64" s="137"/>
      <c r="O64" s="228"/>
      <c r="P64" s="233">
        <f t="shared" si="6"/>
        <v>-450</v>
      </c>
      <c r="Q64" s="233">
        <f t="shared" si="7"/>
        <v>-70.19</v>
      </c>
      <c r="R64" s="237">
        <f t="shared" si="8"/>
        <v>0.15597777777777777</v>
      </c>
    </row>
    <row r="65" spans="2:18" ht="12.75" customHeight="1">
      <c r="B65" s="361"/>
      <c r="C65" s="76" t="s">
        <v>190</v>
      </c>
      <c r="D65" s="49">
        <v>1.628</v>
      </c>
      <c r="E65" s="50">
        <v>0.7286</v>
      </c>
      <c r="F65" s="50">
        <v>0</v>
      </c>
      <c r="G65" s="51">
        <v>-100</v>
      </c>
      <c r="H65" s="50">
        <v>381.74</v>
      </c>
      <c r="I65" s="50">
        <v>230.23</v>
      </c>
      <c r="J65" s="50">
        <v>0</v>
      </c>
      <c r="K65" s="51">
        <v>-100</v>
      </c>
      <c r="L65" s="137"/>
      <c r="O65" s="228"/>
      <c r="P65" s="233">
        <f t="shared" si="6"/>
        <v>-0.7286</v>
      </c>
      <c r="Q65" s="233">
        <f t="shared" si="7"/>
        <v>-230.23</v>
      </c>
      <c r="R65" s="237">
        <f t="shared" si="8"/>
        <v>0</v>
      </c>
    </row>
    <row r="66" spans="2:18" ht="12.75" customHeight="1">
      <c r="B66" s="361"/>
      <c r="C66" s="76" t="s">
        <v>171</v>
      </c>
      <c r="D66" s="49">
        <v>30</v>
      </c>
      <c r="E66" s="50">
        <v>30</v>
      </c>
      <c r="F66" s="50">
        <v>112.9692</v>
      </c>
      <c r="G66" s="51">
        <v>276.56399999999996</v>
      </c>
      <c r="H66" s="50">
        <v>139.98</v>
      </c>
      <c r="I66" s="50">
        <v>139.98</v>
      </c>
      <c r="J66" s="50">
        <v>724.35</v>
      </c>
      <c r="K66" s="51">
        <v>417.4667809687099</v>
      </c>
      <c r="L66" s="137"/>
      <c r="O66" s="228"/>
      <c r="P66" s="233">
        <f t="shared" si="6"/>
        <v>82.9692</v>
      </c>
      <c r="Q66" s="233">
        <f t="shared" si="7"/>
        <v>584.37</v>
      </c>
      <c r="R66" s="237">
        <f t="shared" si="8"/>
        <v>6.411924666192201</v>
      </c>
    </row>
    <row r="67" spans="2:18" ht="12.75">
      <c r="B67" s="361"/>
      <c r="C67" s="76" t="s">
        <v>96</v>
      </c>
      <c r="D67" s="49">
        <v>0.5</v>
      </c>
      <c r="E67" s="50">
        <v>0</v>
      </c>
      <c r="F67" s="50">
        <v>0</v>
      </c>
      <c r="G67" s="51" t="s">
        <v>148</v>
      </c>
      <c r="H67" s="50">
        <v>69.4</v>
      </c>
      <c r="I67" s="50">
        <v>0</v>
      </c>
      <c r="J67" s="50">
        <v>0</v>
      </c>
      <c r="K67" s="51" t="s">
        <v>148</v>
      </c>
      <c r="L67" s="137"/>
      <c r="O67" s="228"/>
      <c r="P67" s="233">
        <f t="shared" si="6"/>
        <v>0</v>
      </c>
      <c r="Q67" s="233">
        <f t="shared" si="7"/>
        <v>0</v>
      </c>
      <c r="R67" s="237">
        <f t="shared" si="8"/>
        <v>0</v>
      </c>
    </row>
    <row r="68" spans="2:18" ht="12.75" customHeight="1">
      <c r="B68" s="361"/>
      <c r="C68" s="76" t="s">
        <v>98</v>
      </c>
      <c r="D68" s="49">
        <v>40</v>
      </c>
      <c r="E68" s="50">
        <v>40</v>
      </c>
      <c r="F68" s="50">
        <v>0</v>
      </c>
      <c r="G68" s="51">
        <v>-100</v>
      </c>
      <c r="H68" s="50">
        <v>60.4</v>
      </c>
      <c r="I68" s="50">
        <v>60.4</v>
      </c>
      <c r="J68" s="50">
        <v>0</v>
      </c>
      <c r="K68" s="51">
        <v>-100</v>
      </c>
      <c r="L68" s="138"/>
      <c r="O68" s="228"/>
      <c r="P68" s="233">
        <f t="shared" si="6"/>
        <v>-40</v>
      </c>
      <c r="Q68" s="233">
        <f t="shared" si="7"/>
        <v>-60.4</v>
      </c>
      <c r="R68" s="237">
        <f t="shared" si="8"/>
        <v>0</v>
      </c>
    </row>
    <row r="69" spans="2:18" ht="12.75" customHeight="1">
      <c r="B69" s="156" t="s">
        <v>116</v>
      </c>
      <c r="C69" s="157"/>
      <c r="D69" s="69">
        <v>2095375.7643</v>
      </c>
      <c r="E69" s="70">
        <v>901894.2286</v>
      </c>
      <c r="F69" s="70">
        <v>1009477.9692</v>
      </c>
      <c r="G69" s="71">
        <v>11.928642759694895</v>
      </c>
      <c r="H69" s="70">
        <v>1946494.97</v>
      </c>
      <c r="I69" s="70">
        <v>823711.21</v>
      </c>
      <c r="J69" s="70">
        <v>974588.3499999999</v>
      </c>
      <c r="K69" s="71">
        <v>18.316752056828257</v>
      </c>
      <c r="L69" s="137"/>
      <c r="O69" s="305">
        <f>+J69/$J$93</f>
        <v>0.02089466917156309</v>
      </c>
      <c r="P69" s="233">
        <f t="shared" si="6"/>
        <v>107583.74060000002</v>
      </c>
      <c r="Q69" s="233">
        <f t="shared" si="7"/>
        <v>150877.1399999999</v>
      </c>
      <c r="R69" s="237">
        <f t="shared" si="8"/>
        <v>0.9654379587623395</v>
      </c>
    </row>
    <row r="70" spans="2:18" ht="12.75" customHeight="1">
      <c r="B70" s="360" t="s">
        <v>86</v>
      </c>
      <c r="C70" s="76" t="s">
        <v>79</v>
      </c>
      <c r="D70" s="49">
        <v>2700351.2</v>
      </c>
      <c r="E70" s="50">
        <v>432000</v>
      </c>
      <c r="F70" s="50">
        <v>0</v>
      </c>
      <c r="G70" s="51">
        <v>-100</v>
      </c>
      <c r="H70" s="50">
        <v>526560.05</v>
      </c>
      <c r="I70" s="50">
        <v>82667.8</v>
      </c>
      <c r="J70" s="50">
        <v>0</v>
      </c>
      <c r="K70" s="51">
        <v>-100</v>
      </c>
      <c r="L70" s="137"/>
      <c r="O70" s="228"/>
      <c r="P70" s="233">
        <f t="shared" si="6"/>
        <v>-432000</v>
      </c>
      <c r="Q70" s="233">
        <f t="shared" si="7"/>
        <v>-82667.8</v>
      </c>
      <c r="R70" s="237">
        <f t="shared" si="8"/>
        <v>0</v>
      </c>
    </row>
    <row r="71" spans="2:18" ht="12.75">
      <c r="B71" s="361"/>
      <c r="C71" s="76" t="s">
        <v>96</v>
      </c>
      <c r="D71" s="49">
        <v>103976</v>
      </c>
      <c r="E71" s="50">
        <v>0</v>
      </c>
      <c r="F71" s="50">
        <v>57323.0769</v>
      </c>
      <c r="G71" s="51" t="s">
        <v>148</v>
      </c>
      <c r="H71" s="50">
        <v>75689.76</v>
      </c>
      <c r="I71" s="50">
        <v>0</v>
      </c>
      <c r="J71" s="50">
        <v>58523.86</v>
      </c>
      <c r="K71" s="51" t="s">
        <v>148</v>
      </c>
      <c r="L71" s="137"/>
      <c r="O71" s="228"/>
      <c r="P71" s="233">
        <f t="shared" si="6"/>
        <v>57323.0769</v>
      </c>
      <c r="Q71" s="233">
        <f t="shared" si="7"/>
        <v>58523.86</v>
      </c>
      <c r="R71" s="237">
        <f t="shared" si="8"/>
        <v>1.0209476386289376</v>
      </c>
    </row>
    <row r="72" spans="2:18" ht="12.75" customHeight="1">
      <c r="B72" s="361"/>
      <c r="C72" s="76" t="s">
        <v>127</v>
      </c>
      <c r="D72" s="49">
        <v>704</v>
      </c>
      <c r="E72" s="50">
        <v>0</v>
      </c>
      <c r="F72" s="50">
        <v>0</v>
      </c>
      <c r="G72" s="51" t="s">
        <v>148</v>
      </c>
      <c r="H72" s="50">
        <v>52908.14</v>
      </c>
      <c r="I72" s="50">
        <v>0</v>
      </c>
      <c r="J72" s="50">
        <v>0</v>
      </c>
      <c r="K72" s="51" t="s">
        <v>148</v>
      </c>
      <c r="L72" s="137"/>
      <c r="O72" s="228"/>
      <c r="P72" s="233">
        <f aca="true" t="shared" si="9" ref="P72:P93">+F72-E72</f>
        <v>0</v>
      </c>
      <c r="Q72" s="233">
        <f aca="true" t="shared" si="10" ref="Q72:Q93">+J72-I72</f>
        <v>0</v>
      </c>
      <c r="R72" s="237">
        <f aca="true" t="shared" si="11" ref="R72:R93">+IF(F72=0,0,J72/F72)</f>
        <v>0</v>
      </c>
    </row>
    <row r="73" spans="2:18" ht="12.75" customHeight="1">
      <c r="B73" s="361"/>
      <c r="C73" s="76" t="s">
        <v>77</v>
      </c>
      <c r="D73" s="49">
        <v>10598.4346</v>
      </c>
      <c r="E73" s="50">
        <v>6485.9346</v>
      </c>
      <c r="F73" s="50">
        <v>1256.69</v>
      </c>
      <c r="G73" s="51">
        <v>-80.62438064053251</v>
      </c>
      <c r="H73" s="50">
        <v>9606.6</v>
      </c>
      <c r="I73" s="50">
        <v>2147.17</v>
      </c>
      <c r="J73" s="50">
        <v>209.94</v>
      </c>
      <c r="K73" s="51">
        <v>-90.22247889081908</v>
      </c>
      <c r="L73" s="137"/>
      <c r="O73" s="228"/>
      <c r="P73" s="233">
        <f t="shared" si="9"/>
        <v>-5229.2446</v>
      </c>
      <c r="Q73" s="233">
        <f t="shared" si="10"/>
        <v>-1937.23</v>
      </c>
      <c r="R73" s="237">
        <f t="shared" si="11"/>
        <v>0.16705790608662438</v>
      </c>
    </row>
    <row r="74" spans="2:18" ht="12.75" customHeight="1">
      <c r="B74" s="361"/>
      <c r="C74" s="76" t="s">
        <v>76</v>
      </c>
      <c r="D74" s="49">
        <v>2880</v>
      </c>
      <c r="E74" s="50">
        <v>0</v>
      </c>
      <c r="F74" s="50">
        <v>0</v>
      </c>
      <c r="G74" s="51" t="s">
        <v>148</v>
      </c>
      <c r="H74" s="50">
        <v>5350</v>
      </c>
      <c r="I74" s="50">
        <v>0</v>
      </c>
      <c r="J74" s="50">
        <v>0</v>
      </c>
      <c r="K74" s="51" t="s">
        <v>148</v>
      </c>
      <c r="L74" s="137"/>
      <c r="O74" s="228"/>
      <c r="P74" s="233">
        <f t="shared" si="9"/>
        <v>0</v>
      </c>
      <c r="Q74" s="233">
        <f t="shared" si="10"/>
        <v>0</v>
      </c>
      <c r="R74" s="237">
        <f t="shared" si="11"/>
        <v>0</v>
      </c>
    </row>
    <row r="75" spans="2:18" ht="15" customHeight="1">
      <c r="B75" s="361"/>
      <c r="C75" s="76" t="s">
        <v>98</v>
      </c>
      <c r="D75" s="49">
        <v>297.4182</v>
      </c>
      <c r="E75" s="50">
        <v>0</v>
      </c>
      <c r="F75" s="50">
        <v>0</v>
      </c>
      <c r="G75" s="51" t="s">
        <v>148</v>
      </c>
      <c r="H75" s="50">
        <v>465.57</v>
      </c>
      <c r="I75" s="50">
        <v>0</v>
      </c>
      <c r="J75" s="50">
        <v>0</v>
      </c>
      <c r="K75" s="51" t="s">
        <v>148</v>
      </c>
      <c r="L75" s="137"/>
      <c r="O75" s="228"/>
      <c r="P75" s="233">
        <f t="shared" si="9"/>
        <v>0</v>
      </c>
      <c r="Q75" s="233">
        <f t="shared" si="10"/>
        <v>0</v>
      </c>
      <c r="R75" s="237">
        <f t="shared" si="11"/>
        <v>0</v>
      </c>
    </row>
    <row r="76" spans="2:18" ht="15">
      <c r="B76" s="156" t="s">
        <v>118</v>
      </c>
      <c r="C76" s="157"/>
      <c r="D76" s="69">
        <v>2818807.0528</v>
      </c>
      <c r="E76" s="70">
        <v>438485.9346</v>
      </c>
      <c r="F76" s="70">
        <v>58579.7669</v>
      </c>
      <c r="G76" s="71">
        <v>-86.64044561578964</v>
      </c>
      <c r="H76" s="70">
        <v>670580.12</v>
      </c>
      <c r="I76" s="70">
        <v>84814.97</v>
      </c>
      <c r="J76" s="70">
        <v>58733.8</v>
      </c>
      <c r="K76" s="71">
        <v>-30.750668189825447</v>
      </c>
      <c r="L76" s="138"/>
      <c r="O76" s="305">
        <f>+J76/$J$93</f>
        <v>0.0012592222348940991</v>
      </c>
      <c r="P76" s="233">
        <f t="shared" si="9"/>
        <v>-379906.1677</v>
      </c>
      <c r="Q76" s="233">
        <f t="shared" si="10"/>
        <v>-26081.17</v>
      </c>
      <c r="R76" s="237">
        <f t="shared" si="11"/>
        <v>1.0026294590803502</v>
      </c>
    </row>
    <row r="77" spans="2:18" ht="12.75">
      <c r="B77" s="376" t="s">
        <v>125</v>
      </c>
      <c r="C77" s="75" t="s">
        <v>96</v>
      </c>
      <c r="D77" s="45">
        <v>166088</v>
      </c>
      <c r="E77" s="46">
        <v>96038</v>
      </c>
      <c r="F77" s="46">
        <v>185743.75</v>
      </c>
      <c r="G77" s="47">
        <v>93.40651617068244</v>
      </c>
      <c r="H77" s="46">
        <v>123699.09</v>
      </c>
      <c r="I77" s="46">
        <v>70058.25</v>
      </c>
      <c r="J77" s="46">
        <v>140381.46</v>
      </c>
      <c r="K77" s="47">
        <v>100.37819956964383</v>
      </c>
      <c r="L77" s="137"/>
      <c r="O77" s="228"/>
      <c r="P77" s="233">
        <f t="shared" si="9"/>
        <v>89705.75</v>
      </c>
      <c r="Q77" s="233">
        <f t="shared" si="10"/>
        <v>70323.20999999999</v>
      </c>
      <c r="R77" s="237">
        <f t="shared" si="11"/>
        <v>0.7557802617853898</v>
      </c>
    </row>
    <row r="78" spans="2:18" ht="12.75">
      <c r="B78" s="376"/>
      <c r="C78" s="76" t="s">
        <v>127</v>
      </c>
      <c r="D78" s="49">
        <v>6853.01</v>
      </c>
      <c r="E78" s="50">
        <v>2335.91</v>
      </c>
      <c r="F78" s="50">
        <v>312.06</v>
      </c>
      <c r="G78" s="51">
        <v>-86.6407524262493</v>
      </c>
      <c r="H78" s="50">
        <v>53289.97</v>
      </c>
      <c r="I78" s="50">
        <v>23986.93</v>
      </c>
      <c r="J78" s="50">
        <v>21065.7</v>
      </c>
      <c r="K78" s="51">
        <v>-12.178423833312557</v>
      </c>
      <c r="L78" s="138"/>
      <c r="O78" s="228"/>
      <c r="P78" s="233">
        <f t="shared" si="9"/>
        <v>-2023.85</v>
      </c>
      <c r="Q78" s="233">
        <f t="shared" si="10"/>
        <v>-2921.2299999999996</v>
      </c>
      <c r="R78" s="237">
        <f t="shared" si="11"/>
        <v>67.50528744472217</v>
      </c>
    </row>
    <row r="79" spans="2:18" ht="12.75">
      <c r="B79" s="376"/>
      <c r="C79" s="76" t="s">
        <v>77</v>
      </c>
      <c r="D79" s="49">
        <v>42294.58</v>
      </c>
      <c r="E79" s="50">
        <v>22361.62</v>
      </c>
      <c r="F79" s="50">
        <v>30226.6538</v>
      </c>
      <c r="G79" s="51">
        <v>35.17202152616849</v>
      </c>
      <c r="H79" s="50">
        <v>36314.46</v>
      </c>
      <c r="I79" s="50">
        <v>21353.26</v>
      </c>
      <c r="J79" s="50">
        <v>56296.62</v>
      </c>
      <c r="K79" s="51">
        <v>163.6441461397464</v>
      </c>
      <c r="L79" s="138"/>
      <c r="O79" s="228"/>
      <c r="P79" s="233">
        <f t="shared" si="9"/>
        <v>7865.033800000001</v>
      </c>
      <c r="Q79" s="233">
        <f t="shared" si="10"/>
        <v>34943.36</v>
      </c>
      <c r="R79" s="237">
        <f t="shared" si="11"/>
        <v>1.862482707232383</v>
      </c>
    </row>
    <row r="80" spans="2:18" ht="12.75">
      <c r="B80" s="376"/>
      <c r="C80" s="76" t="s">
        <v>119</v>
      </c>
      <c r="D80" s="49">
        <v>21212</v>
      </c>
      <c r="E80" s="50">
        <v>21212</v>
      </c>
      <c r="F80" s="50">
        <v>0</v>
      </c>
      <c r="G80" s="51">
        <v>-100</v>
      </c>
      <c r="H80" s="50">
        <v>16478.15</v>
      </c>
      <c r="I80" s="50">
        <v>16478.15</v>
      </c>
      <c r="J80" s="50">
        <v>0</v>
      </c>
      <c r="K80" s="51">
        <v>-100</v>
      </c>
      <c r="L80" s="139"/>
      <c r="O80" s="228"/>
      <c r="P80" s="233">
        <f t="shared" si="9"/>
        <v>-21212</v>
      </c>
      <c r="Q80" s="233">
        <f t="shared" si="10"/>
        <v>-16478.15</v>
      </c>
      <c r="R80" s="237">
        <f t="shared" si="11"/>
        <v>0</v>
      </c>
    </row>
    <row r="81" spans="2:18" ht="12.75" customHeight="1">
      <c r="B81" s="156" t="s">
        <v>126</v>
      </c>
      <c r="C81" s="157"/>
      <c r="D81" s="69">
        <v>236447.59000000003</v>
      </c>
      <c r="E81" s="70">
        <v>141947.53</v>
      </c>
      <c r="F81" s="70">
        <v>216282.4638</v>
      </c>
      <c r="G81" s="71">
        <v>52.36789523565504</v>
      </c>
      <c r="H81" s="70">
        <v>229781.66999999998</v>
      </c>
      <c r="I81" s="70">
        <v>131876.59</v>
      </c>
      <c r="J81" s="70">
        <v>217743.78</v>
      </c>
      <c r="K81" s="71">
        <v>65.11177609308825</v>
      </c>
      <c r="O81" s="305">
        <f>+J81/$J$93</f>
        <v>0.004668313803736333</v>
      </c>
      <c r="P81" s="233">
        <f t="shared" si="9"/>
        <v>74334.9338</v>
      </c>
      <c r="Q81" s="233">
        <f t="shared" si="10"/>
        <v>85867.19</v>
      </c>
      <c r="R81" s="237">
        <f t="shared" si="11"/>
        <v>1.006756517261387</v>
      </c>
    </row>
    <row r="82" spans="2:18" ht="12.75">
      <c r="B82" s="360" t="s">
        <v>85</v>
      </c>
      <c r="C82" s="76" t="s">
        <v>127</v>
      </c>
      <c r="D82" s="49">
        <v>17045.3933</v>
      </c>
      <c r="E82" s="50">
        <v>2061.5329</v>
      </c>
      <c r="F82" s="50">
        <v>13608</v>
      </c>
      <c r="G82" s="51">
        <v>560.0913330075886</v>
      </c>
      <c r="H82" s="50">
        <v>34035.93</v>
      </c>
      <c r="I82" s="50">
        <v>7442.18</v>
      </c>
      <c r="J82" s="50">
        <v>22676</v>
      </c>
      <c r="K82" s="51">
        <v>204.69566712979258</v>
      </c>
      <c r="O82" s="228"/>
      <c r="P82" s="233">
        <f t="shared" si="9"/>
        <v>11546.4671</v>
      </c>
      <c r="Q82" s="233">
        <f t="shared" si="10"/>
        <v>15233.82</v>
      </c>
      <c r="R82" s="237">
        <f t="shared" si="11"/>
        <v>1.6663727219282776</v>
      </c>
    </row>
    <row r="83" spans="2:18" ht="12.75" customHeight="1">
      <c r="B83" s="361"/>
      <c r="C83" s="76" t="s">
        <v>129</v>
      </c>
      <c r="D83" s="49">
        <v>20000</v>
      </c>
      <c r="E83" s="50">
        <v>0</v>
      </c>
      <c r="F83" s="50">
        <v>0</v>
      </c>
      <c r="G83" s="51" t="s">
        <v>148</v>
      </c>
      <c r="H83" s="50">
        <v>14500</v>
      </c>
      <c r="I83" s="50">
        <v>0</v>
      </c>
      <c r="J83" s="50">
        <v>0</v>
      </c>
      <c r="K83" s="51" t="s">
        <v>148</v>
      </c>
      <c r="O83" s="228"/>
      <c r="P83" s="233">
        <f t="shared" si="9"/>
        <v>0</v>
      </c>
      <c r="Q83" s="233">
        <f t="shared" si="10"/>
        <v>0</v>
      </c>
      <c r="R83" s="237">
        <f t="shared" si="11"/>
        <v>0</v>
      </c>
    </row>
    <row r="84" spans="2:18" ht="12.75">
      <c r="B84" s="361"/>
      <c r="C84" s="76" t="s">
        <v>100</v>
      </c>
      <c r="D84" s="49">
        <v>541.8</v>
      </c>
      <c r="E84" s="50">
        <v>541.8</v>
      </c>
      <c r="F84" s="50">
        <v>0</v>
      </c>
      <c r="G84" s="51">
        <v>-100</v>
      </c>
      <c r="H84" s="50">
        <v>1443.24</v>
      </c>
      <c r="I84" s="50">
        <v>1443.24</v>
      </c>
      <c r="J84" s="50">
        <v>0</v>
      </c>
      <c r="K84" s="51">
        <v>-100</v>
      </c>
      <c r="O84" s="228"/>
      <c r="P84" s="233">
        <f t="shared" si="9"/>
        <v>-541.8</v>
      </c>
      <c r="Q84" s="233">
        <f t="shared" si="10"/>
        <v>-1443.24</v>
      </c>
      <c r="R84" s="237">
        <f t="shared" si="11"/>
        <v>0</v>
      </c>
    </row>
    <row r="85" spans="2:18" ht="12.75">
      <c r="B85" s="361"/>
      <c r="C85" s="76" t="s">
        <v>98</v>
      </c>
      <c r="D85" s="49">
        <v>152.6277</v>
      </c>
      <c r="E85" s="50">
        <v>62.6277</v>
      </c>
      <c r="F85" s="50">
        <v>21</v>
      </c>
      <c r="G85" s="51">
        <v>-66.46851153722714</v>
      </c>
      <c r="H85" s="50">
        <v>212.45</v>
      </c>
      <c r="I85" s="50">
        <v>117.07</v>
      </c>
      <c r="J85" s="50">
        <v>34.5</v>
      </c>
      <c r="K85" s="51">
        <v>-70.53045186640472</v>
      </c>
      <c r="O85" s="228"/>
      <c r="P85" s="233">
        <f t="shared" si="9"/>
        <v>-41.6277</v>
      </c>
      <c r="Q85" s="233">
        <f t="shared" si="10"/>
        <v>-82.57</v>
      </c>
      <c r="R85" s="237">
        <f t="shared" si="11"/>
        <v>1.6428571428571428</v>
      </c>
    </row>
    <row r="86" spans="2:18" ht="12.75">
      <c r="B86" s="361"/>
      <c r="C86" s="76" t="s">
        <v>101</v>
      </c>
      <c r="D86" s="49">
        <v>6.3</v>
      </c>
      <c r="E86" s="50">
        <v>0</v>
      </c>
      <c r="F86" s="50">
        <v>0</v>
      </c>
      <c r="G86" s="51" t="s">
        <v>148</v>
      </c>
      <c r="H86" s="50">
        <v>117.95</v>
      </c>
      <c r="I86" s="50">
        <v>0</v>
      </c>
      <c r="J86" s="50">
        <v>0</v>
      </c>
      <c r="K86" s="51" t="s">
        <v>148</v>
      </c>
      <c r="O86" s="228"/>
      <c r="P86" s="233">
        <f t="shared" si="9"/>
        <v>0</v>
      </c>
      <c r="Q86" s="233">
        <f t="shared" si="10"/>
        <v>0</v>
      </c>
      <c r="R86" s="237">
        <f t="shared" si="11"/>
        <v>0</v>
      </c>
    </row>
    <row r="87" spans="2:18" ht="12.75">
      <c r="B87" s="361"/>
      <c r="C87" s="76" t="s">
        <v>84</v>
      </c>
      <c r="D87" s="49">
        <v>30</v>
      </c>
      <c r="E87" s="50">
        <v>30</v>
      </c>
      <c r="F87" s="50">
        <v>0</v>
      </c>
      <c r="G87" s="51">
        <v>-100</v>
      </c>
      <c r="H87" s="50">
        <v>113.08</v>
      </c>
      <c r="I87" s="50">
        <v>113.08</v>
      </c>
      <c r="J87" s="50">
        <v>0</v>
      </c>
      <c r="K87" s="51">
        <v>-100</v>
      </c>
      <c r="O87" s="228"/>
      <c r="P87" s="233">
        <f t="shared" si="9"/>
        <v>-30</v>
      </c>
      <c r="Q87" s="233">
        <f t="shared" si="10"/>
        <v>-113.08</v>
      </c>
      <c r="R87" s="237">
        <f t="shared" si="11"/>
        <v>0</v>
      </c>
    </row>
    <row r="88" spans="2:18" ht="12.75">
      <c r="B88" s="361"/>
      <c r="C88" s="76" t="s">
        <v>95</v>
      </c>
      <c r="D88" s="49">
        <v>0</v>
      </c>
      <c r="E88" s="50">
        <v>0</v>
      </c>
      <c r="F88" s="50">
        <v>1.38</v>
      </c>
      <c r="G88" s="51" t="s">
        <v>148</v>
      </c>
      <c r="H88" s="50">
        <v>0</v>
      </c>
      <c r="I88" s="50">
        <v>0</v>
      </c>
      <c r="J88" s="50">
        <v>167.27</v>
      </c>
      <c r="K88" s="51" t="s">
        <v>148</v>
      </c>
      <c r="O88" s="228"/>
      <c r="P88" s="233">
        <f t="shared" si="9"/>
        <v>1.38</v>
      </c>
      <c r="Q88" s="233">
        <f t="shared" si="10"/>
        <v>167.27</v>
      </c>
      <c r="R88" s="237">
        <f t="shared" si="11"/>
        <v>121.21014492753625</v>
      </c>
    </row>
    <row r="89" spans="2:18" ht="12.75">
      <c r="B89" s="365"/>
      <c r="C89" s="76" t="s">
        <v>77</v>
      </c>
      <c r="D89" s="49">
        <v>0</v>
      </c>
      <c r="E89" s="50">
        <v>0</v>
      </c>
      <c r="F89" s="50">
        <v>964.6308</v>
      </c>
      <c r="G89" s="51" t="s">
        <v>148</v>
      </c>
      <c r="H89" s="50">
        <v>0</v>
      </c>
      <c r="I89" s="50">
        <v>0</v>
      </c>
      <c r="J89" s="50">
        <v>216.91</v>
      </c>
      <c r="K89" s="51" t="s">
        <v>148</v>
      </c>
      <c r="O89" s="228"/>
      <c r="P89" s="233"/>
      <c r="Q89" s="233"/>
      <c r="R89" s="237"/>
    </row>
    <row r="90" spans="2:18" ht="15">
      <c r="B90" s="156" t="s">
        <v>117</v>
      </c>
      <c r="C90" s="157"/>
      <c r="D90" s="69">
        <v>37776.121</v>
      </c>
      <c r="E90" s="70">
        <v>2695.9606000000003</v>
      </c>
      <c r="F90" s="70">
        <v>14595.0108</v>
      </c>
      <c r="G90" s="71">
        <v>441.3658790117332</v>
      </c>
      <c r="H90" s="70">
        <v>50422.65</v>
      </c>
      <c r="I90" s="70">
        <v>9115.57</v>
      </c>
      <c r="J90" s="70">
        <v>23094.68</v>
      </c>
      <c r="K90" s="71">
        <v>153.354206045261</v>
      </c>
      <c r="O90" s="305">
        <f>+J90/$J$93</f>
        <v>0.000495137971045021</v>
      </c>
      <c r="P90" s="233">
        <f t="shared" si="9"/>
        <v>11899.0502</v>
      </c>
      <c r="Q90" s="233">
        <f t="shared" si="10"/>
        <v>13979.11</v>
      </c>
      <c r="R90" s="237">
        <f t="shared" si="11"/>
        <v>1.5823681336364617</v>
      </c>
    </row>
    <row r="91" spans="2:18" ht="25.5">
      <c r="B91" s="221" t="s">
        <v>201</v>
      </c>
      <c r="C91" s="215" t="s">
        <v>95</v>
      </c>
      <c r="D91" s="216">
        <v>0.8</v>
      </c>
      <c r="E91" s="216">
        <v>0.8</v>
      </c>
      <c r="F91" s="216">
        <v>1.339</v>
      </c>
      <c r="G91" s="217">
        <v>67.37499999999999</v>
      </c>
      <c r="H91" s="216">
        <v>101.4</v>
      </c>
      <c r="I91" s="216">
        <v>101.4</v>
      </c>
      <c r="J91" s="216">
        <v>203.57</v>
      </c>
      <c r="K91" s="217">
        <v>100.75936883629191</v>
      </c>
      <c r="O91" s="228"/>
      <c r="P91" s="233">
        <f t="shared" si="9"/>
        <v>0.5389999999999999</v>
      </c>
      <c r="Q91" s="233">
        <f t="shared" si="10"/>
        <v>102.16999999999999</v>
      </c>
      <c r="R91" s="237">
        <f t="shared" si="11"/>
        <v>152.03136669156086</v>
      </c>
    </row>
    <row r="92" spans="2:18" ht="15">
      <c r="B92" s="156" t="s">
        <v>202</v>
      </c>
      <c r="C92" s="157"/>
      <c r="D92" s="69">
        <v>0.8</v>
      </c>
      <c r="E92" s="70">
        <v>0.8</v>
      </c>
      <c r="F92" s="70">
        <v>1.339</v>
      </c>
      <c r="G92" s="71">
        <v>67.37499999999999</v>
      </c>
      <c r="H92" s="70">
        <v>101.4</v>
      </c>
      <c r="I92" s="70">
        <v>101.4</v>
      </c>
      <c r="J92" s="70">
        <v>203.57</v>
      </c>
      <c r="K92" s="71">
        <v>100.75936883629191</v>
      </c>
      <c r="O92" s="305">
        <f>+J92/$J$93</f>
        <v>4.364435305690961E-06</v>
      </c>
      <c r="P92" s="233">
        <f t="shared" si="9"/>
        <v>0.5389999999999999</v>
      </c>
      <c r="Q92" s="233">
        <f t="shared" si="10"/>
        <v>102.16999999999999</v>
      </c>
      <c r="R92" s="237">
        <f t="shared" si="11"/>
        <v>152.03136669156086</v>
      </c>
    </row>
    <row r="93" spans="2:18" ht="12.75">
      <c r="B93" s="156" t="s">
        <v>93</v>
      </c>
      <c r="C93" s="157"/>
      <c r="D93" s="69">
        <v>96182188.79299998</v>
      </c>
      <c r="E93" s="70">
        <v>39258312.91039999</v>
      </c>
      <c r="F93" s="70">
        <v>51160541.76490001</v>
      </c>
      <c r="G93" s="71">
        <v>30.317728837876224</v>
      </c>
      <c r="H93" s="70">
        <v>83449177.91</v>
      </c>
      <c r="I93" s="70">
        <v>35377323.839999974</v>
      </c>
      <c r="J93" s="70">
        <v>46642918.44000001</v>
      </c>
      <c r="K93" s="71">
        <v>31.844111925906617</v>
      </c>
      <c r="O93" s="228"/>
      <c r="P93" s="233">
        <f t="shared" si="9"/>
        <v>11902228.854500018</v>
      </c>
      <c r="Q93" s="233">
        <f t="shared" si="10"/>
        <v>11265594.600000039</v>
      </c>
      <c r="R93" s="237">
        <f t="shared" si="11"/>
        <v>0.9116971171716671</v>
      </c>
    </row>
    <row r="94" spans="2:18" ht="12.75">
      <c r="B94" s="183" t="s">
        <v>154</v>
      </c>
      <c r="C94" s="184"/>
      <c r="D94" s="184"/>
      <c r="E94" s="184"/>
      <c r="F94" s="184"/>
      <c r="G94" s="184"/>
      <c r="H94" s="184"/>
      <c r="I94" s="184"/>
      <c r="J94" s="184"/>
      <c r="K94" s="185"/>
      <c r="O94" s="228"/>
      <c r="P94" s="233"/>
      <c r="Q94" s="233"/>
      <c r="R94" s="237"/>
    </row>
    <row r="95" spans="15:16" ht="12.75">
      <c r="O95" s="228"/>
      <c r="P95" s="228"/>
    </row>
    <row r="96" spans="15:16" ht="12.75">
      <c r="O96" s="228"/>
      <c r="P96" s="228"/>
    </row>
    <row r="97" spans="15:16" ht="12.75">
      <c r="O97" s="228"/>
      <c r="P97" s="228"/>
    </row>
    <row r="98" spans="15:16" ht="12.75">
      <c r="O98" s="228"/>
      <c r="P98" s="228"/>
    </row>
    <row r="99" spans="15:16" ht="12.75">
      <c r="O99" s="228"/>
      <c r="P99" s="228"/>
    </row>
    <row r="100" spans="15:16" ht="12.75">
      <c r="O100" s="228"/>
      <c r="P100" s="228"/>
    </row>
    <row r="101" spans="15:16" ht="12.75">
      <c r="O101" s="228"/>
      <c r="P101" s="228"/>
    </row>
    <row r="102" spans="15:16" ht="12.75">
      <c r="O102" s="228"/>
      <c r="P102" s="228"/>
    </row>
    <row r="103" spans="15:16" ht="12.75">
      <c r="O103" s="228"/>
      <c r="P103" s="228"/>
    </row>
    <row r="104" spans="15:16" ht="12.75">
      <c r="O104" s="228"/>
      <c r="P104" s="228"/>
    </row>
    <row r="105" spans="15:16" ht="12.75">
      <c r="O105" s="228"/>
      <c r="P105" s="228"/>
    </row>
    <row r="106" spans="15:16" ht="12.75">
      <c r="O106" s="228"/>
      <c r="P106" s="228"/>
    </row>
    <row r="107" spans="15:16" ht="12.75">
      <c r="O107" s="228"/>
      <c r="P107" s="228"/>
    </row>
    <row r="108" spans="15:16" ht="12.75">
      <c r="O108" s="228"/>
      <c r="P108" s="228"/>
    </row>
    <row r="109" spans="15:16" ht="12.75">
      <c r="O109" s="228"/>
      <c r="P109" s="228"/>
    </row>
    <row r="110" spans="15:16" ht="12.75">
      <c r="O110" s="228"/>
      <c r="P110" s="228"/>
    </row>
    <row r="111" spans="15:16" ht="12.75">
      <c r="O111" s="228"/>
      <c r="P111" s="228"/>
    </row>
    <row r="112" spans="15:16" ht="12.75">
      <c r="O112" s="228"/>
      <c r="P112" s="228"/>
    </row>
    <row r="113" spans="15:16" ht="12.75">
      <c r="O113" s="228"/>
      <c r="P113" s="228"/>
    </row>
    <row r="114" spans="15:16" ht="12.75">
      <c r="O114" s="228"/>
      <c r="P114" s="228"/>
    </row>
    <row r="115" spans="15:16" ht="12.75">
      <c r="O115" s="228"/>
      <c r="P115" s="228"/>
    </row>
    <row r="116" spans="15:16" ht="12.75">
      <c r="O116" s="228"/>
      <c r="P116" s="228"/>
    </row>
    <row r="117" spans="15:16" ht="12.75">
      <c r="O117" s="228"/>
      <c r="P117" s="228"/>
    </row>
    <row r="118" spans="15:16" ht="12.75">
      <c r="O118" s="228"/>
      <c r="P118" s="228"/>
    </row>
  </sheetData>
  <sheetProtection/>
  <mergeCells count="12">
    <mergeCell ref="B82:B89"/>
    <mergeCell ref="B70:B75"/>
    <mergeCell ref="B21:B31"/>
    <mergeCell ref="B77:B80"/>
    <mergeCell ref="B54:B68"/>
    <mergeCell ref="B33:B52"/>
    <mergeCell ref="B2:K2"/>
    <mergeCell ref="D3:G3"/>
    <mergeCell ref="H3:K3"/>
    <mergeCell ref="B3:B4"/>
    <mergeCell ref="C3:C4"/>
    <mergeCell ref="B5:B19"/>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27" customWidth="1"/>
    <col min="10" max="23" width="10.8515625" style="127" customWidth="1"/>
    <col min="24" max="16384" width="10.8515625" style="127" customWidth="1"/>
  </cols>
  <sheetData>
    <row r="1" spans="2:3" ht="15">
      <c r="B1" s="126"/>
      <c r="C1" s="126"/>
    </row>
    <row r="5" spans="2:8" ht="15.75">
      <c r="B5" s="86"/>
      <c r="C5" s="86"/>
      <c r="D5" s="87"/>
      <c r="E5" s="284" t="s">
        <v>111</v>
      </c>
      <c r="F5" s="87"/>
      <c r="G5" s="86"/>
      <c r="H5" s="86"/>
    </row>
    <row r="6" spans="2:8" ht="15" customHeight="1">
      <c r="B6" s="86"/>
      <c r="C6" s="86"/>
      <c r="E6" s="164" t="str">
        <f>+Portada!E42</f>
        <v>Julio 2016</v>
      </c>
      <c r="F6" s="163"/>
      <c r="G6" s="86"/>
      <c r="H6" s="86"/>
    </row>
    <row r="7" spans="2:8" ht="15">
      <c r="B7" s="86"/>
      <c r="C7" s="86"/>
      <c r="D7" s="87"/>
      <c r="E7" s="129" t="s">
        <v>248</v>
      </c>
      <c r="F7" s="87"/>
      <c r="G7" s="86"/>
      <c r="H7" s="86"/>
    </row>
    <row r="8" spans="2:8" ht="15">
      <c r="B8" s="86"/>
      <c r="D8" s="130"/>
      <c r="F8" s="130"/>
      <c r="G8" s="130"/>
      <c r="H8" s="86"/>
    </row>
    <row r="9" spans="2:8" ht="15">
      <c r="B9" s="86"/>
      <c r="C9" s="86"/>
      <c r="D9" s="86"/>
      <c r="E9" s="86"/>
      <c r="F9" s="86"/>
      <c r="G9" s="86"/>
      <c r="H9" s="86"/>
    </row>
    <row r="10" spans="2:8" ht="15">
      <c r="B10" s="86"/>
      <c r="C10" s="86"/>
      <c r="D10" s="87"/>
      <c r="E10" s="121" t="s">
        <v>146</v>
      </c>
      <c r="F10" s="87"/>
      <c r="G10" s="86"/>
      <c r="H10" s="86"/>
    </row>
    <row r="11" spans="2:8" ht="15">
      <c r="B11" s="86"/>
      <c r="C11" s="86"/>
      <c r="D11" s="86"/>
      <c r="E11" s="86"/>
      <c r="F11" s="86"/>
      <c r="G11" s="86"/>
      <c r="H11" s="86"/>
    </row>
    <row r="12" spans="2:8" ht="15">
      <c r="B12" s="86"/>
      <c r="C12" s="86"/>
      <c r="D12" s="86"/>
      <c r="E12" s="86"/>
      <c r="F12" s="86"/>
      <c r="G12" s="86"/>
      <c r="H12" s="86"/>
    </row>
    <row r="13" spans="2:8" ht="15">
      <c r="B13" s="86"/>
      <c r="C13" s="86"/>
      <c r="D13" s="86"/>
      <c r="E13" s="86"/>
      <c r="F13" s="86"/>
      <c r="G13" s="86"/>
      <c r="H13" s="86"/>
    </row>
    <row r="14" spans="2:8" ht="15">
      <c r="B14" s="86"/>
      <c r="C14" s="86"/>
      <c r="D14" s="86"/>
      <c r="E14" s="86"/>
      <c r="F14" s="86"/>
      <c r="G14" s="86"/>
      <c r="H14" s="86"/>
    </row>
    <row r="15" spans="2:8" ht="15">
      <c r="B15" s="86"/>
      <c r="C15" s="86"/>
      <c r="D15" s="86"/>
      <c r="E15" s="86"/>
      <c r="F15" s="86"/>
      <c r="G15" s="86"/>
      <c r="H15" s="86"/>
    </row>
    <row r="16" spans="2:8" ht="15">
      <c r="B16" s="87"/>
      <c r="D16" s="131"/>
      <c r="E16" s="129" t="s">
        <v>120</v>
      </c>
      <c r="F16" s="131"/>
      <c r="G16" s="131"/>
      <c r="H16" s="87"/>
    </row>
    <row r="17" spans="2:8" ht="15">
      <c r="B17" s="86"/>
      <c r="D17" s="131"/>
      <c r="E17" s="129" t="s">
        <v>0</v>
      </c>
      <c r="F17" s="131"/>
      <c r="G17" s="131"/>
      <c r="H17" s="86"/>
    </row>
    <row r="18" spans="2:8" ht="15">
      <c r="B18" s="87"/>
      <c r="D18" s="132"/>
      <c r="E18" s="133" t="s">
        <v>1</v>
      </c>
      <c r="F18" s="132"/>
      <c r="G18" s="132"/>
      <c r="H18" s="87"/>
    </row>
    <row r="19" spans="2:8" ht="15">
      <c r="B19" s="87"/>
      <c r="C19" s="87"/>
      <c r="D19" s="87"/>
      <c r="E19" s="87"/>
      <c r="F19" s="87"/>
      <c r="G19" s="87"/>
      <c r="H19" s="87"/>
    </row>
    <row r="20" spans="2:8" ht="15">
      <c r="B20" s="87"/>
      <c r="E20" s="153" t="s">
        <v>163</v>
      </c>
      <c r="F20" s="153"/>
      <c r="G20" s="153"/>
      <c r="H20" s="128"/>
    </row>
    <row r="21" spans="2:8" ht="15">
      <c r="B21" s="87"/>
      <c r="E21" s="153" t="s">
        <v>145</v>
      </c>
      <c r="F21" s="153"/>
      <c r="G21" s="153"/>
      <c r="H21" s="128"/>
    </row>
    <row r="22" spans="2:8" ht="15">
      <c r="B22" s="87"/>
      <c r="C22" s="87"/>
      <c r="D22" s="87"/>
      <c r="E22" s="87"/>
      <c r="F22" s="87"/>
      <c r="G22" s="87"/>
      <c r="H22" s="87"/>
    </row>
    <row r="23" spans="2:8" ht="15">
      <c r="B23" s="87"/>
      <c r="C23" s="87"/>
      <c r="D23" s="86"/>
      <c r="E23" s="86"/>
      <c r="F23" s="86"/>
      <c r="G23" s="87"/>
      <c r="H23" s="87"/>
    </row>
    <row r="24" spans="2:8" ht="15">
      <c r="B24" s="87"/>
      <c r="C24" s="87"/>
      <c r="D24" s="86"/>
      <c r="E24" s="86"/>
      <c r="F24" s="86"/>
      <c r="G24" s="87"/>
      <c r="H24" s="87"/>
    </row>
    <row r="25" spans="2:8" ht="15">
      <c r="B25" s="87"/>
      <c r="C25" s="87"/>
      <c r="D25" s="87"/>
      <c r="E25" s="87"/>
      <c r="F25" s="87"/>
      <c r="G25" s="87"/>
      <c r="H25" s="87"/>
    </row>
    <row r="26" spans="2:8" ht="15">
      <c r="B26" s="86"/>
      <c r="C26" s="86"/>
      <c r="D26" s="86"/>
      <c r="E26" s="86"/>
      <c r="F26" s="86"/>
      <c r="G26" s="86"/>
      <c r="H26" s="86"/>
    </row>
    <row r="27" spans="2:8" ht="15">
      <c r="B27" s="86"/>
      <c r="C27" s="86"/>
      <c r="D27" s="86"/>
      <c r="E27" s="86"/>
      <c r="F27" s="86"/>
      <c r="G27" s="86"/>
      <c r="H27" s="86"/>
    </row>
    <row r="28" spans="4:8" ht="15">
      <c r="D28" s="134"/>
      <c r="E28" s="285" t="s">
        <v>108</v>
      </c>
      <c r="F28" s="134"/>
      <c r="G28" s="134"/>
      <c r="H28" s="128"/>
    </row>
    <row r="29" spans="2:8" ht="15">
      <c r="B29" s="86"/>
      <c r="C29" s="86"/>
      <c r="D29" s="86"/>
      <c r="E29" s="86"/>
      <c r="F29" s="86"/>
      <c r="G29" s="86"/>
      <c r="H29" s="86"/>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87" customWidth="1"/>
    <col min="2" max="9" width="11.00390625" style="287" customWidth="1"/>
    <col min="10" max="10" width="2.00390625" style="287" customWidth="1"/>
    <col min="11" max="26" width="10.8515625" style="287" customWidth="1"/>
    <col min="27" max="16384" width="10.8515625" style="287" customWidth="1"/>
  </cols>
  <sheetData>
    <row r="2" spans="2:11" ht="15">
      <c r="B2" s="309" t="s">
        <v>167</v>
      </c>
      <c r="C2" s="309"/>
      <c r="D2" s="309"/>
      <c r="E2" s="309"/>
      <c r="F2" s="309"/>
      <c r="G2" s="309"/>
      <c r="H2" s="309"/>
      <c r="I2" s="309"/>
      <c r="J2" s="286"/>
      <c r="K2" s="78" t="s">
        <v>153</v>
      </c>
    </row>
    <row r="3" spans="2:10" ht="14.25">
      <c r="B3" s="288"/>
      <c r="C3" s="288"/>
      <c r="D3" s="288"/>
      <c r="E3" s="288"/>
      <c r="F3" s="288"/>
      <c r="G3" s="288"/>
      <c r="H3" s="288"/>
      <c r="I3" s="288"/>
      <c r="J3" s="288"/>
    </row>
    <row r="4" spans="2:10" ht="34.5" customHeight="1">
      <c r="B4" s="310" t="s">
        <v>204</v>
      </c>
      <c r="C4" s="310"/>
      <c r="D4" s="310"/>
      <c r="E4" s="310"/>
      <c r="F4" s="310"/>
      <c r="G4" s="310"/>
      <c r="H4" s="310"/>
      <c r="I4" s="310"/>
      <c r="J4" s="289"/>
    </row>
    <row r="5" spans="2:10" ht="29.25" customHeight="1">
      <c r="B5" s="310" t="s">
        <v>169</v>
      </c>
      <c r="C5" s="310"/>
      <c r="D5" s="310"/>
      <c r="E5" s="310"/>
      <c r="F5" s="310"/>
      <c r="G5" s="310"/>
      <c r="H5" s="310"/>
      <c r="I5" s="310"/>
      <c r="J5" s="289"/>
    </row>
    <row r="6" spans="2:10" ht="18" customHeight="1">
      <c r="B6" s="308" t="s">
        <v>168</v>
      </c>
      <c r="C6" s="308"/>
      <c r="D6" s="308"/>
      <c r="E6" s="308"/>
      <c r="F6" s="308"/>
      <c r="G6" s="308"/>
      <c r="H6" s="308"/>
      <c r="I6" s="308"/>
      <c r="J6" s="289"/>
    </row>
    <row r="7" spans="2:10" ht="34.5" customHeight="1">
      <c r="B7" s="308" t="s">
        <v>170</v>
      </c>
      <c r="C7" s="308"/>
      <c r="D7" s="308"/>
      <c r="E7" s="308"/>
      <c r="F7" s="308"/>
      <c r="G7" s="308"/>
      <c r="H7" s="308"/>
      <c r="I7" s="308"/>
      <c r="J7" s="289"/>
    </row>
    <row r="8" spans="2:10" ht="34.5" customHeight="1">
      <c r="B8" s="308" t="s">
        <v>172</v>
      </c>
      <c r="C8" s="308"/>
      <c r="D8" s="308"/>
      <c r="E8" s="308"/>
      <c r="F8" s="308"/>
      <c r="G8" s="308"/>
      <c r="H8" s="308"/>
      <c r="I8" s="308"/>
      <c r="J8" s="289"/>
    </row>
    <row r="9" spans="2:9" ht="14.25">
      <c r="B9" s="308" t="s">
        <v>185</v>
      </c>
      <c r="C9" s="308"/>
      <c r="D9" s="308"/>
      <c r="E9" s="308"/>
      <c r="F9" s="308"/>
      <c r="G9" s="308"/>
      <c r="H9" s="308"/>
      <c r="I9" s="308"/>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6"/>
  <sheetViews>
    <sheetView zoomScale="80" zoomScaleNormal="80" zoomScalePageLayoutView="90" workbookViewId="0" topLeftCell="A1">
      <selection activeCell="N31" sqref="N3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311" t="s">
        <v>56</v>
      </c>
      <c r="C2" s="311"/>
      <c r="D2" s="311"/>
    </row>
    <row r="3" spans="2:3" ht="12.75">
      <c r="B3" s="8"/>
      <c r="C3" s="67"/>
    </row>
    <row r="4" spans="2:4" ht="12.75">
      <c r="B4" s="24" t="s">
        <v>55</v>
      </c>
      <c r="C4" s="24" t="s">
        <v>52</v>
      </c>
      <c r="D4" s="23" t="s">
        <v>51</v>
      </c>
    </row>
    <row r="5" spans="2:4" ht="8.25" customHeight="1">
      <c r="B5" s="37"/>
      <c r="C5" s="21"/>
      <c r="D5" s="20"/>
    </row>
    <row r="6" spans="2:4" ht="12.75">
      <c r="B6" s="11">
        <v>1</v>
      </c>
      <c r="C6" s="76" t="s">
        <v>104</v>
      </c>
      <c r="D6" s="30">
        <v>5</v>
      </c>
    </row>
    <row r="7" spans="2:4" ht="12.75">
      <c r="B7" s="11">
        <v>2</v>
      </c>
      <c r="C7" s="76" t="s">
        <v>105</v>
      </c>
      <c r="D7" s="30">
        <v>5</v>
      </c>
    </row>
    <row r="8" spans="2:4" ht="12.75">
      <c r="B8" s="11">
        <v>3</v>
      </c>
      <c r="C8" s="76" t="s">
        <v>128</v>
      </c>
      <c r="D8" s="30">
        <v>5</v>
      </c>
    </row>
    <row r="9" spans="2:4" ht="12.75">
      <c r="B9" s="11">
        <v>4</v>
      </c>
      <c r="C9" s="104" t="s">
        <v>209</v>
      </c>
      <c r="D9" s="30">
        <v>5</v>
      </c>
    </row>
    <row r="10" spans="2:4" ht="7.5" customHeight="1">
      <c r="B10" s="19"/>
      <c r="C10" s="18"/>
      <c r="D10" s="17"/>
    </row>
    <row r="11" spans="2:4" ht="12.75">
      <c r="B11" s="24" t="s">
        <v>54</v>
      </c>
      <c r="C11" s="24" t="s">
        <v>52</v>
      </c>
      <c r="D11" s="23" t="s">
        <v>51</v>
      </c>
    </row>
    <row r="12" spans="2:4" ht="8.25" customHeight="1">
      <c r="B12" s="12"/>
      <c r="C12" s="14"/>
      <c r="D12" s="16"/>
    </row>
    <row r="13" spans="2:4" ht="12.75">
      <c r="B13" s="12">
        <v>1</v>
      </c>
      <c r="C13" s="10" t="s">
        <v>265</v>
      </c>
      <c r="D13" s="31">
        <v>6</v>
      </c>
    </row>
    <row r="14" spans="2:4" ht="12.75">
      <c r="B14" s="12">
        <v>2</v>
      </c>
      <c r="C14" s="10" t="s">
        <v>142</v>
      </c>
      <c r="D14" s="32">
        <v>7</v>
      </c>
    </row>
    <row r="15" spans="2:4" ht="12.75">
      <c r="B15" s="12">
        <v>3</v>
      </c>
      <c r="C15" s="10" t="s">
        <v>141</v>
      </c>
      <c r="D15" s="32">
        <v>8</v>
      </c>
    </row>
    <row r="16" spans="2:4" ht="12.75">
      <c r="B16" s="12">
        <v>4</v>
      </c>
      <c r="C16" s="10" t="s">
        <v>106</v>
      </c>
      <c r="D16" s="32">
        <v>9</v>
      </c>
    </row>
    <row r="17" spans="2:4" ht="12.75">
      <c r="B17" s="12">
        <v>5</v>
      </c>
      <c r="C17" s="10" t="s">
        <v>149</v>
      </c>
      <c r="D17" s="32">
        <v>10</v>
      </c>
    </row>
    <row r="18" spans="2:4" ht="12.75">
      <c r="B18" s="12">
        <v>6</v>
      </c>
      <c r="C18" s="10" t="s">
        <v>123</v>
      </c>
      <c r="D18" s="32">
        <v>11</v>
      </c>
    </row>
    <row r="19" spans="2:4" ht="12.75">
      <c r="B19" s="12">
        <v>7</v>
      </c>
      <c r="C19" s="10" t="s">
        <v>49</v>
      </c>
      <c r="D19" s="31">
        <v>12</v>
      </c>
    </row>
    <row r="20" spans="2:4" ht="12.75">
      <c r="B20" s="12">
        <v>8</v>
      </c>
      <c r="C20" s="10" t="s">
        <v>48</v>
      </c>
      <c r="D20" s="31">
        <v>13</v>
      </c>
    </row>
    <row r="21" spans="2:4" ht="12.75">
      <c r="B21" s="12">
        <v>9</v>
      </c>
      <c r="C21" s="10" t="s">
        <v>47</v>
      </c>
      <c r="D21" s="31">
        <v>14</v>
      </c>
    </row>
    <row r="22" spans="2:4" ht="15">
      <c r="B22" s="12">
        <v>10</v>
      </c>
      <c r="C22" s="10" t="s">
        <v>232</v>
      </c>
      <c r="D22" s="263">
        <v>15</v>
      </c>
    </row>
    <row r="23" spans="2:4" ht="12.75">
      <c r="B23" s="12">
        <v>11</v>
      </c>
      <c r="C23" s="10" t="s">
        <v>210</v>
      </c>
      <c r="D23" s="31">
        <v>16</v>
      </c>
    </row>
    <row r="24" spans="2:4" ht="12.75">
      <c r="B24" s="12">
        <v>12</v>
      </c>
      <c r="C24" s="10" t="s">
        <v>211</v>
      </c>
      <c r="D24" s="31">
        <v>17</v>
      </c>
    </row>
    <row r="25" spans="2:4" ht="6.75" customHeight="1">
      <c r="B25" s="12"/>
      <c r="C25" s="14"/>
      <c r="D25" s="13"/>
    </row>
    <row r="26" spans="2:4" ht="12.75">
      <c r="B26" s="24" t="s">
        <v>53</v>
      </c>
      <c r="C26" s="25" t="s">
        <v>52</v>
      </c>
      <c r="D26" s="23" t="s">
        <v>51</v>
      </c>
    </row>
    <row r="27" spans="2:4" ht="7.5" customHeight="1">
      <c r="B27" s="15"/>
      <c r="C27" s="14"/>
      <c r="D27" s="13"/>
    </row>
    <row r="28" spans="2:4" ht="12.75">
      <c r="B28" s="12">
        <v>1</v>
      </c>
      <c r="C28" s="26" t="s">
        <v>138</v>
      </c>
      <c r="D28" s="31">
        <v>6</v>
      </c>
    </row>
    <row r="29" spans="2:4" ht="12.75">
      <c r="B29" s="12">
        <v>2</v>
      </c>
      <c r="C29" s="8" t="s">
        <v>266</v>
      </c>
      <c r="D29" s="31">
        <v>7</v>
      </c>
    </row>
    <row r="30" spans="2:4" ht="12.75">
      <c r="B30" s="12">
        <v>3</v>
      </c>
      <c r="C30" s="8" t="s">
        <v>144</v>
      </c>
      <c r="D30" s="31">
        <v>8</v>
      </c>
    </row>
    <row r="31" spans="2:4" ht="12.75">
      <c r="B31" s="12">
        <v>4</v>
      </c>
      <c r="C31" s="8" t="s">
        <v>106</v>
      </c>
      <c r="D31" s="32">
        <v>9</v>
      </c>
    </row>
    <row r="32" spans="2:4" ht="12.75">
      <c r="B32" s="12">
        <v>5</v>
      </c>
      <c r="C32" s="10" t="s">
        <v>150</v>
      </c>
      <c r="D32" s="32">
        <v>10</v>
      </c>
    </row>
    <row r="33" spans="2:4" ht="12.75">
      <c r="B33" s="12">
        <v>6</v>
      </c>
      <c r="C33" s="10" t="s">
        <v>151</v>
      </c>
      <c r="D33" s="32">
        <v>10</v>
      </c>
    </row>
    <row r="34" spans="2:4" ht="12.75">
      <c r="B34" s="12">
        <v>7</v>
      </c>
      <c r="C34" s="8" t="s">
        <v>50</v>
      </c>
      <c r="D34" s="32">
        <v>11</v>
      </c>
    </row>
    <row r="35" spans="2:4" ht="12.75">
      <c r="B35" s="12">
        <v>8</v>
      </c>
      <c r="C35" s="8" t="s">
        <v>49</v>
      </c>
      <c r="D35" s="31">
        <v>12</v>
      </c>
    </row>
    <row r="36" spans="2:4" ht="12.75">
      <c r="B36" s="12">
        <v>9</v>
      </c>
      <c r="C36" s="8" t="s">
        <v>48</v>
      </c>
      <c r="D36" s="31">
        <v>13</v>
      </c>
    </row>
    <row r="37" spans="2:4" ht="12.75">
      <c r="B37" s="12">
        <v>10</v>
      </c>
      <c r="C37" s="8" t="s">
        <v>47</v>
      </c>
      <c r="D37" s="31">
        <v>14</v>
      </c>
    </row>
    <row r="38" spans="2:4" ht="12.75">
      <c r="B38" s="12"/>
      <c r="C38" s="10"/>
      <c r="D38" s="33"/>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4" ht="12.75">
      <c r="B50" s="12"/>
      <c r="C50" s="10"/>
      <c r="D50" s="33"/>
    </row>
    <row r="51" spans="2:3" ht="12.75">
      <c r="B51" s="7"/>
      <c r="C51" s="7"/>
    </row>
    <row r="52" spans="2:3" ht="12.75">
      <c r="B52" s="7"/>
      <c r="C52" s="7"/>
    </row>
    <row r="53" spans="2:3" ht="12.75">
      <c r="B53" s="7"/>
      <c r="C53" s="7"/>
    </row>
    <row r="54" spans="2:3" ht="12.75">
      <c r="B54" s="7"/>
      <c r="C54" s="7"/>
    </row>
    <row r="55" spans="2:3" ht="12.75">
      <c r="B55" s="7"/>
      <c r="C55" s="7"/>
    </row>
    <row r="56" spans="2:4" ht="12.75">
      <c r="B56" s="11"/>
      <c r="C56" s="10"/>
      <c r="D56" s="10"/>
    </row>
  </sheetData>
  <sheetProtection/>
  <mergeCells count="1">
    <mergeCell ref="B2:D2"/>
  </mergeCells>
  <hyperlinks>
    <hyperlink ref="D13" location="'precio mayorista'!A1" display="'precio mayorista'!A1"/>
    <hyperlink ref="D19" location="'sup región'!A1" display="'sup región'!A1"/>
    <hyperlink ref="D20" location="'prod región'!A1" display="'prod región'!A1"/>
    <hyperlink ref="D21" location="'rend región'!A1" display="'rend región'!A1"/>
    <hyperlink ref="D28" location="'precio mayorista'!A23" display="'precio mayorista'!A23"/>
    <hyperlink ref="D14" location="'precio mayorista2'!A1" display="'precio mayorista2'!A1"/>
    <hyperlink ref="D16" location="'precio minorista'!A1" display="'precio minorista'!A1"/>
    <hyperlink ref="D18" location="'sup, prod y rend'!A1" display="'sup, prod y rend'!A1"/>
    <hyperlink ref="D23" location="export!A1" display="export!A1"/>
    <hyperlink ref="D24" location="import!A1" display="import!A1"/>
    <hyperlink ref="D29" location="'precio mayorista2'!A42" display="'precio mayorista2'!A42"/>
    <hyperlink ref="D31" location="'precio minorista'!A23" display="'precio minorista'!A23"/>
    <hyperlink ref="D34" location="'sup, prod y rend'!A22" display="'sup, prod y rend'!A22"/>
    <hyperlink ref="D35" location="'sup región'!A22" display="'sup región'!A22"/>
    <hyperlink ref="D36" location="'prod región'!A22" display="'prod región'!A22"/>
    <hyperlink ref="D37" location="'rend región'!A22" display="'rend región'!A22"/>
    <hyperlink ref="D15" location="'precio mayorista3'!A1" display="'precio mayorista3'!A1"/>
    <hyperlink ref="D17" location="'precio minorista regiones'!A1" display="'precio minorista regiones'!A1"/>
    <hyperlink ref="D30" location="'precio mayorista3'!A43" display="'precio mayorista3'!A43"/>
    <hyperlink ref="D32" location="'precio minorista regiones'!A25" display="'precio minorista regiones'!A25"/>
    <hyperlink ref="D33" location="'precio minorista regiones'!A45" display="'precio minorista regiones'!A45"/>
    <hyperlink ref="D6" location="Comentarios!A1" display="Comentarios!A1"/>
    <hyperlink ref="D7" location="Comentarios!A1" display="Comentarios!A1"/>
    <hyperlink ref="D8" location="Comentarios!A1" display="Comentarios!A1"/>
    <hyperlink ref="D9" location="Comentarios!A1" display="Comentarios!A1"/>
    <hyperlink ref="D22" location="'Ficha de Costos'!A1" display="'Ficha de Cost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8"/>
  <sheetViews>
    <sheetView zoomScale="80" zoomScaleNormal="80" zoomScaleSheetLayoutView="90" zoomScalePageLayoutView="70" workbookViewId="0" topLeftCell="A1">
      <selection activeCell="B4" sqref="B4:J4"/>
    </sheetView>
  </sheetViews>
  <sheetFormatPr defaultColWidth="10.8515625" defaultRowHeight="15"/>
  <cols>
    <col min="1" max="1" width="1.28515625" style="22" customWidth="1"/>
    <col min="2" max="10" width="15.8515625" style="22" customWidth="1"/>
    <col min="11" max="11" width="2.00390625" style="22" customWidth="1"/>
    <col min="12" max="18" width="10.8515625" style="22" customWidth="1"/>
    <col min="19" max="16384" width="10.8515625" style="22" customWidth="1"/>
  </cols>
  <sheetData>
    <row r="1" ht="7.5" customHeight="1"/>
    <row r="2" spans="2:12" ht="16.5" customHeight="1">
      <c r="B2" s="312" t="s">
        <v>161</v>
      </c>
      <c r="C2" s="313"/>
      <c r="D2" s="313"/>
      <c r="E2" s="313"/>
      <c r="F2" s="313"/>
      <c r="G2" s="313"/>
      <c r="H2" s="313"/>
      <c r="I2" s="313"/>
      <c r="J2" s="314"/>
      <c r="K2" s="222"/>
      <c r="L2" s="78" t="s">
        <v>153</v>
      </c>
    </row>
    <row r="3" spans="2:11" ht="12.75">
      <c r="B3" s="68"/>
      <c r="C3" s="2"/>
      <c r="D3" s="2"/>
      <c r="E3" s="2"/>
      <c r="F3" s="2"/>
      <c r="G3" s="2"/>
      <c r="H3" s="2"/>
      <c r="I3" s="2"/>
      <c r="J3" s="247"/>
      <c r="K3" s="2"/>
    </row>
    <row r="4" spans="2:11" ht="303.75" customHeight="1">
      <c r="B4" s="315" t="s">
        <v>267</v>
      </c>
      <c r="C4" s="316"/>
      <c r="D4" s="316"/>
      <c r="E4" s="316"/>
      <c r="F4" s="316"/>
      <c r="G4" s="316"/>
      <c r="H4" s="316"/>
      <c r="I4" s="316"/>
      <c r="J4" s="317"/>
      <c r="K4" s="223"/>
    </row>
    <row r="5" spans="2:11" ht="211.5" customHeight="1">
      <c r="B5" s="315" t="s">
        <v>262</v>
      </c>
      <c r="C5" s="316"/>
      <c r="D5" s="316"/>
      <c r="E5" s="316"/>
      <c r="F5" s="316"/>
      <c r="G5" s="316"/>
      <c r="H5" s="316"/>
      <c r="I5" s="316"/>
      <c r="J5" s="317"/>
      <c r="K5" s="223"/>
    </row>
    <row r="6" spans="2:11" ht="223.5" customHeight="1">
      <c r="B6" s="318" t="s">
        <v>218</v>
      </c>
      <c r="C6" s="319"/>
      <c r="D6" s="319"/>
      <c r="E6" s="319"/>
      <c r="F6" s="319"/>
      <c r="G6" s="319"/>
      <c r="H6" s="319"/>
      <c r="I6" s="319"/>
      <c r="J6" s="320"/>
      <c r="K6" s="223"/>
    </row>
    <row r="7" spans="2:11" ht="113.25" customHeight="1">
      <c r="B7" s="318" t="s">
        <v>263</v>
      </c>
      <c r="C7" s="319"/>
      <c r="D7" s="319"/>
      <c r="E7" s="319"/>
      <c r="F7" s="319"/>
      <c r="G7" s="319"/>
      <c r="H7" s="319"/>
      <c r="I7" s="319"/>
      <c r="J7" s="320"/>
      <c r="K7" s="223"/>
    </row>
    <row r="8" spans="2:10" ht="201.75" customHeight="1">
      <c r="B8" s="321" t="s">
        <v>264</v>
      </c>
      <c r="C8" s="322"/>
      <c r="D8" s="322"/>
      <c r="E8" s="322"/>
      <c r="F8" s="322"/>
      <c r="G8" s="322"/>
      <c r="H8" s="322"/>
      <c r="I8" s="322"/>
      <c r="J8" s="323"/>
    </row>
  </sheetData>
  <sheetProtection/>
  <mergeCells count="6">
    <mergeCell ref="B2:J2"/>
    <mergeCell ref="B4:J4"/>
    <mergeCell ref="B5:J5"/>
    <mergeCell ref="B6:J6"/>
    <mergeCell ref="B8:J8"/>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X60"/>
  <sheetViews>
    <sheetView zoomScale="80" zoomScaleNormal="80" zoomScaleSheetLayoutView="40" zoomScalePageLayoutView="80" workbookViewId="0" topLeftCell="A1">
      <selection activeCell="A1" sqref="A1"/>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328" t="s">
        <v>57</v>
      </c>
      <c r="C2" s="328"/>
      <c r="D2" s="328"/>
      <c r="E2" s="328"/>
      <c r="F2" s="328"/>
      <c r="G2" s="328"/>
      <c r="I2" s="52" t="s">
        <v>153</v>
      </c>
    </row>
    <row r="3" spans="2:7" ht="12.75" customHeight="1">
      <c r="B3" s="328" t="s">
        <v>137</v>
      </c>
      <c r="C3" s="328"/>
      <c r="D3" s="328"/>
      <c r="E3" s="328"/>
      <c r="F3" s="328"/>
      <c r="G3" s="328"/>
    </row>
    <row r="4" spans="2:7" ht="12.75">
      <c r="B4" s="328" t="s">
        <v>195</v>
      </c>
      <c r="C4" s="328"/>
      <c r="D4" s="328"/>
      <c r="E4" s="328"/>
      <c r="F4" s="328"/>
      <c r="G4" s="328"/>
    </row>
    <row r="5" spans="2:7" ht="12.75">
      <c r="B5" s="2"/>
      <c r="C5" s="2"/>
      <c r="D5" s="2"/>
      <c r="E5" s="2"/>
      <c r="F5" s="2"/>
      <c r="G5" s="2"/>
    </row>
    <row r="6" spans="2:7" ht="12.75">
      <c r="B6" s="326" t="s">
        <v>46</v>
      </c>
      <c r="C6" s="325" t="s">
        <v>45</v>
      </c>
      <c r="D6" s="325"/>
      <c r="E6" s="325"/>
      <c r="F6" s="325" t="s">
        <v>44</v>
      </c>
      <c r="G6" s="325"/>
    </row>
    <row r="7" spans="2:24" ht="12.75">
      <c r="B7" s="327"/>
      <c r="C7" s="203">
        <v>2014</v>
      </c>
      <c r="D7" s="204">
        <v>2015</v>
      </c>
      <c r="E7" s="204">
        <v>2016</v>
      </c>
      <c r="F7" s="204" t="s">
        <v>43</v>
      </c>
      <c r="G7" s="204" t="s">
        <v>42</v>
      </c>
      <c r="Q7" s="58"/>
      <c r="R7" s="58"/>
      <c r="S7" s="58"/>
      <c r="T7" s="58"/>
      <c r="U7" s="58"/>
      <c r="V7" s="58"/>
      <c r="W7" s="58"/>
      <c r="X7" s="58"/>
    </row>
    <row r="8" spans="2:7" ht="12.75">
      <c r="B8" s="117" t="s">
        <v>41</v>
      </c>
      <c r="C8" s="207">
        <v>184.19</v>
      </c>
      <c r="D8" s="207">
        <v>212.69</v>
      </c>
      <c r="E8" s="207">
        <v>196.24</v>
      </c>
      <c r="F8" s="207">
        <f>(E8/D19-1)*100</f>
        <v>-29.282882882882877</v>
      </c>
      <c r="G8" s="207">
        <f aca="true" t="shared" si="0" ref="G8:G13">(E8/D8-1)*100</f>
        <v>-7.734261131223841</v>
      </c>
    </row>
    <row r="9" spans="2:7" ht="12.75">
      <c r="B9" s="118" t="s">
        <v>40</v>
      </c>
      <c r="C9" s="208">
        <v>244.16</v>
      </c>
      <c r="D9" s="208">
        <v>200.61</v>
      </c>
      <c r="E9" s="208">
        <v>180.84</v>
      </c>
      <c r="F9" s="208">
        <f>(E9/E8-1)*100</f>
        <v>-7.847533632286996</v>
      </c>
      <c r="G9" s="208">
        <f t="shared" si="0"/>
        <v>-9.85494242560192</v>
      </c>
    </row>
    <row r="10" spans="2:7" ht="12.75">
      <c r="B10" s="118" t="s">
        <v>39</v>
      </c>
      <c r="C10" s="208">
        <v>208.75</v>
      </c>
      <c r="D10" s="208">
        <v>210.48</v>
      </c>
      <c r="E10" s="208">
        <v>181.1</v>
      </c>
      <c r="F10" s="208">
        <f>(E10/E9-1)*100</f>
        <v>0.14377350143772727</v>
      </c>
      <c r="G10" s="208">
        <f t="shared" si="0"/>
        <v>-13.958570885594835</v>
      </c>
    </row>
    <row r="11" spans="2:7" ht="12.75">
      <c r="B11" s="118" t="s">
        <v>38</v>
      </c>
      <c r="C11" s="208">
        <v>203.36</v>
      </c>
      <c r="D11" s="208">
        <v>252.76</v>
      </c>
      <c r="E11" s="209">
        <v>174.37</v>
      </c>
      <c r="F11" s="208">
        <f>(E11/E10-1)*100</f>
        <v>-3.716178906681389</v>
      </c>
      <c r="G11" s="208">
        <f t="shared" si="0"/>
        <v>-31.013609748377903</v>
      </c>
    </row>
    <row r="12" spans="2:7" ht="12.75">
      <c r="B12" s="118" t="s">
        <v>37</v>
      </c>
      <c r="C12" s="208">
        <v>199.75</v>
      </c>
      <c r="D12" s="208">
        <v>235.08</v>
      </c>
      <c r="E12" s="209">
        <v>217.98</v>
      </c>
      <c r="F12" s="208">
        <f>(E12/E11-1)*100</f>
        <v>25.010036130068247</v>
      </c>
      <c r="G12" s="208">
        <f t="shared" si="0"/>
        <v>-7.274119448698324</v>
      </c>
    </row>
    <row r="13" spans="2:7" ht="12.75">
      <c r="B13" s="118" t="s">
        <v>36</v>
      </c>
      <c r="C13" s="208">
        <v>210.52</v>
      </c>
      <c r="D13" s="208">
        <v>228.59</v>
      </c>
      <c r="E13" s="208">
        <v>243.56</v>
      </c>
      <c r="F13" s="208">
        <f>(E13/E12-1)*100</f>
        <v>11.73502156161117</v>
      </c>
      <c r="G13" s="208">
        <f t="shared" si="0"/>
        <v>6.548842906513852</v>
      </c>
    </row>
    <row r="14" spans="2:7" ht="12.75">
      <c r="B14" s="118" t="s">
        <v>35</v>
      </c>
      <c r="C14" s="208">
        <v>222.21</v>
      </c>
      <c r="D14" s="208">
        <v>268.59</v>
      </c>
      <c r="E14" s="208"/>
      <c r="F14" s="208"/>
      <c r="G14" s="208"/>
    </row>
    <row r="15" spans="2:7" ht="12.75">
      <c r="B15" s="118" t="s">
        <v>34</v>
      </c>
      <c r="C15" s="208">
        <v>226.64</v>
      </c>
      <c r="D15" s="208">
        <v>374.35</v>
      </c>
      <c r="E15" s="208"/>
      <c r="F15" s="208"/>
      <c r="G15" s="208"/>
    </row>
    <row r="16" spans="2:19" ht="12.75">
      <c r="B16" s="118" t="s">
        <v>33</v>
      </c>
      <c r="C16" s="208">
        <v>227.61</v>
      </c>
      <c r="D16" s="208">
        <v>344.46</v>
      </c>
      <c r="E16" s="208"/>
      <c r="F16" s="208"/>
      <c r="G16" s="208"/>
      <c r="Q16" s="206"/>
      <c r="R16" s="206"/>
      <c r="S16" s="206"/>
    </row>
    <row r="17" spans="2:19" ht="12.75">
      <c r="B17" s="118" t="s">
        <v>32</v>
      </c>
      <c r="C17" s="208">
        <v>214.22</v>
      </c>
      <c r="D17" s="208">
        <v>386.05</v>
      </c>
      <c r="E17" s="208"/>
      <c r="F17" s="208"/>
      <c r="G17" s="208"/>
      <c r="K17" s="206"/>
      <c r="Q17" s="206"/>
      <c r="R17" s="206"/>
      <c r="S17" s="206"/>
    </row>
    <row r="18" spans="2:19" ht="12.75">
      <c r="B18" s="118" t="s">
        <v>31</v>
      </c>
      <c r="C18" s="208">
        <v>197.11</v>
      </c>
      <c r="D18" s="208">
        <v>396.11</v>
      </c>
      <c r="E18" s="208"/>
      <c r="F18" s="208"/>
      <c r="G18" s="208"/>
      <c r="K18" s="206"/>
      <c r="Q18" s="206"/>
      <c r="R18" s="206"/>
      <c r="S18" s="206"/>
    </row>
    <row r="19" spans="2:19" ht="12.75">
      <c r="B19" s="2" t="s">
        <v>30</v>
      </c>
      <c r="C19" s="210">
        <v>192.42</v>
      </c>
      <c r="D19" s="210">
        <v>277.5</v>
      </c>
      <c r="E19" s="210"/>
      <c r="F19" s="208"/>
      <c r="G19" s="208"/>
      <c r="K19" s="206"/>
      <c r="Q19" s="206"/>
      <c r="R19" s="206"/>
      <c r="S19" s="206"/>
    </row>
    <row r="20" spans="2:19" ht="12.75">
      <c r="B20" s="6" t="s">
        <v>152</v>
      </c>
      <c r="C20" s="211">
        <v>210.91</v>
      </c>
      <c r="D20" s="211">
        <v>282.27</v>
      </c>
      <c r="E20" s="212">
        <v>199.02</v>
      </c>
      <c r="F20" s="211"/>
      <c r="G20" s="211">
        <f>(E20/D20-1)*100</f>
        <v>-29.493038580082885</v>
      </c>
      <c r="Q20" s="206"/>
      <c r="R20" s="206"/>
      <c r="S20" s="206"/>
    </row>
    <row r="21" spans="2:7" ht="12.75">
      <c r="B21" s="5" t="s">
        <v>212</v>
      </c>
      <c r="C21" s="213">
        <f>AVERAGE(C8:C13)</f>
        <v>208.455</v>
      </c>
      <c r="D21" s="213">
        <f>AVERAGE(D8:D13)</f>
        <v>223.3683333333333</v>
      </c>
      <c r="E21" s="213">
        <f>AVERAGE(E8:E19)</f>
        <v>199.01500000000001</v>
      </c>
      <c r="F21" s="213"/>
      <c r="G21" s="213">
        <f>(E21/D21-1)*100</f>
        <v>-10.902768969042153</v>
      </c>
    </row>
    <row r="22" spans="2:8" ht="121.5" customHeight="1">
      <c r="B22" s="324" t="s">
        <v>203</v>
      </c>
      <c r="C22" s="324"/>
      <c r="D22" s="324"/>
      <c r="E22" s="324"/>
      <c r="F22" s="324"/>
      <c r="G22" s="324"/>
      <c r="H22" s="123"/>
    </row>
    <row r="40" ht="12.75"/>
    <row r="41" ht="12.75"/>
    <row r="60" ht="12.75">
      <c r="E60" s="210"/>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3"/>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39" customWidth="1"/>
    <col min="16" max="26" width="10.8515625" style="228" hidden="1" customWidth="1"/>
    <col min="27" max="28" width="10.8515625" style="197" customWidth="1"/>
    <col min="29" max="16384" width="10.8515625" style="39" customWidth="1"/>
  </cols>
  <sheetData>
    <row r="1" ht="6.75" customHeight="1"/>
    <row r="2" spans="2:15" ht="12.75">
      <c r="B2" s="331" t="s">
        <v>58</v>
      </c>
      <c r="C2" s="331"/>
      <c r="D2" s="331"/>
      <c r="E2" s="331"/>
      <c r="F2" s="331"/>
      <c r="G2" s="331"/>
      <c r="H2" s="331"/>
      <c r="I2" s="331"/>
      <c r="J2" s="331"/>
      <c r="K2" s="331"/>
      <c r="L2" s="331"/>
      <c r="M2" s="181"/>
      <c r="N2" s="52" t="s">
        <v>153</v>
      </c>
      <c r="O2" s="52"/>
    </row>
    <row r="3" spans="2:15" ht="12.75">
      <c r="B3" s="331" t="s">
        <v>142</v>
      </c>
      <c r="C3" s="331"/>
      <c r="D3" s="331"/>
      <c r="E3" s="331"/>
      <c r="F3" s="331"/>
      <c r="G3" s="331"/>
      <c r="H3" s="331"/>
      <c r="I3" s="331"/>
      <c r="J3" s="331"/>
      <c r="K3" s="331"/>
      <c r="L3" s="331"/>
      <c r="M3" s="178"/>
      <c r="N3" s="122"/>
      <c r="O3" s="293"/>
    </row>
    <row r="4" spans="2:15" ht="12.75">
      <c r="B4" s="331" t="s">
        <v>134</v>
      </c>
      <c r="C4" s="331"/>
      <c r="D4" s="331"/>
      <c r="E4" s="331"/>
      <c r="F4" s="331"/>
      <c r="G4" s="331"/>
      <c r="H4" s="331"/>
      <c r="I4" s="331"/>
      <c r="J4" s="331"/>
      <c r="K4" s="331"/>
      <c r="L4" s="331"/>
      <c r="M4" s="178"/>
      <c r="N4" s="122"/>
      <c r="O4" s="293"/>
    </row>
    <row r="5" spans="2:25" ht="25.5">
      <c r="B5" s="65" t="s">
        <v>65</v>
      </c>
      <c r="C5" s="66" t="s">
        <v>61</v>
      </c>
      <c r="D5" s="66" t="s">
        <v>124</v>
      </c>
      <c r="E5" s="66" t="s">
        <v>62</v>
      </c>
      <c r="F5" s="66" t="s">
        <v>63</v>
      </c>
      <c r="G5" s="66" t="s">
        <v>64</v>
      </c>
      <c r="H5" s="66" t="s">
        <v>130</v>
      </c>
      <c r="I5" s="66" t="s">
        <v>158</v>
      </c>
      <c r="J5" s="66" t="s">
        <v>189</v>
      </c>
      <c r="K5" s="66" t="s">
        <v>165</v>
      </c>
      <c r="L5" s="105" t="s">
        <v>70</v>
      </c>
      <c r="M5" s="76"/>
      <c r="Q5" s="297" t="str">
        <f aca="true" t="shared" si="0" ref="Q5:Y5">+C5</f>
        <v>Asterix</v>
      </c>
      <c r="R5" s="297" t="str">
        <f t="shared" si="0"/>
        <v>Cardinal</v>
      </c>
      <c r="S5" s="297" t="str">
        <f t="shared" si="0"/>
        <v>Désirée</v>
      </c>
      <c r="T5" s="297" t="str">
        <f t="shared" si="0"/>
        <v>Karu</v>
      </c>
      <c r="U5" s="297" t="str">
        <f t="shared" si="0"/>
        <v>Pukará</v>
      </c>
      <c r="V5" s="297" t="str">
        <f t="shared" si="0"/>
        <v>Rodeo</v>
      </c>
      <c r="W5" s="297" t="str">
        <f t="shared" si="0"/>
        <v>Patagonia</v>
      </c>
      <c r="X5" s="297" t="str">
        <f t="shared" si="0"/>
        <v>Yagana</v>
      </c>
      <c r="Y5" s="297" t="str">
        <f t="shared" si="0"/>
        <v>Rosara</v>
      </c>
    </row>
    <row r="6" spans="2:26" ht="12.75">
      <c r="B6" s="115">
        <v>42509</v>
      </c>
      <c r="C6" s="195">
        <v>12862.412499999999</v>
      </c>
      <c r="D6" s="195">
        <v>16386.55</v>
      </c>
      <c r="E6" s="195"/>
      <c r="F6" s="195">
        <v>11908.546666666667</v>
      </c>
      <c r="G6" s="195">
        <v>13247.536666666667</v>
      </c>
      <c r="H6" s="195">
        <v>11899.865000000002</v>
      </c>
      <c r="I6" s="195">
        <v>12624.66</v>
      </c>
      <c r="J6" s="195"/>
      <c r="K6" s="195">
        <v>12958.87</v>
      </c>
      <c r="L6" s="195">
        <v>12832.023125000002</v>
      </c>
      <c r="Q6" s="298">
        <f aca="true" t="shared" si="1" ref="Q6:Q35">+IF(C6="","",((C6-$L6)/$L6))</f>
        <v>0.0023682450307302583</v>
      </c>
      <c r="R6" s="298">
        <f aca="true" t="shared" si="2" ref="R6:R35">+IF(D6="","",((D6-$L6)/$L6))</f>
        <v>0.27700440066032045</v>
      </c>
      <c r="S6" s="298">
        <f aca="true" t="shared" si="3" ref="S6:S35">+IF(E6="","",((E6-$L6)/$L6))</f>
      </c>
      <c r="T6" s="298">
        <f aca="true" t="shared" si="4" ref="T6:T35">+IF(F6="","",((F6-$L6)/$L6))</f>
        <v>-0.07196655190982088</v>
      </c>
      <c r="U6" s="298">
        <f aca="true" t="shared" si="5" ref="U6:U35">+IF(G6="","",((G6-$L6)/$L6))</f>
        <v>0.03238098448070442</v>
      </c>
      <c r="V6" s="298">
        <f aca="true" t="shared" si="6" ref="V6:V35">+IF(H6="","",((H6-$L6)/$L6))</f>
        <v>-0.07264311448939972</v>
      </c>
      <c r="W6" s="298">
        <f aca="true" t="shared" si="7" ref="W6:W35">+IF(I6="","",((I6-$L6)/$L6))</f>
        <v>-0.0161598154071283</v>
      </c>
      <c r="X6" s="298">
        <f aca="true" t="shared" si="8" ref="X6:X35">+IF(J6="","",((J6-$L6)/$L6))</f>
      </c>
      <c r="Y6" s="298">
        <f aca="true" t="shared" si="9" ref="Y6:Y35">+IF(K6="","",((K6-$L6)/$L6))</f>
        <v>0.00988518129716192</v>
      </c>
      <c r="Z6" s="229"/>
    </row>
    <row r="7" spans="2:26" ht="12.75">
      <c r="B7" s="116">
        <v>42510</v>
      </c>
      <c r="C7" s="112">
        <v>13749.79142857143</v>
      </c>
      <c r="D7" s="112">
        <v>12815.125</v>
      </c>
      <c r="E7" s="112">
        <v>9045.97</v>
      </c>
      <c r="F7" s="112">
        <v>12590.133333333333</v>
      </c>
      <c r="G7" s="112">
        <v>12562.978</v>
      </c>
      <c r="H7" s="112">
        <v>9033.61</v>
      </c>
      <c r="I7" s="112">
        <v>11823.960000000001</v>
      </c>
      <c r="J7" s="112"/>
      <c r="K7" s="112">
        <v>13445.38</v>
      </c>
      <c r="L7" s="112">
        <v>12553.536666666669</v>
      </c>
      <c r="Q7" s="298">
        <f t="shared" si="1"/>
        <v>0.09529225059589541</v>
      </c>
      <c r="R7" s="298">
        <f t="shared" si="2"/>
        <v>0.020837819674189927</v>
      </c>
      <c r="S7" s="298">
        <f t="shared" si="3"/>
        <v>-0.27940864473517574</v>
      </c>
      <c r="T7" s="298">
        <f t="shared" si="4"/>
        <v>0.0029152475225439414</v>
      </c>
      <c r="U7" s="298">
        <f t="shared" si="5"/>
        <v>0.0007520855344613755</v>
      </c>
      <c r="V7" s="298">
        <f t="shared" si="6"/>
        <v>-0.2803932278314133</v>
      </c>
      <c r="W7" s="298">
        <f t="shared" si="7"/>
        <v>-0.05811722114963095</v>
      </c>
      <c r="X7" s="298">
        <f t="shared" si="8"/>
      </c>
      <c r="Y7" s="298">
        <f t="shared" si="9"/>
        <v>0.07104319340552347</v>
      </c>
      <c r="Z7" s="229"/>
    </row>
    <row r="8" spans="2:26" ht="12.75">
      <c r="B8" s="116">
        <v>42513</v>
      </c>
      <c r="C8" s="112">
        <v>13871.628</v>
      </c>
      <c r="D8" s="112">
        <v>14278.119999999999</v>
      </c>
      <c r="E8" s="112"/>
      <c r="F8" s="112">
        <v>12457.9825</v>
      </c>
      <c r="G8" s="112">
        <v>13865.55</v>
      </c>
      <c r="H8" s="112">
        <v>10294.12</v>
      </c>
      <c r="I8" s="112">
        <v>12940.1325</v>
      </c>
      <c r="J8" s="112">
        <v>12156.86</v>
      </c>
      <c r="K8" s="112">
        <v>13890.26</v>
      </c>
      <c r="L8" s="112">
        <v>13142.822631578947</v>
      </c>
      <c r="Q8" s="298">
        <f t="shared" si="1"/>
        <v>0.05545272799085904</v>
      </c>
      <c r="R8" s="298">
        <f t="shared" si="2"/>
        <v>0.08638154833598785</v>
      </c>
      <c r="S8" s="298">
        <f t="shared" si="3"/>
      </c>
      <c r="T8" s="298">
        <f t="shared" si="4"/>
        <v>-0.05210753814279177</v>
      </c>
      <c r="U8" s="298">
        <f t="shared" si="5"/>
        <v>0.054990270254771406</v>
      </c>
      <c r="V8" s="298">
        <f t="shared" si="6"/>
        <v>-0.21674968242622553</v>
      </c>
      <c r="W8" s="298">
        <f t="shared" si="7"/>
        <v>-0.015422115725120809</v>
      </c>
      <c r="X8" s="298">
        <f t="shared" si="8"/>
        <v>-0.07501909287050124</v>
      </c>
      <c r="Y8" s="298">
        <f t="shared" si="9"/>
        <v>0.056870383887335306</v>
      </c>
      <c r="Z8" s="229"/>
    </row>
    <row r="9" spans="2:26" ht="12.75">
      <c r="B9" s="116">
        <v>42514</v>
      </c>
      <c r="C9" s="112">
        <v>14549.635714285714</v>
      </c>
      <c r="D9" s="112">
        <v>14275.075</v>
      </c>
      <c r="E9" s="112"/>
      <c r="F9" s="112">
        <v>12889.153333333334</v>
      </c>
      <c r="G9" s="112">
        <v>11881.45</v>
      </c>
      <c r="H9" s="112">
        <v>10504.2</v>
      </c>
      <c r="I9" s="112">
        <v>12707.939999999999</v>
      </c>
      <c r="J9" s="112">
        <v>11318.28</v>
      </c>
      <c r="K9" s="112">
        <v>13445.38</v>
      </c>
      <c r="L9" s="112">
        <v>13160.455652173918</v>
      </c>
      <c r="Q9" s="298">
        <f t="shared" si="1"/>
        <v>0.10555714018019763</v>
      </c>
      <c r="R9" s="298">
        <f t="shared" si="2"/>
        <v>0.08469458636426193</v>
      </c>
      <c r="S9" s="298">
        <f t="shared" si="3"/>
      </c>
      <c r="T9" s="298">
        <f t="shared" si="4"/>
        <v>-0.020614963950413744</v>
      </c>
      <c r="U9" s="298">
        <f t="shared" si="5"/>
        <v>-0.09718551439080635</v>
      </c>
      <c r="V9" s="298">
        <f t="shared" si="6"/>
        <v>-0.20183614628382124</v>
      </c>
      <c r="W9" s="298">
        <f t="shared" si="7"/>
        <v>-0.034384497325453164</v>
      </c>
      <c r="X9" s="298">
        <f t="shared" si="8"/>
        <v>-0.13997810568736777</v>
      </c>
      <c r="Y9" s="298">
        <f t="shared" si="9"/>
        <v>0.021650036697552794</v>
      </c>
      <c r="Z9" s="229"/>
    </row>
    <row r="10" spans="2:26" ht="12.75">
      <c r="B10" s="116">
        <v>42515</v>
      </c>
      <c r="C10" s="112">
        <v>13838.742000000002</v>
      </c>
      <c r="D10" s="112">
        <v>13769.134999999998</v>
      </c>
      <c r="E10" s="112"/>
      <c r="F10" s="112">
        <v>13005.199999999999</v>
      </c>
      <c r="G10" s="112">
        <v>13305.32</v>
      </c>
      <c r="H10" s="112">
        <v>10504.2</v>
      </c>
      <c r="I10" s="112">
        <v>13091.96</v>
      </c>
      <c r="J10" s="112"/>
      <c r="K10" s="112">
        <v>14302.86</v>
      </c>
      <c r="L10" s="112">
        <v>13307.286315789474</v>
      </c>
      <c r="Q10" s="298">
        <f t="shared" si="1"/>
        <v>0.03993719467656912</v>
      </c>
      <c r="R10" s="298">
        <f t="shared" si="2"/>
        <v>0.034706451281695826</v>
      </c>
      <c r="S10" s="298">
        <f t="shared" si="3"/>
      </c>
      <c r="T10" s="298">
        <f t="shared" si="4"/>
        <v>-0.022700820334123316</v>
      </c>
      <c r="U10" s="298">
        <f t="shared" si="5"/>
        <v>-0.00014776234183379078</v>
      </c>
      <c r="V10" s="298">
        <f t="shared" si="6"/>
        <v>-0.21064297026986872</v>
      </c>
      <c r="W10" s="298">
        <f t="shared" si="7"/>
        <v>-0.016181083857343896</v>
      </c>
      <c r="X10" s="298">
        <f t="shared" si="8"/>
      </c>
      <c r="Y10" s="298">
        <f t="shared" si="9"/>
        <v>0.07481417778087864</v>
      </c>
      <c r="Z10" s="229"/>
    </row>
    <row r="11" spans="2:26" ht="12.75">
      <c r="B11" s="116">
        <v>42516</v>
      </c>
      <c r="C11" s="112">
        <v>13607.804</v>
      </c>
      <c r="D11" s="112">
        <v>13877.9</v>
      </c>
      <c r="E11" s="112"/>
      <c r="F11" s="112">
        <v>12318.26</v>
      </c>
      <c r="G11" s="112">
        <v>8403.36</v>
      </c>
      <c r="H11" s="112"/>
      <c r="I11" s="112">
        <v>12450.317500000001</v>
      </c>
      <c r="J11" s="112"/>
      <c r="K11" s="112">
        <v>12920.169999999998</v>
      </c>
      <c r="L11" s="112">
        <v>12752.621764705884</v>
      </c>
      <c r="Q11" s="298">
        <f t="shared" si="1"/>
        <v>0.06705932717779774</v>
      </c>
      <c r="R11" s="298">
        <f t="shared" si="2"/>
        <v>0.08823897203698398</v>
      </c>
      <c r="S11" s="298">
        <f t="shared" si="3"/>
      </c>
      <c r="T11" s="298">
        <f t="shared" si="4"/>
        <v>-0.034060585558023986</v>
      </c>
      <c r="U11" s="298">
        <f t="shared" si="5"/>
        <v>-0.34104844046601357</v>
      </c>
      <c r="V11" s="298">
        <f t="shared" si="6"/>
      </c>
      <c r="W11" s="298">
        <f t="shared" si="7"/>
        <v>-0.023705263927966496</v>
      </c>
      <c r="X11" s="298">
        <f t="shared" si="8"/>
      </c>
      <c r="Y11" s="298">
        <f t="shared" si="9"/>
        <v>0.013138336444496487</v>
      </c>
      <c r="Z11" s="229"/>
    </row>
    <row r="12" spans="2:26" ht="12.75">
      <c r="B12" s="116">
        <v>42517</v>
      </c>
      <c r="C12" s="112">
        <v>13822.542857142858</v>
      </c>
      <c r="D12" s="112">
        <v>14139.9</v>
      </c>
      <c r="E12" s="112"/>
      <c r="F12" s="112">
        <v>12600.796666666667</v>
      </c>
      <c r="G12" s="112">
        <v>11032.7075</v>
      </c>
      <c r="H12" s="112">
        <v>11134.45</v>
      </c>
      <c r="I12" s="112">
        <v>12244.417500000001</v>
      </c>
      <c r="J12" s="112">
        <v>10522.47</v>
      </c>
      <c r="K12" s="112">
        <v>13762.705</v>
      </c>
      <c r="L12" s="112">
        <v>12770.828800000001</v>
      </c>
      <c r="Q12" s="298">
        <f t="shared" si="1"/>
        <v>0.08235284284312519</v>
      </c>
      <c r="R12" s="298">
        <f t="shared" si="2"/>
        <v>0.10720300314416542</v>
      </c>
      <c r="S12" s="298">
        <f t="shared" si="3"/>
      </c>
      <c r="T12" s="298">
        <f t="shared" si="4"/>
        <v>-0.013314103257991686</v>
      </c>
      <c r="U12" s="298">
        <f t="shared" si="5"/>
        <v>-0.13610090051477322</v>
      </c>
      <c r="V12" s="298">
        <f t="shared" si="6"/>
        <v>-0.1281341113898575</v>
      </c>
      <c r="W12" s="298">
        <f t="shared" si="7"/>
        <v>-0.04121982278863528</v>
      </c>
      <c r="X12" s="298">
        <f t="shared" si="8"/>
        <v>-0.176054258906047</v>
      </c>
      <c r="Y12" s="298">
        <f t="shared" si="9"/>
        <v>0.07766733197456994</v>
      </c>
      <c r="Z12" s="229"/>
    </row>
    <row r="13" spans="2:26" ht="12.75">
      <c r="B13" s="116">
        <v>42520</v>
      </c>
      <c r="C13" s="112">
        <v>13442.9375</v>
      </c>
      <c r="D13" s="112">
        <v>16825.82</v>
      </c>
      <c r="E13" s="112">
        <v>10924.37</v>
      </c>
      <c r="F13" s="112">
        <v>12799.755000000001</v>
      </c>
      <c r="G13" s="112">
        <v>10842.27</v>
      </c>
      <c r="H13" s="112"/>
      <c r="I13" s="112">
        <v>12325.686666666666</v>
      </c>
      <c r="J13" s="112"/>
      <c r="K13" s="112">
        <v>11344.54</v>
      </c>
      <c r="L13" s="112">
        <v>12582.234444444444</v>
      </c>
      <c r="Q13" s="298">
        <f t="shared" si="1"/>
        <v>0.06840621666651509</v>
      </c>
      <c r="R13" s="298">
        <f t="shared" si="2"/>
        <v>0.3372680404496251</v>
      </c>
      <c r="S13" s="298">
        <f t="shared" si="3"/>
        <v>-0.13176232343822336</v>
      </c>
      <c r="T13" s="298">
        <f t="shared" si="4"/>
        <v>0.017287911500615906</v>
      </c>
      <c r="U13" s="298">
        <f t="shared" si="5"/>
        <v>-0.13828739657706085</v>
      </c>
      <c r="V13" s="298">
        <f t="shared" si="6"/>
      </c>
      <c r="W13" s="298">
        <f t="shared" si="7"/>
        <v>-0.02038968347876031</v>
      </c>
      <c r="X13" s="298">
        <f t="shared" si="8"/>
      </c>
      <c r="Y13" s="298">
        <f t="shared" si="9"/>
        <v>-0.09836841380673324</v>
      </c>
      <c r="Z13" s="229"/>
    </row>
    <row r="14" spans="2:26" ht="12.75">
      <c r="B14" s="116">
        <v>42521</v>
      </c>
      <c r="C14" s="112">
        <v>13719.125</v>
      </c>
      <c r="D14" s="112">
        <v>17647.06</v>
      </c>
      <c r="E14" s="112">
        <v>11344.54</v>
      </c>
      <c r="F14" s="112">
        <v>12827.485</v>
      </c>
      <c r="G14" s="112">
        <v>11229.872</v>
      </c>
      <c r="H14" s="112">
        <v>13810.74</v>
      </c>
      <c r="I14" s="112">
        <v>12187.418000000001</v>
      </c>
      <c r="J14" s="112"/>
      <c r="K14" s="112">
        <v>12593.985</v>
      </c>
      <c r="L14" s="112">
        <v>12682.959166666666</v>
      </c>
      <c r="Q14" s="298">
        <f t="shared" si="1"/>
        <v>0.08169748240273325</v>
      </c>
      <c r="R14" s="298">
        <f t="shared" si="2"/>
        <v>0.391399260070156</v>
      </c>
      <c r="S14" s="298">
        <f t="shared" si="3"/>
        <v>-0.10552893446068139</v>
      </c>
      <c r="T14" s="298">
        <f t="shared" si="4"/>
        <v>0.01139527703543961</v>
      </c>
      <c r="U14" s="298">
        <f t="shared" si="5"/>
        <v>-0.11457004217798539</v>
      </c>
      <c r="V14" s="298">
        <f t="shared" si="6"/>
        <v>0.08892095436981033</v>
      </c>
      <c r="W14" s="298">
        <f t="shared" si="7"/>
        <v>-0.039071415444515874</v>
      </c>
      <c r="X14" s="298">
        <f t="shared" si="8"/>
      </c>
      <c r="Y14" s="298">
        <f t="shared" si="9"/>
        <v>-0.0070152529466866705</v>
      </c>
      <c r="Z14" s="229"/>
    </row>
    <row r="15" spans="2:26" ht="12.75">
      <c r="B15" s="116">
        <v>42522</v>
      </c>
      <c r="C15" s="112">
        <v>14068.325999999997</v>
      </c>
      <c r="D15" s="112"/>
      <c r="E15" s="112">
        <v>12184.87</v>
      </c>
      <c r="F15" s="112">
        <v>12316.44</v>
      </c>
      <c r="G15" s="112">
        <v>11405.046666666667</v>
      </c>
      <c r="H15" s="112">
        <v>15966.39</v>
      </c>
      <c r="I15" s="112">
        <v>12487.066</v>
      </c>
      <c r="J15" s="112">
        <v>10483.71</v>
      </c>
      <c r="K15" s="112">
        <v>11362.81</v>
      </c>
      <c r="L15" s="112">
        <v>12696.96</v>
      </c>
      <c r="Q15" s="298">
        <f t="shared" si="1"/>
        <v>0.10800742854982597</v>
      </c>
      <c r="R15" s="298">
        <f t="shared" si="2"/>
      </c>
      <c r="S15" s="298">
        <f t="shared" si="3"/>
        <v>-0.040331701446645364</v>
      </c>
      <c r="T15" s="298">
        <f t="shared" si="4"/>
        <v>-0.02996937849689994</v>
      </c>
      <c r="U15" s="298">
        <f t="shared" si="5"/>
        <v>-0.10174981517885637</v>
      </c>
      <c r="V15" s="298">
        <f t="shared" si="6"/>
        <v>0.2574970701648269</v>
      </c>
      <c r="W15" s="298">
        <f t="shared" si="7"/>
        <v>-0.016531043651393594</v>
      </c>
      <c r="X15" s="298">
        <f t="shared" si="8"/>
        <v>-0.17431337895055196</v>
      </c>
      <c r="Y15" s="298">
        <f t="shared" si="9"/>
        <v>-0.10507633323252177</v>
      </c>
      <c r="Z15" s="229"/>
    </row>
    <row r="16" spans="2:26" ht="12.75">
      <c r="B16" s="116">
        <v>42523</v>
      </c>
      <c r="C16" s="112">
        <v>14055.665</v>
      </c>
      <c r="D16" s="112">
        <v>20168.07</v>
      </c>
      <c r="E16" s="112">
        <v>10924.37</v>
      </c>
      <c r="F16" s="112">
        <v>12182.976666666667</v>
      </c>
      <c r="G16" s="112">
        <v>11419.393333333333</v>
      </c>
      <c r="H16" s="112">
        <v>18067.23</v>
      </c>
      <c r="I16" s="112">
        <v>12012.824000000002</v>
      </c>
      <c r="J16" s="112">
        <v>10527.54</v>
      </c>
      <c r="K16" s="112">
        <v>12970.41</v>
      </c>
      <c r="L16" s="112">
        <v>12868.89888888889</v>
      </c>
      <c r="Q16" s="298">
        <f t="shared" si="1"/>
        <v>0.09221970903320822</v>
      </c>
      <c r="R16" s="298">
        <f t="shared" si="2"/>
        <v>0.5671946896259532</v>
      </c>
      <c r="S16" s="298">
        <f t="shared" si="3"/>
        <v>-0.1511029735860161</v>
      </c>
      <c r="T16" s="298">
        <f t="shared" si="4"/>
        <v>-0.05330077018589788</v>
      </c>
      <c r="U16" s="298">
        <f t="shared" si="5"/>
        <v>-0.11263633105448298</v>
      </c>
      <c r="V16" s="298">
        <f t="shared" si="6"/>
        <v>0.4039452913566202</v>
      </c>
      <c r="W16" s="298">
        <f t="shared" si="7"/>
        <v>-0.06652277683431254</v>
      </c>
      <c r="X16" s="298">
        <f t="shared" si="8"/>
        <v>-0.18193933366827816</v>
      </c>
      <c r="Y16" s="298">
        <f t="shared" si="9"/>
        <v>0.007888096098008402</v>
      </c>
      <c r="Z16" s="229"/>
    </row>
    <row r="17" spans="2:26" ht="12.75">
      <c r="B17" s="116">
        <v>42524</v>
      </c>
      <c r="C17" s="112">
        <v>13349.41</v>
      </c>
      <c r="D17" s="112"/>
      <c r="E17" s="112"/>
      <c r="F17" s="112">
        <v>11092.435000000001</v>
      </c>
      <c r="G17" s="112">
        <v>12109.526666666667</v>
      </c>
      <c r="H17" s="112"/>
      <c r="I17" s="112">
        <v>12539.124</v>
      </c>
      <c r="J17" s="112"/>
      <c r="K17" s="112"/>
      <c r="L17" s="112">
        <v>12471.907857142856</v>
      </c>
      <c r="Q17" s="298">
        <f t="shared" si="1"/>
        <v>0.07035829264522543</v>
      </c>
      <c r="R17" s="298">
        <f t="shared" si="2"/>
      </c>
      <c r="S17" s="298">
        <f t="shared" si="3"/>
      </c>
      <c r="T17" s="298">
        <f t="shared" si="4"/>
        <v>-0.11060640223963886</v>
      </c>
      <c r="U17" s="298">
        <f t="shared" si="5"/>
        <v>-0.029055794400264776</v>
      </c>
      <c r="V17" s="298">
        <f t="shared" si="6"/>
      </c>
      <c r="W17" s="298">
        <f t="shared" si="7"/>
        <v>0.00538940341983426</v>
      </c>
      <c r="X17" s="298">
        <f t="shared" si="8"/>
      </c>
      <c r="Y17" s="298">
        <f t="shared" si="9"/>
      </c>
      <c r="Z17" s="229"/>
    </row>
    <row r="18" spans="2:26" ht="12.75">
      <c r="B18" s="116">
        <v>42527</v>
      </c>
      <c r="C18" s="112">
        <v>15102.956</v>
      </c>
      <c r="D18" s="112">
        <v>16596.64</v>
      </c>
      <c r="E18" s="112">
        <v>10084.03</v>
      </c>
      <c r="F18" s="112">
        <v>12099.283333333335</v>
      </c>
      <c r="G18" s="112">
        <v>10900.494999999999</v>
      </c>
      <c r="H18" s="112">
        <v>11974.79</v>
      </c>
      <c r="I18" s="112">
        <v>12600.037500000002</v>
      </c>
      <c r="J18" s="112"/>
      <c r="K18" s="112">
        <v>13000.49</v>
      </c>
      <c r="L18" s="112">
        <v>13092.762222222222</v>
      </c>
      <c r="Q18" s="298">
        <f t="shared" si="1"/>
        <v>0.15353473496722453</v>
      </c>
      <c r="R18" s="298">
        <f t="shared" si="2"/>
        <v>0.2676194464015148</v>
      </c>
      <c r="S18" s="298">
        <f t="shared" si="3"/>
        <v>-0.22980118107663547</v>
      </c>
      <c r="T18" s="298">
        <f t="shared" si="4"/>
        <v>-0.07588000698604797</v>
      </c>
      <c r="U18" s="298">
        <f t="shared" si="5"/>
        <v>-0.16744115451064315</v>
      </c>
      <c r="V18" s="298">
        <f t="shared" si="6"/>
        <v>-0.08538856837441813</v>
      </c>
      <c r="W18" s="298">
        <f t="shared" si="7"/>
        <v>-0.03763336673035446</v>
      </c>
      <c r="X18" s="298">
        <f t="shared" si="8"/>
      </c>
      <c r="Y18" s="298">
        <f t="shared" si="9"/>
        <v>-0.007047574885734129</v>
      </c>
      <c r="Z18" s="229"/>
    </row>
    <row r="19" spans="2:26" ht="12.75">
      <c r="B19" s="116">
        <v>42528</v>
      </c>
      <c r="C19" s="112">
        <v>13774.123333333331</v>
      </c>
      <c r="D19" s="112">
        <v>16596.64</v>
      </c>
      <c r="E19" s="112">
        <v>10504.2</v>
      </c>
      <c r="F19" s="112">
        <v>12809.445</v>
      </c>
      <c r="G19" s="112">
        <v>9850.605</v>
      </c>
      <c r="H19" s="112">
        <v>13363.68</v>
      </c>
      <c r="I19" s="112">
        <v>12856.427500000002</v>
      </c>
      <c r="J19" s="112">
        <v>11363.64</v>
      </c>
      <c r="K19" s="112"/>
      <c r="L19" s="112">
        <v>12872.757368421053</v>
      </c>
      <c r="Q19" s="298">
        <f t="shared" si="1"/>
        <v>0.0700212036252213</v>
      </c>
      <c r="R19" s="298">
        <f t="shared" si="2"/>
        <v>0.28928399137812</v>
      </c>
      <c r="S19" s="298">
        <f t="shared" si="3"/>
        <v>-0.1839976704782384</v>
      </c>
      <c r="T19" s="298">
        <f t="shared" si="4"/>
        <v>-0.00491832220627172</v>
      </c>
      <c r="U19" s="298">
        <f t="shared" si="5"/>
        <v>-0.2347711746540706</v>
      </c>
      <c r="V19" s="298">
        <f t="shared" si="6"/>
        <v>0.03813655594746621</v>
      </c>
      <c r="W19" s="298">
        <f t="shared" si="7"/>
        <v>-0.0012685602589784753</v>
      </c>
      <c r="X19" s="298">
        <f t="shared" si="8"/>
        <v>-0.11723341978954419</v>
      </c>
      <c r="Y19" s="298">
        <f t="shared" si="9"/>
      </c>
      <c r="Z19" s="229"/>
    </row>
    <row r="20" spans="2:26" ht="12.75">
      <c r="B20" s="116">
        <v>42529</v>
      </c>
      <c r="C20" s="112">
        <v>14456.665714285715</v>
      </c>
      <c r="D20" s="112">
        <v>13977.365</v>
      </c>
      <c r="E20" s="112">
        <v>10924.37</v>
      </c>
      <c r="F20" s="112">
        <v>12809.125</v>
      </c>
      <c r="G20" s="112">
        <v>9385.064999999999</v>
      </c>
      <c r="H20" s="112"/>
      <c r="I20" s="112">
        <v>12351.650000000001</v>
      </c>
      <c r="J20" s="112">
        <v>10068.815</v>
      </c>
      <c r="K20" s="112"/>
      <c r="L20" s="112">
        <v>12718.774736842106</v>
      </c>
      <c r="Q20" s="298">
        <f t="shared" si="1"/>
        <v>0.1366398110982743</v>
      </c>
      <c r="R20" s="298">
        <f t="shared" si="2"/>
        <v>0.09895530734671885</v>
      </c>
      <c r="S20" s="298">
        <f t="shared" si="3"/>
        <v>-0.14108314471867364</v>
      </c>
      <c r="T20" s="298">
        <f t="shared" si="4"/>
        <v>0.0071036923781800316</v>
      </c>
      <c r="U20" s="298">
        <f t="shared" si="5"/>
        <v>-0.262109346679869</v>
      </c>
      <c r="V20" s="298">
        <f t="shared" si="6"/>
      </c>
      <c r="W20" s="298">
        <f t="shared" si="7"/>
        <v>-0.028864788034861956</v>
      </c>
      <c r="X20" s="298">
        <f t="shared" si="8"/>
        <v>-0.20835023747736045</v>
      </c>
      <c r="Y20" s="298">
        <f t="shared" si="9"/>
      </c>
      <c r="Z20" s="229"/>
    </row>
    <row r="21" spans="2:26" ht="12.75">
      <c r="B21" s="116">
        <v>42530</v>
      </c>
      <c r="C21" s="112">
        <v>14512.938333333332</v>
      </c>
      <c r="D21" s="112">
        <v>18410.364999999998</v>
      </c>
      <c r="E21" s="112">
        <v>10924.37</v>
      </c>
      <c r="F21" s="112">
        <v>12805.990000000002</v>
      </c>
      <c r="G21" s="112">
        <v>11428.7175</v>
      </c>
      <c r="H21" s="112">
        <v>12934.175</v>
      </c>
      <c r="I21" s="112">
        <v>12207.153333333334</v>
      </c>
      <c r="J21" s="112">
        <v>9646.6</v>
      </c>
      <c r="K21" s="112"/>
      <c r="L21" s="112">
        <v>13251.71380952381</v>
      </c>
      <c r="Q21" s="298">
        <f t="shared" si="1"/>
        <v>0.09517444625940372</v>
      </c>
      <c r="R21" s="298">
        <f t="shared" si="2"/>
        <v>0.3892818140072375</v>
      </c>
      <c r="S21" s="298">
        <f t="shared" si="3"/>
        <v>-0.17562587322487916</v>
      </c>
      <c r="T21" s="298">
        <f t="shared" si="4"/>
        <v>-0.033635182281364466</v>
      </c>
      <c r="U21" s="298">
        <f t="shared" si="5"/>
        <v>-0.1375668336735169</v>
      </c>
      <c r="V21" s="298">
        <f t="shared" si="6"/>
        <v>-0.023962093815790075</v>
      </c>
      <c r="W21" s="298">
        <f t="shared" si="7"/>
        <v>-0.07882455742741486</v>
      </c>
      <c r="X21" s="298">
        <f t="shared" si="8"/>
        <v>-0.2720488731753977</v>
      </c>
      <c r="Y21" s="298">
        <f t="shared" si="9"/>
      </c>
      <c r="Z21" s="229"/>
    </row>
    <row r="22" spans="2:26" ht="12.75">
      <c r="B22" s="116">
        <v>42531</v>
      </c>
      <c r="C22" s="112">
        <v>13221.616666666669</v>
      </c>
      <c r="D22" s="112">
        <v>18886.555</v>
      </c>
      <c r="E22" s="112">
        <v>10504.2</v>
      </c>
      <c r="F22" s="112">
        <v>13013.85</v>
      </c>
      <c r="G22" s="112">
        <v>11666.62</v>
      </c>
      <c r="H22" s="112">
        <v>12815.13</v>
      </c>
      <c r="I22" s="112">
        <v>12307.79</v>
      </c>
      <c r="J22" s="112">
        <v>9658.11</v>
      </c>
      <c r="K22" s="112">
        <v>12935.17</v>
      </c>
      <c r="L22" s="112">
        <v>12980.956000000002</v>
      </c>
      <c r="Q22" s="298">
        <f t="shared" si="1"/>
        <v>0.018539517942027278</v>
      </c>
      <c r="R22" s="298">
        <f t="shared" si="2"/>
        <v>0.45494330309724473</v>
      </c>
      <c r="S22" s="298">
        <f t="shared" si="3"/>
        <v>-0.19079919845656984</v>
      </c>
      <c r="T22" s="298">
        <f t="shared" si="4"/>
        <v>0.0025340198364433566</v>
      </c>
      <c r="U22" s="298">
        <f t="shared" si="5"/>
        <v>-0.1012510942953663</v>
      </c>
      <c r="V22" s="298">
        <f t="shared" si="6"/>
        <v>-0.012774559901443524</v>
      </c>
      <c r="W22" s="298">
        <f t="shared" si="7"/>
        <v>-0.051857967933948854</v>
      </c>
      <c r="X22" s="298">
        <f t="shared" si="8"/>
        <v>-0.2559785273133967</v>
      </c>
      <c r="Y22" s="298">
        <f t="shared" si="9"/>
        <v>-0.003527167028376174</v>
      </c>
      <c r="Z22" s="229"/>
    </row>
    <row r="23" spans="2:26" ht="12.75">
      <c r="B23" s="116">
        <v>42534</v>
      </c>
      <c r="C23" s="112">
        <v>14654.037499999999</v>
      </c>
      <c r="D23" s="112">
        <v>16596.64</v>
      </c>
      <c r="E23" s="112"/>
      <c r="F23" s="112">
        <v>11642.84</v>
      </c>
      <c r="G23" s="112">
        <v>9723.726666666667</v>
      </c>
      <c r="H23" s="112"/>
      <c r="I23" s="112">
        <v>12312.706666666665</v>
      </c>
      <c r="J23" s="112"/>
      <c r="K23" s="112">
        <v>10567.225</v>
      </c>
      <c r="L23" s="112">
        <v>12295.758823529415</v>
      </c>
      <c r="Q23" s="298">
        <f t="shared" si="1"/>
        <v>0.19179610712254155</v>
      </c>
      <c r="R23" s="298">
        <f t="shared" si="2"/>
        <v>0.34978574630467946</v>
      </c>
      <c r="S23" s="298">
        <f t="shared" si="3"/>
      </c>
      <c r="T23" s="298">
        <f t="shared" si="4"/>
        <v>-0.05310114104385134</v>
      </c>
      <c r="U23" s="298">
        <f t="shared" si="5"/>
        <v>-0.2091804331702452</v>
      </c>
      <c r="V23" s="298">
        <f t="shared" si="6"/>
      </c>
      <c r="W23" s="298">
        <f t="shared" si="7"/>
        <v>0.001378348695715974</v>
      </c>
      <c r="X23" s="298">
        <f t="shared" si="8"/>
      </c>
      <c r="Y23" s="298">
        <f t="shared" si="9"/>
        <v>-0.140579678597929</v>
      </c>
      <c r="Z23" s="229"/>
    </row>
    <row r="24" spans="2:26" ht="12.75">
      <c r="B24" s="116">
        <v>42535</v>
      </c>
      <c r="C24" s="112">
        <v>14145.956666666667</v>
      </c>
      <c r="D24" s="112">
        <v>19390.754999999997</v>
      </c>
      <c r="E24" s="112">
        <v>10924.37</v>
      </c>
      <c r="F24" s="112">
        <v>12808.76</v>
      </c>
      <c r="G24" s="112">
        <v>10763.1925</v>
      </c>
      <c r="H24" s="112"/>
      <c r="I24" s="112">
        <v>11623.294999999998</v>
      </c>
      <c r="J24" s="112">
        <v>10486.93</v>
      </c>
      <c r="K24" s="112">
        <v>13445.38</v>
      </c>
      <c r="L24" s="112">
        <v>13032.257142857141</v>
      </c>
      <c r="Q24" s="298">
        <f t="shared" si="1"/>
        <v>0.08545714772209927</v>
      </c>
      <c r="R24" s="298">
        <f t="shared" si="2"/>
        <v>0.48790457304841395</v>
      </c>
      <c r="S24" s="298">
        <f t="shared" si="3"/>
        <v>-0.1617438268559989</v>
      </c>
      <c r="T24" s="298">
        <f t="shared" si="4"/>
        <v>-0.01714953445187639</v>
      </c>
      <c r="U24" s="298">
        <f t="shared" si="5"/>
        <v>-0.17411140817619572</v>
      </c>
      <c r="V24" s="298">
        <f t="shared" si="6"/>
      </c>
      <c r="W24" s="298">
        <f t="shared" si="7"/>
        <v>-0.10811343939981892</v>
      </c>
      <c r="X24" s="298">
        <f t="shared" si="8"/>
        <v>-0.1953097698238874</v>
      </c>
      <c r="Y24" s="298">
        <f t="shared" si="9"/>
        <v>0.03170002345827615</v>
      </c>
      <c r="Z24" s="229"/>
    </row>
    <row r="25" spans="2:26" ht="12.75">
      <c r="B25" s="116">
        <v>42536</v>
      </c>
      <c r="C25" s="112">
        <v>13138.716</v>
      </c>
      <c r="D25" s="112">
        <v>14915.97</v>
      </c>
      <c r="E25" s="112">
        <v>10924.37</v>
      </c>
      <c r="F25" s="112">
        <v>12820.805</v>
      </c>
      <c r="G25" s="112">
        <v>9385.06</v>
      </c>
      <c r="H25" s="112">
        <v>10924.37</v>
      </c>
      <c r="I25" s="112">
        <v>11719.580000000002</v>
      </c>
      <c r="J25" s="112">
        <v>10302.995</v>
      </c>
      <c r="K25" s="112">
        <v>12605.04</v>
      </c>
      <c r="L25" s="112">
        <v>11828.070555555554</v>
      </c>
      <c r="Q25" s="298">
        <f t="shared" si="1"/>
        <v>0.11080805092330516</v>
      </c>
      <c r="R25" s="298">
        <f t="shared" si="2"/>
        <v>0.2610653554982459</v>
      </c>
      <c r="S25" s="298">
        <f t="shared" si="3"/>
        <v>-0.07640304065747157</v>
      </c>
      <c r="T25" s="298">
        <f t="shared" si="4"/>
        <v>0.08393037898967946</v>
      </c>
      <c r="U25" s="298">
        <f t="shared" si="5"/>
        <v>-0.2065434547486776</v>
      </c>
      <c r="V25" s="298">
        <f t="shared" si="6"/>
        <v>-0.07640304065747157</v>
      </c>
      <c r="W25" s="298">
        <f t="shared" si="7"/>
        <v>-0.009172295265401104</v>
      </c>
      <c r="X25" s="298">
        <f t="shared" si="8"/>
        <v>-0.12893696807035337</v>
      </c>
      <c r="Y25" s="298">
        <f t="shared" si="9"/>
        <v>0.06568860413835713</v>
      </c>
      <c r="Z25" s="229"/>
    </row>
    <row r="26" spans="2:26" ht="12.75">
      <c r="B26" s="116">
        <v>42537</v>
      </c>
      <c r="C26" s="112">
        <v>13994.336000000001</v>
      </c>
      <c r="D26" s="112">
        <v>14915.97</v>
      </c>
      <c r="E26" s="112">
        <v>10924.37</v>
      </c>
      <c r="F26" s="112">
        <v>12805.12</v>
      </c>
      <c r="G26" s="112">
        <v>9511.133333333333</v>
      </c>
      <c r="H26" s="112">
        <v>11581.73</v>
      </c>
      <c r="I26" s="112">
        <v>11562.342</v>
      </c>
      <c r="J26" s="112">
        <v>10769.85</v>
      </c>
      <c r="K26" s="112">
        <v>12605.04</v>
      </c>
      <c r="L26" s="112">
        <v>12048.889545454544</v>
      </c>
      <c r="Q26" s="298">
        <f t="shared" si="1"/>
        <v>0.161462717971332</v>
      </c>
      <c r="R26" s="298">
        <f t="shared" si="2"/>
        <v>0.2379539163114882</v>
      </c>
      <c r="S26" s="298">
        <f t="shared" si="3"/>
        <v>-0.09332972480262872</v>
      </c>
      <c r="T26" s="298">
        <f t="shared" si="4"/>
        <v>0.06276349797154095</v>
      </c>
      <c r="U26" s="298">
        <f t="shared" si="5"/>
        <v>-0.2106215848811214</v>
      </c>
      <c r="V26" s="298">
        <f t="shared" si="6"/>
        <v>-0.03877199999984899</v>
      </c>
      <c r="W26" s="298">
        <f t="shared" si="7"/>
        <v>-0.04038111094130609</v>
      </c>
      <c r="X26" s="298">
        <f t="shared" si="8"/>
        <v>-0.10615414313737005</v>
      </c>
      <c r="Y26" s="298">
        <f t="shared" si="9"/>
        <v>0.04615781831573563</v>
      </c>
      <c r="Z26" s="229"/>
    </row>
    <row r="27" spans="2:26" ht="12.75">
      <c r="B27" s="116">
        <v>42538</v>
      </c>
      <c r="C27" s="112">
        <v>11682.604000000001</v>
      </c>
      <c r="D27" s="112">
        <v>18382.355</v>
      </c>
      <c r="E27" s="112"/>
      <c r="F27" s="112">
        <v>12334.983333333332</v>
      </c>
      <c r="G27" s="112">
        <v>8644.956666666667</v>
      </c>
      <c r="H27" s="112">
        <v>11242.585</v>
      </c>
      <c r="I27" s="112">
        <v>10919.753333333334</v>
      </c>
      <c r="J27" s="112">
        <v>9688.58</v>
      </c>
      <c r="K27" s="112">
        <v>12196.88</v>
      </c>
      <c r="L27" s="112">
        <v>11762.372</v>
      </c>
      <c r="Q27" s="298">
        <f t="shared" si="1"/>
        <v>-0.006781625338834567</v>
      </c>
      <c r="R27" s="298">
        <f t="shared" si="2"/>
        <v>0.5628102052885252</v>
      </c>
      <c r="S27" s="298">
        <f t="shared" si="3"/>
      </c>
      <c r="T27" s="298">
        <f t="shared" si="4"/>
        <v>0.048681620793266225</v>
      </c>
      <c r="U27" s="298">
        <f t="shared" si="5"/>
        <v>-0.265032880556178</v>
      </c>
      <c r="V27" s="298">
        <f t="shared" si="6"/>
        <v>-0.04419066154343701</v>
      </c>
      <c r="W27" s="298">
        <f t="shared" si="7"/>
        <v>-0.07163679797464877</v>
      </c>
      <c r="X27" s="298">
        <f t="shared" si="8"/>
        <v>-0.17630729584134897</v>
      </c>
      <c r="Y27" s="298">
        <f t="shared" si="9"/>
        <v>0.036940508258028214</v>
      </c>
      <c r="Z27" s="229"/>
    </row>
    <row r="28" spans="2:26" ht="12.75">
      <c r="B28" s="116">
        <v>42541</v>
      </c>
      <c r="C28" s="112">
        <v>14297.525</v>
      </c>
      <c r="D28" s="112">
        <v>14495.8</v>
      </c>
      <c r="E28" s="112">
        <v>10504.2</v>
      </c>
      <c r="F28" s="112">
        <v>11536.883333333333</v>
      </c>
      <c r="G28" s="112">
        <v>9550.57</v>
      </c>
      <c r="H28" s="112">
        <v>13708.77</v>
      </c>
      <c r="I28" s="112">
        <v>11471.913333333336</v>
      </c>
      <c r="J28" s="112"/>
      <c r="K28" s="112">
        <v>12203.14</v>
      </c>
      <c r="L28" s="112">
        <v>11962.815555555551</v>
      </c>
      <c r="Q28" s="298">
        <f t="shared" si="1"/>
        <v>0.19516387539388294</v>
      </c>
      <c r="R28" s="298">
        <f t="shared" si="2"/>
        <v>0.2117381508292273</v>
      </c>
      <c r="S28" s="298">
        <f t="shared" si="3"/>
        <v>-0.12192911850740415</v>
      </c>
      <c r="T28" s="298">
        <f t="shared" si="4"/>
        <v>-0.03560468020627589</v>
      </c>
      <c r="U28" s="298">
        <f t="shared" si="5"/>
        <v>-0.20164530200712663</v>
      </c>
      <c r="V28" s="298">
        <f t="shared" si="6"/>
        <v>0.14594845472089762</v>
      </c>
      <c r="W28" s="298">
        <f t="shared" si="7"/>
        <v>-0.041035675919473644</v>
      </c>
      <c r="X28" s="298">
        <f t="shared" si="8"/>
      </c>
      <c r="Y28" s="298">
        <f t="shared" si="9"/>
        <v>0.020089287787509274</v>
      </c>
      <c r="Z28" s="229"/>
    </row>
    <row r="29" spans="2:26" ht="12.75">
      <c r="B29" s="116">
        <v>42542</v>
      </c>
      <c r="C29" s="112">
        <v>13260.856666666667</v>
      </c>
      <c r="D29" s="112">
        <v>12848.3</v>
      </c>
      <c r="E29" s="112">
        <v>11344.54</v>
      </c>
      <c r="F29" s="112">
        <v>11807.960000000001</v>
      </c>
      <c r="G29" s="112">
        <v>8924.22</v>
      </c>
      <c r="H29" s="112">
        <v>12300.86</v>
      </c>
      <c r="I29" s="112">
        <v>11215.572500000002</v>
      </c>
      <c r="J29" s="112"/>
      <c r="K29" s="112">
        <v>12196.23</v>
      </c>
      <c r="L29" s="112">
        <v>11839.23</v>
      </c>
      <c r="Q29" s="298">
        <f t="shared" si="1"/>
        <v>0.12007762892237646</v>
      </c>
      <c r="R29" s="298">
        <f t="shared" si="2"/>
        <v>0.08523104965441163</v>
      </c>
      <c r="S29" s="298">
        <f t="shared" si="3"/>
        <v>-0.04178396736949943</v>
      </c>
      <c r="T29" s="298">
        <f t="shared" si="4"/>
        <v>-0.0026412190657668293</v>
      </c>
      <c r="U29" s="298">
        <f t="shared" si="5"/>
        <v>-0.24621618128881695</v>
      </c>
      <c r="V29" s="298">
        <f t="shared" si="6"/>
        <v>0.03899155603869517</v>
      </c>
      <c r="W29" s="298">
        <f t="shared" si="7"/>
        <v>-0.052677201135546615</v>
      </c>
      <c r="X29" s="298">
        <f t="shared" si="8"/>
      </c>
      <c r="Y29" s="298">
        <f t="shared" si="9"/>
        <v>0.030153988054966413</v>
      </c>
      <c r="Z29" s="229"/>
    </row>
    <row r="30" spans="2:26" ht="12.75">
      <c r="B30" s="116">
        <v>42543</v>
      </c>
      <c r="C30" s="112">
        <v>12252.5225</v>
      </c>
      <c r="D30" s="112">
        <v>14915.97</v>
      </c>
      <c r="E30" s="112"/>
      <c r="F30" s="112">
        <v>11764.705000000002</v>
      </c>
      <c r="G30" s="112">
        <v>9384.9</v>
      </c>
      <c r="H30" s="112"/>
      <c r="I30" s="112">
        <v>11812.326666666666</v>
      </c>
      <c r="J30" s="112"/>
      <c r="K30" s="112">
        <v>12173.52</v>
      </c>
      <c r="L30" s="112">
        <v>11507.037999999999</v>
      </c>
      <c r="Q30" s="298">
        <f t="shared" si="1"/>
        <v>0.064785090654954</v>
      </c>
      <c r="R30" s="298">
        <f t="shared" si="2"/>
        <v>0.29624756605479197</v>
      </c>
      <c r="S30" s="298">
        <f t="shared" si="3"/>
      </c>
      <c r="T30" s="298">
        <f t="shared" si="4"/>
        <v>0.02239212210822656</v>
      </c>
      <c r="U30" s="298">
        <f t="shared" si="5"/>
        <v>-0.18442087355581857</v>
      </c>
      <c r="V30" s="298">
        <f t="shared" si="6"/>
      </c>
      <c r="W30" s="298">
        <f t="shared" si="7"/>
        <v>0.026530603850153905</v>
      </c>
      <c r="X30" s="298">
        <f t="shared" si="8"/>
      </c>
      <c r="Y30" s="298">
        <f t="shared" si="9"/>
        <v>0.05791950978175286</v>
      </c>
      <c r="Z30" s="229"/>
    </row>
    <row r="31" spans="2:26" ht="12.75">
      <c r="B31" s="116">
        <v>42544</v>
      </c>
      <c r="C31" s="112">
        <v>12385.628</v>
      </c>
      <c r="D31" s="112">
        <v>17822.129999999997</v>
      </c>
      <c r="E31" s="112">
        <v>10504.2</v>
      </c>
      <c r="F31" s="112">
        <v>11164.47</v>
      </c>
      <c r="G31" s="112">
        <v>7750.95</v>
      </c>
      <c r="H31" s="112">
        <v>10924.37</v>
      </c>
      <c r="I31" s="112">
        <v>11801.532499999998</v>
      </c>
      <c r="J31" s="112">
        <v>9562.86</v>
      </c>
      <c r="K31" s="112">
        <v>12394.96</v>
      </c>
      <c r="L31" s="112">
        <v>11894.513684210526</v>
      </c>
      <c r="Q31" s="298">
        <f t="shared" si="1"/>
        <v>0.04128914630964768</v>
      </c>
      <c r="R31" s="298">
        <f t="shared" si="2"/>
        <v>0.4983487743309873</v>
      </c>
      <c r="S31" s="298">
        <f t="shared" si="3"/>
        <v>-0.1168869716847784</v>
      </c>
      <c r="T31" s="298">
        <f t="shared" si="4"/>
        <v>-0.06137650547072212</v>
      </c>
      <c r="U31" s="298">
        <f t="shared" si="5"/>
        <v>-0.3483592347042263</v>
      </c>
      <c r="V31" s="298">
        <f t="shared" si="6"/>
        <v>-0.08156228240742204</v>
      </c>
      <c r="W31" s="298">
        <f t="shared" si="7"/>
        <v>-0.007817148870403747</v>
      </c>
      <c r="X31" s="298">
        <f t="shared" si="8"/>
        <v>-0.1960276599879572</v>
      </c>
      <c r="Y31" s="298">
        <f t="shared" si="9"/>
        <v>0.042073709701456324</v>
      </c>
      <c r="Z31" s="229"/>
    </row>
    <row r="32" spans="2:26" ht="12.75">
      <c r="B32" s="116">
        <v>42545</v>
      </c>
      <c r="C32" s="112">
        <v>13345.66</v>
      </c>
      <c r="D32" s="112">
        <v>17836.135000000002</v>
      </c>
      <c r="E32" s="112">
        <v>10504.2</v>
      </c>
      <c r="F32" s="112">
        <v>10444.18</v>
      </c>
      <c r="G32" s="112">
        <v>9313.835000000001</v>
      </c>
      <c r="H32" s="112"/>
      <c r="I32" s="112">
        <v>11736.679999999998</v>
      </c>
      <c r="J32" s="112"/>
      <c r="K32" s="112">
        <v>12226.89</v>
      </c>
      <c r="L32" s="112">
        <v>12657.863888888889</v>
      </c>
      <c r="Q32" s="298">
        <f t="shared" si="1"/>
        <v>0.05433745513055013</v>
      </c>
      <c r="R32" s="298">
        <f t="shared" si="2"/>
        <v>0.40909518040058995</v>
      </c>
      <c r="S32" s="298">
        <f t="shared" si="3"/>
        <v>-0.1701443393446015</v>
      </c>
      <c r="T32" s="298">
        <f t="shared" si="4"/>
        <v>-0.17488605568211768</v>
      </c>
      <c r="U32" s="298">
        <f t="shared" si="5"/>
        <v>-0.26418587830007295</v>
      </c>
      <c r="V32" s="298">
        <f t="shared" si="6"/>
      </c>
      <c r="W32" s="298">
        <f t="shared" si="7"/>
        <v>-0.0727756197234439</v>
      </c>
      <c r="X32" s="298">
        <f t="shared" si="8"/>
      </c>
      <c r="Y32" s="298">
        <f t="shared" si="9"/>
        <v>-0.03404791619439041</v>
      </c>
      <c r="Z32" s="229"/>
    </row>
    <row r="33" spans="2:26" ht="12.75">
      <c r="B33" s="116">
        <v>42549</v>
      </c>
      <c r="C33" s="112">
        <v>13501.235</v>
      </c>
      <c r="D33" s="112">
        <v>18235.295</v>
      </c>
      <c r="E33" s="112">
        <v>10924.37</v>
      </c>
      <c r="F33" s="112">
        <v>10924.37</v>
      </c>
      <c r="G33" s="112">
        <v>11085.974999999999</v>
      </c>
      <c r="H33" s="112">
        <v>15966.39</v>
      </c>
      <c r="I33" s="112">
        <v>11659.66</v>
      </c>
      <c r="J33" s="112"/>
      <c r="K33" s="112">
        <v>11987.15</v>
      </c>
      <c r="L33" s="112">
        <v>13269.22</v>
      </c>
      <c r="Q33" s="298">
        <f t="shared" si="1"/>
        <v>0.01748520259668626</v>
      </c>
      <c r="R33" s="298">
        <f t="shared" si="2"/>
        <v>0.3742552312796079</v>
      </c>
      <c r="S33" s="298">
        <f t="shared" si="3"/>
        <v>-0.17671347675296653</v>
      </c>
      <c r="T33" s="298">
        <f t="shared" si="4"/>
        <v>-0.17671347675296653</v>
      </c>
      <c r="U33" s="298">
        <f t="shared" si="5"/>
        <v>-0.16453453933237983</v>
      </c>
      <c r="V33" s="298">
        <f t="shared" si="6"/>
        <v>0.20326515047606417</v>
      </c>
      <c r="W33" s="298">
        <f t="shared" si="7"/>
        <v>-0.1213002723596413</v>
      </c>
      <c r="X33" s="298">
        <f t="shared" si="8"/>
      </c>
      <c r="Y33" s="298">
        <f t="shared" si="9"/>
        <v>-0.09661984653204934</v>
      </c>
      <c r="Z33" s="229"/>
    </row>
    <row r="34" spans="2:26" ht="14.25" customHeight="1">
      <c r="B34" s="116">
        <v>42550</v>
      </c>
      <c r="C34" s="112">
        <v>13291.919999999998</v>
      </c>
      <c r="D34" s="112">
        <v>14201.68</v>
      </c>
      <c r="E34" s="112">
        <v>10924.37</v>
      </c>
      <c r="F34" s="112">
        <v>10894.36</v>
      </c>
      <c r="G34" s="112">
        <v>7716.59</v>
      </c>
      <c r="H34" s="112">
        <v>12036.2</v>
      </c>
      <c r="I34" s="112">
        <v>10749.373333333333</v>
      </c>
      <c r="J34" s="112"/>
      <c r="K34" s="112">
        <v>11764.71</v>
      </c>
      <c r="L34" s="112">
        <v>11305.195714285714</v>
      </c>
      <c r="Q34" s="298">
        <f t="shared" si="1"/>
        <v>0.1757355056846807</v>
      </c>
      <c r="R34" s="298">
        <f t="shared" si="2"/>
        <v>0.2562082390182922</v>
      </c>
      <c r="S34" s="298">
        <f t="shared" si="3"/>
        <v>-0.03368590194369529</v>
      </c>
      <c r="T34" s="298">
        <f t="shared" si="4"/>
        <v>-0.03634043360846589</v>
      </c>
      <c r="U34" s="298">
        <f t="shared" si="5"/>
        <v>-0.3174297734404547</v>
      </c>
      <c r="V34" s="298">
        <f t="shared" si="6"/>
        <v>0.06466091381244818</v>
      </c>
      <c r="W34" s="298">
        <f t="shared" si="7"/>
        <v>-0.04916521526911918</v>
      </c>
      <c r="X34" s="298">
        <f t="shared" si="8"/>
      </c>
      <c r="Y34" s="298">
        <f t="shared" si="9"/>
        <v>0.04064629196411206</v>
      </c>
      <c r="Z34" s="229"/>
    </row>
    <row r="35" spans="2:26" ht="12.75">
      <c r="B35" s="108">
        <v>42551</v>
      </c>
      <c r="C35" s="196">
        <v>13330.217499999999</v>
      </c>
      <c r="D35" s="196">
        <v>14201.68</v>
      </c>
      <c r="E35" s="196">
        <v>10924.37</v>
      </c>
      <c r="F35" s="196">
        <v>11484.596666666666</v>
      </c>
      <c r="G35" s="196">
        <v>8125.78</v>
      </c>
      <c r="H35" s="196">
        <v>12040.373333333335</v>
      </c>
      <c r="I35" s="196">
        <v>10157.07</v>
      </c>
      <c r="J35" s="196"/>
      <c r="K35" s="196">
        <v>11638.66</v>
      </c>
      <c r="L35" s="196">
        <v>11408.442777777775</v>
      </c>
      <c r="M35" s="76"/>
      <c r="Q35" s="298">
        <f t="shared" si="1"/>
        <v>0.16845197540593376</v>
      </c>
      <c r="R35" s="298">
        <f t="shared" si="2"/>
        <v>0.2448394821827133</v>
      </c>
      <c r="S35" s="298">
        <f t="shared" si="3"/>
        <v>-0.042431100125311344</v>
      </c>
      <c r="T35" s="298">
        <f t="shared" si="4"/>
        <v>0.0066752220589851256</v>
      </c>
      <c r="U35" s="298">
        <f t="shared" si="5"/>
        <v>-0.2877397767355237</v>
      </c>
      <c r="V35" s="298">
        <f t="shared" si="6"/>
        <v>0.05539148224387663</v>
      </c>
      <c r="W35" s="298">
        <f t="shared" si="7"/>
        <v>-0.10968830734859741</v>
      </c>
      <c r="X35" s="298">
        <f t="shared" si="8"/>
      </c>
      <c r="Y35" s="298">
        <f t="shared" si="9"/>
        <v>0.020179548314048584</v>
      </c>
      <c r="Z35" s="229"/>
    </row>
    <row r="36" spans="2:26" ht="70.5" customHeight="1">
      <c r="B36" s="329" t="s">
        <v>196</v>
      </c>
      <c r="C36" s="329"/>
      <c r="D36" s="329"/>
      <c r="E36" s="329"/>
      <c r="F36" s="329"/>
      <c r="G36" s="329"/>
      <c r="H36" s="329"/>
      <c r="I36" s="329"/>
      <c r="J36" s="329"/>
      <c r="K36" s="329"/>
      <c r="L36" s="329"/>
      <c r="M36" s="330"/>
      <c r="N36" s="140"/>
      <c r="O36" s="294"/>
      <c r="P36" s="299" t="s">
        <v>254</v>
      </c>
      <c r="Q36" s="300">
        <f>+AVERAGE(Q15:Q35)</f>
        <v>0.10116968679140792</v>
      </c>
      <c r="R36" s="300">
        <f aca="true" t="shared" si="10" ref="R36:Y36">+AVERAGE(R15:R35)</f>
        <v>0.3338295801083559</v>
      </c>
      <c r="S36" s="300">
        <f t="shared" si="10"/>
        <v>-0.1263407771195302</v>
      </c>
      <c r="T36" s="300">
        <f t="shared" si="10"/>
        <v>-0.030097264501992467</v>
      </c>
      <c r="U36" s="300">
        <f t="shared" si="10"/>
        <v>-0.20126680311161463</v>
      </c>
      <c r="V36" s="300">
        <f t="shared" si="10"/>
        <v>0.05631888453740426</v>
      </c>
      <c r="W36" s="300">
        <f t="shared" si="10"/>
        <v>-0.04437941852918864</v>
      </c>
      <c r="X36" s="300">
        <f t="shared" si="10"/>
        <v>-0.18296360065776784</v>
      </c>
      <c r="Y36" s="300">
        <f t="shared" si="10"/>
        <v>0.0007375805530147198</v>
      </c>
      <c r="Z36" s="229"/>
    </row>
    <row r="37" spans="16:26" ht="12.75">
      <c r="P37" s="301" t="s">
        <v>255</v>
      </c>
      <c r="Q37" s="302">
        <f>+AVERAGE(Q6:Q35)</f>
        <v>0.0907562283394663</v>
      </c>
      <c r="R37" s="302">
        <f aca="true" t="shared" si="11" ref="R37:Y37">+AVERAGE(R6:R35)</f>
        <v>0.2775177180027196</v>
      </c>
      <c r="S37" s="302">
        <f t="shared" si="11"/>
        <v>-0.13322465568330472</v>
      </c>
      <c r="T37" s="302">
        <f t="shared" si="11"/>
        <v>-0.027173622721213587</v>
      </c>
      <c r="U37" s="302">
        <f t="shared" si="11"/>
        <v>-0.1655273193847481</v>
      </c>
      <c r="V37" s="302">
        <f t="shared" si="11"/>
        <v>-0.008031592284532353</v>
      </c>
      <c r="W37" s="302">
        <f t="shared" si="11"/>
        <v>-0.039887290273917214</v>
      </c>
      <c r="X37" s="302">
        <f t="shared" si="11"/>
        <v>-0.17168936176424013</v>
      </c>
      <c r="Y37" s="302">
        <f t="shared" si="11"/>
        <v>0.008931686312898032</v>
      </c>
      <c r="Z37" s="229"/>
    </row>
    <row r="38" spans="16:26" ht="12.75">
      <c r="P38" s="301"/>
      <c r="Q38" s="229"/>
      <c r="R38" s="229"/>
      <c r="S38" s="229"/>
      <c r="T38" s="229"/>
      <c r="U38" s="229"/>
      <c r="V38" s="229"/>
      <c r="W38" s="229"/>
      <c r="X38" s="229"/>
      <c r="Y38" s="229"/>
      <c r="Z38" s="229"/>
    </row>
    <row r="39" spans="16:26" ht="12.75">
      <c r="P39" s="301"/>
      <c r="Q39" s="229"/>
      <c r="R39" s="229"/>
      <c r="S39" s="229"/>
      <c r="T39" s="229"/>
      <c r="U39" s="229"/>
      <c r="V39" s="229"/>
      <c r="W39" s="229"/>
      <c r="X39" s="229"/>
      <c r="Y39" s="229"/>
      <c r="Z39" s="229"/>
    </row>
    <row r="40" spans="16:26" ht="12.75">
      <c r="P40" s="301" t="s">
        <v>246</v>
      </c>
      <c r="Q40" s="230">
        <f>+AVERAGE(C15:C35)</f>
        <v>13610.615041950114</v>
      </c>
      <c r="R40" s="230">
        <f aca="true" t="shared" si="12" ref="R40:Y40">+AVERAGE(D15:D35)</f>
        <v>16494.437631578945</v>
      </c>
      <c r="S40" s="230">
        <f t="shared" si="12"/>
        <v>10850.221764705882</v>
      </c>
      <c r="T40" s="230">
        <f t="shared" si="12"/>
        <v>11979.218015873017</v>
      </c>
      <c r="U40" s="230">
        <f t="shared" si="12"/>
        <v>9906.969444444445</v>
      </c>
      <c r="V40" s="230">
        <f t="shared" si="12"/>
        <v>13056.469555555554</v>
      </c>
      <c r="W40" s="230">
        <f t="shared" si="12"/>
        <v>11814.470365079365</v>
      </c>
      <c r="X40" s="230">
        <f t="shared" si="12"/>
        <v>10232.693636363636</v>
      </c>
      <c r="Y40" s="230">
        <f t="shared" si="12"/>
        <v>12251.394411764704</v>
      </c>
      <c r="Z40" s="230">
        <f>+AVERAGE(L15:L35)</f>
        <v>12369.828503388382</v>
      </c>
    </row>
    <row r="41" spans="17:26" ht="12.75">
      <c r="Q41" s="298">
        <f>+(Q40-$Y$40)/$Y$40</f>
        <v>0.11094415741608843</v>
      </c>
      <c r="R41" s="298">
        <f aca="true" t="shared" si="13" ref="R41:Y41">+(R40-$Y$40)/$Y$40</f>
        <v>0.346331452339805</v>
      </c>
      <c r="S41" s="298">
        <f t="shared" si="13"/>
        <v>-0.11436842207229173</v>
      </c>
      <c r="T41" s="298">
        <f t="shared" si="13"/>
        <v>-0.022215952465812636</v>
      </c>
      <c r="U41" s="298">
        <f t="shared" si="13"/>
        <v>-0.19135984758346913</v>
      </c>
      <c r="V41" s="298">
        <f t="shared" si="13"/>
        <v>0.06571293982811915</v>
      </c>
      <c r="W41" s="298">
        <f t="shared" si="13"/>
        <v>-0.03566320959071988</v>
      </c>
      <c r="X41" s="298">
        <f t="shared" si="13"/>
        <v>-0.1647731439829054</v>
      </c>
      <c r="Y41" s="298">
        <f t="shared" si="13"/>
        <v>0</v>
      </c>
      <c r="Z41" s="229"/>
    </row>
    <row r="59" spans="3:12" ht="12.75">
      <c r="C59" s="48"/>
      <c r="D59" s="48"/>
      <c r="E59" s="48"/>
      <c r="F59" s="48"/>
      <c r="G59" s="48"/>
      <c r="H59" s="48"/>
      <c r="I59" s="48"/>
      <c r="J59" s="48"/>
      <c r="K59" s="48"/>
      <c r="L59" s="48"/>
    </row>
    <row r="60" ht="12.75">
      <c r="B60" s="119"/>
    </row>
    <row r="61" spans="3:12" ht="12.75">
      <c r="C61" s="48"/>
      <c r="D61" s="48"/>
      <c r="E61" s="48"/>
      <c r="F61" s="48"/>
      <c r="G61" s="48"/>
      <c r="H61" s="48"/>
      <c r="I61" s="48"/>
      <c r="J61" s="48"/>
      <c r="K61" s="48"/>
      <c r="L61" s="48"/>
    </row>
    <row r="72" ht="12.75">
      <c r="G72" s="290"/>
    </row>
    <row r="73" ht="12.75">
      <c r="G73" s="290"/>
    </row>
  </sheetData>
  <sheetProtection/>
  <mergeCells count="4">
    <mergeCell ref="B36:M36"/>
    <mergeCell ref="B2:L2"/>
    <mergeCell ref="B3:L3"/>
    <mergeCell ref="B4:L4"/>
  </mergeCells>
  <conditionalFormatting sqref="Q40:Y40">
    <cfRule type="colorScale" priority="1" dxfId="0">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ignoredErrors>
    <ignoredError sqref="Q41:Z41"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E32" sqref="AE32"/>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6" width="10.8515625" style="39" customWidth="1"/>
    <col min="17" max="17" width="13.00390625" style="228" hidden="1" customWidth="1"/>
    <col min="18" max="18" width="8.57421875" style="228" hidden="1" customWidth="1"/>
    <col min="19" max="19" width="10.28125" style="228" hidden="1" customWidth="1"/>
    <col min="20" max="20" width="9.28125" style="228" hidden="1" customWidth="1"/>
    <col min="21" max="21" width="11.421875" style="228" hidden="1" customWidth="1"/>
    <col min="22" max="22" width="10.28125" style="228" hidden="1" customWidth="1"/>
    <col min="23" max="23" width="7.57421875" style="228" hidden="1" customWidth="1"/>
    <col min="24" max="24" width="7.421875" style="228" hidden="1" customWidth="1"/>
    <col min="25" max="25" width="12.421875" style="228" hidden="1" customWidth="1"/>
    <col min="26" max="26" width="8.7109375" style="228" hidden="1" customWidth="1"/>
    <col min="27" max="28" width="10.8515625" style="228" hidden="1" customWidth="1"/>
    <col min="29" max="30" width="10.8515625" style="197" customWidth="1"/>
    <col min="31" max="16384" width="10.8515625" style="39" customWidth="1"/>
  </cols>
  <sheetData>
    <row r="1" ht="4.5" customHeight="1"/>
    <row r="2" spans="2:17" ht="12.75">
      <c r="B2" s="328" t="s">
        <v>112</v>
      </c>
      <c r="C2" s="328"/>
      <c r="D2" s="328"/>
      <c r="E2" s="328"/>
      <c r="F2" s="328"/>
      <c r="G2" s="328"/>
      <c r="H2" s="328"/>
      <c r="I2" s="328"/>
      <c r="J2" s="328"/>
      <c r="K2" s="328"/>
      <c r="L2" s="328"/>
      <c r="M2" s="328"/>
      <c r="N2" s="122"/>
      <c r="O2" s="52" t="s">
        <v>153</v>
      </c>
      <c r="P2" s="52"/>
      <c r="Q2" s="303"/>
    </row>
    <row r="3" spans="2:14" ht="12.75">
      <c r="B3" s="328" t="s">
        <v>141</v>
      </c>
      <c r="C3" s="328"/>
      <c r="D3" s="328"/>
      <c r="E3" s="328"/>
      <c r="F3" s="328"/>
      <c r="G3" s="328"/>
      <c r="H3" s="328"/>
      <c r="I3" s="328"/>
      <c r="J3" s="328"/>
      <c r="K3" s="328"/>
      <c r="L3" s="328"/>
      <c r="M3" s="328"/>
      <c r="N3" s="122"/>
    </row>
    <row r="4" spans="2:14" ht="12.75">
      <c r="B4" s="328" t="s">
        <v>134</v>
      </c>
      <c r="C4" s="328"/>
      <c r="D4" s="328"/>
      <c r="E4" s="328"/>
      <c r="F4" s="328"/>
      <c r="G4" s="328"/>
      <c r="H4" s="328"/>
      <c r="I4" s="328"/>
      <c r="J4" s="328"/>
      <c r="K4" s="328"/>
      <c r="L4" s="328"/>
      <c r="M4" s="328"/>
      <c r="N4" s="122"/>
    </row>
    <row r="5" spans="2:27" ht="39" customHeight="1">
      <c r="B5" s="34" t="s">
        <v>65</v>
      </c>
      <c r="C5" s="35" t="s">
        <v>173</v>
      </c>
      <c r="D5" s="35" t="s">
        <v>183</v>
      </c>
      <c r="E5" s="35" t="s">
        <v>174</v>
      </c>
      <c r="F5" s="35" t="s">
        <v>175</v>
      </c>
      <c r="G5" s="35" t="s">
        <v>176</v>
      </c>
      <c r="H5" s="35" t="s">
        <v>177</v>
      </c>
      <c r="I5" s="35" t="s">
        <v>178</v>
      </c>
      <c r="J5" s="35" t="s">
        <v>164</v>
      </c>
      <c r="K5" s="35" t="s">
        <v>179</v>
      </c>
      <c r="L5" s="35" t="s">
        <v>180</v>
      </c>
      <c r="M5" s="35" t="s">
        <v>70</v>
      </c>
      <c r="N5" s="141"/>
      <c r="R5" s="231" t="s">
        <v>173</v>
      </c>
      <c r="S5" s="231" t="s">
        <v>183</v>
      </c>
      <c r="T5" s="231" t="s">
        <v>174</v>
      </c>
      <c r="U5" s="231" t="s">
        <v>175</v>
      </c>
      <c r="V5" s="231" t="s">
        <v>176</v>
      </c>
      <c r="W5" s="231" t="s">
        <v>177</v>
      </c>
      <c r="X5" s="231" t="s">
        <v>178</v>
      </c>
      <c r="Y5" s="231" t="s">
        <v>164</v>
      </c>
      <c r="Z5" s="231" t="s">
        <v>179</v>
      </c>
      <c r="AA5" s="231" t="s">
        <v>180</v>
      </c>
    </row>
    <row r="6" spans="2:27" ht="12.75">
      <c r="B6" s="113">
        <v>42509</v>
      </c>
      <c r="C6" s="114">
        <v>15794.494999999999</v>
      </c>
      <c r="D6" s="114">
        <v>12815.13</v>
      </c>
      <c r="E6" s="114">
        <v>13868.4825</v>
      </c>
      <c r="F6" s="114">
        <v>12453.82</v>
      </c>
      <c r="G6" s="114"/>
      <c r="H6" s="114">
        <v>11764.71</v>
      </c>
      <c r="I6" s="114">
        <v>12357.88</v>
      </c>
      <c r="J6" s="114"/>
      <c r="K6" s="114">
        <v>10084.03</v>
      </c>
      <c r="L6" s="114">
        <v>8597.29</v>
      </c>
      <c r="M6" s="114">
        <v>12832.023125000002</v>
      </c>
      <c r="N6" s="142"/>
      <c r="R6" s="232">
        <f aca="true" t="shared" si="0" ref="R6:AA6">+IF(C6=0,"",(C6-$M6)/$M6)</f>
        <v>0.2308655343075527</v>
      </c>
      <c r="S6" s="232">
        <f t="shared" si="0"/>
        <v>-0.001316481807696425</v>
      </c>
      <c r="T6" s="232">
        <f t="shared" si="0"/>
        <v>0.08077131446098437</v>
      </c>
      <c r="U6" s="232">
        <f t="shared" si="0"/>
        <v>-0.029473382436723265</v>
      </c>
      <c r="V6" s="232">
        <f t="shared" si="0"/>
      </c>
      <c r="W6" s="232">
        <f t="shared" si="0"/>
        <v>-0.08317574825131109</v>
      </c>
      <c r="X6" s="232">
        <f t="shared" si="0"/>
        <v>-0.03694998991049607</v>
      </c>
      <c r="Y6" s="232">
        <f t="shared" si="0"/>
      </c>
      <c r="Z6" s="232">
        <f t="shared" si="0"/>
        <v>-0.21415119800136742</v>
      </c>
      <c r="AA6" s="232">
        <f t="shared" si="0"/>
        <v>-0.33001289693358465</v>
      </c>
    </row>
    <row r="7" spans="2:27" ht="12.75">
      <c r="B7" s="113">
        <v>42510</v>
      </c>
      <c r="C7" s="114">
        <v>16501.15</v>
      </c>
      <c r="D7" s="114">
        <v>14075.63</v>
      </c>
      <c r="E7" s="114">
        <v>14385.7525</v>
      </c>
      <c r="F7" s="114">
        <v>13300.101999999999</v>
      </c>
      <c r="G7" s="114">
        <v>12721.755000000001</v>
      </c>
      <c r="H7" s="114">
        <v>10924.37</v>
      </c>
      <c r="I7" s="114">
        <v>12436.97</v>
      </c>
      <c r="J7" s="114">
        <v>12163.26</v>
      </c>
      <c r="K7" s="114">
        <v>10479.49</v>
      </c>
      <c r="L7" s="114">
        <v>9043.116666666667</v>
      </c>
      <c r="M7" s="114">
        <v>12553.536666666665</v>
      </c>
      <c r="N7" s="142"/>
      <c r="R7" s="232">
        <f aca="true" t="shared" si="1" ref="R7:R35">+IF(C7=0,"",(C7-$M7)/$M7)</f>
        <v>0.31446224583191856</v>
      </c>
      <c r="S7" s="232">
        <f aca="true" t="shared" si="2" ref="S7:S35">+IF(D7=0,"",(D7-$M7)/$M7)</f>
        <v>0.12124816884272462</v>
      </c>
      <c r="T7" s="232">
        <f aca="true" t="shared" si="3" ref="T7:T35">+IF(E7=0,"",(E7-$M7)/$M7)</f>
        <v>0.1459521632814765</v>
      </c>
      <c r="U7" s="232">
        <f aca="true" t="shared" si="4" ref="U7:U35">+IF(F7=0,"",(F7-$M7)/$M7)</f>
        <v>0.05947051840105622</v>
      </c>
      <c r="V7" s="232">
        <f aca="true" t="shared" si="5" ref="V7:V35">+IF(G7=0,"",(G7-$M7)/$M7)</f>
        <v>0.01340007503861483</v>
      </c>
      <c r="W7" s="232">
        <f aca="true" t="shared" si="6" ref="W7:W35">+IF(H7=0,"",(H7-$M7)/$M7)</f>
        <v>-0.12977750493154502</v>
      </c>
      <c r="X7" s="232">
        <f aca="true" t="shared" si="7" ref="X7:X35">+IF(I7=0,"",(I7-$M7)/$M7)</f>
        <v>-0.009285563882263117</v>
      </c>
      <c r="Y7" s="232">
        <f aca="true" t="shared" si="8" ref="Y7:Y35">+IF(J7=0,"",(J7-$M7)/$M7)</f>
        <v>-0.031088981299028207</v>
      </c>
      <c r="Z7" s="232">
        <f aca="true" t="shared" si="9" ref="Z7:Z35">+IF(K7=0,"",(K7-$M7)/$M7)</f>
        <v>-0.16521612368997732</v>
      </c>
      <c r="AA7" s="232">
        <f aca="true" t="shared" si="10" ref="AA7:AA35">+IF(L7=0,"",(L7-$M7)/$M7)</f>
        <v>-0.2796359379202832</v>
      </c>
    </row>
    <row r="8" spans="2:27" ht="12.75">
      <c r="B8" s="113">
        <v>42513</v>
      </c>
      <c r="C8" s="114"/>
      <c r="D8" s="114">
        <v>16386.55</v>
      </c>
      <c r="E8" s="114">
        <v>14099.999999999998</v>
      </c>
      <c r="F8" s="114">
        <v>12846.802</v>
      </c>
      <c r="G8" s="114">
        <v>13109.24</v>
      </c>
      <c r="H8" s="114">
        <v>13865.544999999998</v>
      </c>
      <c r="I8" s="114">
        <v>12128.85</v>
      </c>
      <c r="J8" s="114"/>
      <c r="K8" s="114">
        <v>11374.55</v>
      </c>
      <c r="L8" s="114">
        <v>10294.12</v>
      </c>
      <c r="M8" s="114">
        <v>13142.822631578947</v>
      </c>
      <c r="N8" s="142"/>
      <c r="R8" s="232">
        <f t="shared" si="1"/>
      </c>
      <c r="S8" s="232">
        <f t="shared" si="2"/>
        <v>0.24680599132694517</v>
      </c>
      <c r="T8" s="232">
        <f t="shared" si="3"/>
        <v>0.07282890405301454</v>
      </c>
      <c r="U8" s="232">
        <f t="shared" si="4"/>
        <v>-0.022523368067654138</v>
      </c>
      <c r="V8" s="232">
        <f t="shared" si="5"/>
        <v>-0.0025552069384438404</v>
      </c>
      <c r="W8" s="232">
        <f t="shared" si="6"/>
        <v>0.05498988981898975</v>
      </c>
      <c r="X8" s="232">
        <f t="shared" si="7"/>
        <v>-0.07715029411890728</v>
      </c>
      <c r="Y8" s="232">
        <f t="shared" si="8"/>
      </c>
      <c r="Z8" s="232">
        <f t="shared" si="9"/>
        <v>-0.13454283612792786</v>
      </c>
      <c r="AA8" s="232">
        <f t="shared" si="10"/>
        <v>-0.21674968242622553</v>
      </c>
    </row>
    <row r="9" spans="2:27" ht="12.75">
      <c r="B9" s="113">
        <v>42514</v>
      </c>
      <c r="C9" s="114">
        <v>17647.06</v>
      </c>
      <c r="D9" s="114">
        <v>16386.55</v>
      </c>
      <c r="E9" s="114">
        <v>13733.276666666667</v>
      </c>
      <c r="F9" s="114">
        <v>12569.751666666665</v>
      </c>
      <c r="G9" s="114">
        <v>14696.580000000002</v>
      </c>
      <c r="H9" s="114">
        <v>12184.869999999999</v>
      </c>
      <c r="I9" s="114">
        <v>12217.19</v>
      </c>
      <c r="J9" s="114">
        <v>13827.545</v>
      </c>
      <c r="K9" s="114">
        <v>10504.2</v>
      </c>
      <c r="L9" s="114">
        <v>10504.2</v>
      </c>
      <c r="M9" s="114">
        <v>13160.455652173914</v>
      </c>
      <c r="N9" s="142"/>
      <c r="R9" s="232">
        <f t="shared" si="1"/>
        <v>0.3409155781840248</v>
      </c>
      <c r="S9" s="232">
        <f t="shared" si="2"/>
        <v>0.245135459826817</v>
      </c>
      <c r="T9" s="232">
        <f t="shared" si="3"/>
        <v>0.04352592566946045</v>
      </c>
      <c r="U9" s="232">
        <f t="shared" si="4"/>
        <v>-0.044884766995865626</v>
      </c>
      <c r="V9" s="232">
        <f t="shared" si="5"/>
        <v>0.11672273274005847</v>
      </c>
      <c r="W9" s="232">
        <f t="shared" si="6"/>
        <v>-0.0741300816596546</v>
      </c>
      <c r="X9" s="232">
        <f t="shared" si="7"/>
        <v>-0.07167423963911917</v>
      </c>
      <c r="Y9" s="232">
        <f t="shared" si="8"/>
        <v>0.05068892487137348</v>
      </c>
      <c r="Z9" s="232">
        <f t="shared" si="9"/>
        <v>-0.20183614628382102</v>
      </c>
      <c r="AA9" s="232">
        <f t="shared" si="10"/>
        <v>-0.20183614628382102</v>
      </c>
    </row>
    <row r="10" spans="2:27" ht="12.75">
      <c r="B10" s="113">
        <v>42515</v>
      </c>
      <c r="C10" s="114"/>
      <c r="D10" s="114">
        <v>16176.47</v>
      </c>
      <c r="E10" s="114">
        <v>14395.039999999999</v>
      </c>
      <c r="F10" s="114">
        <v>12383.3175</v>
      </c>
      <c r="G10" s="114">
        <v>14915.965</v>
      </c>
      <c r="H10" s="114">
        <v>12885.15</v>
      </c>
      <c r="I10" s="114">
        <v>11968.154999999999</v>
      </c>
      <c r="J10" s="114"/>
      <c r="K10" s="114">
        <v>10444.18</v>
      </c>
      <c r="L10" s="114">
        <v>10504.2</v>
      </c>
      <c r="M10" s="114">
        <v>13307.286315789472</v>
      </c>
      <c r="N10" s="142"/>
      <c r="R10" s="232">
        <f t="shared" si="1"/>
      </c>
      <c r="S10" s="232">
        <f t="shared" si="2"/>
        <v>0.21560997607800472</v>
      </c>
      <c r="T10" s="232">
        <f t="shared" si="3"/>
        <v>0.08174120992045364</v>
      </c>
      <c r="U10" s="232">
        <f t="shared" si="4"/>
        <v>-0.0694333009648374</v>
      </c>
      <c r="V10" s="232">
        <f t="shared" si="5"/>
        <v>0.12088705736358778</v>
      </c>
      <c r="W10" s="232">
        <f t="shared" si="6"/>
        <v>-0.03172219382464142</v>
      </c>
      <c r="X10" s="232">
        <f t="shared" si="7"/>
        <v>-0.1006314348403668</v>
      </c>
      <c r="Y10" s="232">
        <f t="shared" si="8"/>
      </c>
      <c r="Z10" s="232">
        <f t="shared" si="9"/>
        <v>-0.21515328128112152</v>
      </c>
      <c r="AA10" s="232">
        <f t="shared" si="10"/>
        <v>-0.2106429702698686</v>
      </c>
    </row>
    <row r="11" spans="2:27" ht="12.75">
      <c r="B11" s="111">
        <v>42516</v>
      </c>
      <c r="C11" s="112"/>
      <c r="D11" s="112">
        <v>16386.55</v>
      </c>
      <c r="E11" s="112">
        <v>14002.720000000001</v>
      </c>
      <c r="F11" s="112">
        <v>12043.947500000002</v>
      </c>
      <c r="G11" s="112">
        <v>13153.595</v>
      </c>
      <c r="H11" s="112">
        <v>11204.480000000001</v>
      </c>
      <c r="I11" s="112">
        <v>12278.24</v>
      </c>
      <c r="J11" s="112"/>
      <c r="K11" s="112">
        <v>10504.2</v>
      </c>
      <c r="L11" s="112">
        <v>11134.45</v>
      </c>
      <c r="M11" s="112">
        <v>12752.621764705882</v>
      </c>
      <c r="N11" s="142"/>
      <c r="R11" s="232">
        <f t="shared" si="1"/>
      </c>
      <c r="S11" s="232">
        <f t="shared" si="2"/>
        <v>0.2849553842607774</v>
      </c>
      <c r="T11" s="232">
        <f t="shared" si="3"/>
        <v>0.09802676330869368</v>
      </c>
      <c r="U11" s="232">
        <f t="shared" si="4"/>
        <v>-0.055570868310954286</v>
      </c>
      <c r="V11" s="232">
        <f t="shared" si="5"/>
        <v>0.03144241573947168</v>
      </c>
      <c r="W11" s="232">
        <f t="shared" si="6"/>
        <v>-0.12139792062135123</v>
      </c>
      <c r="X11" s="232">
        <f t="shared" si="7"/>
        <v>-0.03719876378822587</v>
      </c>
      <c r="Y11" s="232">
        <f t="shared" si="8"/>
      </c>
      <c r="Z11" s="232">
        <f t="shared" si="9"/>
        <v>-0.17631055058251682</v>
      </c>
      <c r="AA11" s="232">
        <f t="shared" si="10"/>
        <v>-0.1268893404479641</v>
      </c>
    </row>
    <row r="12" spans="2:27" ht="12.75">
      <c r="B12" s="111">
        <v>42517</v>
      </c>
      <c r="C12" s="112">
        <v>16386.55</v>
      </c>
      <c r="D12" s="112">
        <v>15651.259999999998</v>
      </c>
      <c r="E12" s="112">
        <v>14240.9075</v>
      </c>
      <c r="F12" s="112">
        <v>11109.511666666667</v>
      </c>
      <c r="G12" s="112">
        <v>13507.49</v>
      </c>
      <c r="H12" s="112">
        <v>11204.480000000001</v>
      </c>
      <c r="I12" s="112">
        <v>12134.57</v>
      </c>
      <c r="J12" s="112">
        <v>13903.74</v>
      </c>
      <c r="K12" s="112">
        <v>10504.2</v>
      </c>
      <c r="L12" s="112">
        <v>11134.45</v>
      </c>
      <c r="M12" s="112">
        <v>12770.828800000003</v>
      </c>
      <c r="N12" s="142"/>
      <c r="R12" s="232">
        <f t="shared" si="1"/>
        <v>0.2831234571087505</v>
      </c>
      <c r="S12" s="232">
        <f t="shared" si="2"/>
        <v>0.22554771073275956</v>
      </c>
      <c r="T12" s="232">
        <f t="shared" si="3"/>
        <v>0.11511223923070647</v>
      </c>
      <c r="U12" s="232">
        <f t="shared" si="4"/>
        <v>-0.13008686901615463</v>
      </c>
      <c r="V12" s="232">
        <f t="shared" si="5"/>
        <v>0.05768311607152675</v>
      </c>
      <c r="W12" s="232">
        <f t="shared" si="6"/>
        <v>-0.12265052053630232</v>
      </c>
      <c r="X12" s="232">
        <f t="shared" si="7"/>
        <v>-0.04982126140474165</v>
      </c>
      <c r="Y12" s="232">
        <f t="shared" si="8"/>
        <v>0.0887108595489117</v>
      </c>
      <c r="Z12" s="232">
        <f t="shared" si="9"/>
        <v>-0.1774848630027835</v>
      </c>
      <c r="AA12" s="232">
        <f t="shared" si="10"/>
        <v>-0.12813411138985764</v>
      </c>
    </row>
    <row r="13" spans="2:27" ht="12.75">
      <c r="B13" s="111">
        <v>42520</v>
      </c>
      <c r="C13" s="112">
        <v>17265.09</v>
      </c>
      <c r="D13" s="112">
        <v>14985.99</v>
      </c>
      <c r="E13" s="112">
        <v>12492.315</v>
      </c>
      <c r="F13" s="112">
        <v>11837.555</v>
      </c>
      <c r="G13" s="112"/>
      <c r="H13" s="112">
        <v>11204.480000000001</v>
      </c>
      <c r="I13" s="112">
        <v>11199.935000000001</v>
      </c>
      <c r="J13" s="112"/>
      <c r="K13" s="112">
        <v>10924.37</v>
      </c>
      <c r="L13" s="112"/>
      <c r="M13" s="112">
        <v>12582.234444444446</v>
      </c>
      <c r="N13" s="142"/>
      <c r="R13" s="232">
        <f t="shared" si="1"/>
        <v>0.3721799634422819</v>
      </c>
      <c r="S13" s="232">
        <f t="shared" si="2"/>
        <v>0.1910436151995965</v>
      </c>
      <c r="T13" s="232">
        <f t="shared" si="3"/>
        <v>-0.007146540214417051</v>
      </c>
      <c r="U13" s="232">
        <f t="shared" si="4"/>
        <v>-0.05918499196088746</v>
      </c>
      <c r="V13" s="232">
        <f t="shared" si="5"/>
      </c>
      <c r="W13" s="232">
        <f t="shared" si="6"/>
        <v>-0.1094999819410278</v>
      </c>
      <c r="X13" s="232">
        <f t="shared" si="7"/>
        <v>-0.10986120553927405</v>
      </c>
      <c r="Y13" s="232">
        <f t="shared" si="8"/>
      </c>
      <c r="Z13" s="232">
        <f t="shared" si="9"/>
        <v>-0.1317623234382235</v>
      </c>
      <c r="AA13" s="232">
        <f t="shared" si="10"/>
      </c>
    </row>
    <row r="14" spans="2:27" ht="12.75">
      <c r="B14" s="111">
        <v>42521</v>
      </c>
      <c r="C14" s="112">
        <v>17647.06</v>
      </c>
      <c r="D14" s="112">
        <v>14285.71</v>
      </c>
      <c r="E14" s="112">
        <v>12512.36</v>
      </c>
      <c r="F14" s="112">
        <v>11831.5175</v>
      </c>
      <c r="G14" s="112">
        <v>13827.085</v>
      </c>
      <c r="H14" s="112">
        <v>11204.480000000001</v>
      </c>
      <c r="I14" s="112">
        <v>11758.035</v>
      </c>
      <c r="J14" s="112">
        <v>11356.9</v>
      </c>
      <c r="K14" s="112">
        <v>11319.82</v>
      </c>
      <c r="L14" s="112">
        <v>12184.875</v>
      </c>
      <c r="M14" s="112">
        <v>12682.959166666666</v>
      </c>
      <c r="N14" s="142"/>
      <c r="R14" s="232">
        <f t="shared" si="1"/>
        <v>0.391399260070156</v>
      </c>
      <c r="S14" s="232">
        <f t="shared" si="2"/>
        <v>0.12637041657799236</v>
      </c>
      <c r="T14" s="232">
        <f t="shared" si="3"/>
        <v>-0.013451053845149444</v>
      </c>
      <c r="U14" s="232">
        <f t="shared" si="4"/>
        <v>-0.06713272947408232</v>
      </c>
      <c r="V14" s="232">
        <f t="shared" si="5"/>
        <v>0.09020969146855912</v>
      </c>
      <c r="W14" s="232">
        <f t="shared" si="6"/>
        <v>-0.11657209861184455</v>
      </c>
      <c r="X14" s="232">
        <f t="shared" si="7"/>
        <v>-0.0729265272017551</v>
      </c>
      <c r="Y14" s="232">
        <f t="shared" si="8"/>
        <v>-0.10455439848389741</v>
      </c>
      <c r="Z14" s="232">
        <f t="shared" si="9"/>
        <v>-0.10747800641424962</v>
      </c>
      <c r="AA14" s="232">
        <f t="shared" si="10"/>
        <v>-0.03927192070252262</v>
      </c>
    </row>
    <row r="15" spans="2:27" ht="12.75">
      <c r="B15" s="111">
        <v>42522</v>
      </c>
      <c r="C15" s="112">
        <v>16871.364999999998</v>
      </c>
      <c r="D15" s="112">
        <v>14495.794999999998</v>
      </c>
      <c r="E15" s="112">
        <v>12465.983333333335</v>
      </c>
      <c r="F15" s="112">
        <v>11836.7225</v>
      </c>
      <c r="G15" s="112">
        <v>12605.04</v>
      </c>
      <c r="H15" s="112">
        <v>11204.480000000001</v>
      </c>
      <c r="I15" s="112">
        <v>11715.595000000001</v>
      </c>
      <c r="J15" s="112"/>
      <c r="K15" s="112">
        <v>12020.46</v>
      </c>
      <c r="L15" s="112">
        <v>12394.955000000002</v>
      </c>
      <c r="M15" s="112">
        <v>12696.960000000001</v>
      </c>
      <c r="N15" s="142"/>
      <c r="R15" s="232">
        <f t="shared" si="1"/>
        <v>0.32877200526740236</v>
      </c>
      <c r="S15" s="232">
        <f t="shared" si="2"/>
        <v>0.1416744638086595</v>
      </c>
      <c r="T15" s="232">
        <f t="shared" si="3"/>
        <v>-0.018191493606868538</v>
      </c>
      <c r="U15" s="232">
        <f t="shared" si="4"/>
        <v>-0.06775145389132525</v>
      </c>
      <c r="V15" s="232">
        <f t="shared" si="5"/>
        <v>-0.007239528202026317</v>
      </c>
      <c r="W15" s="232">
        <f t="shared" si="6"/>
        <v>-0.11754624729069</v>
      </c>
      <c r="X15" s="232">
        <f t="shared" si="7"/>
        <v>-0.07729133587882452</v>
      </c>
      <c r="Y15" s="232">
        <f t="shared" si="8"/>
      </c>
      <c r="Z15" s="232">
        <f t="shared" si="9"/>
        <v>-0.05328047028580084</v>
      </c>
      <c r="AA15" s="232">
        <f t="shared" si="10"/>
        <v>-0.02378561482433584</v>
      </c>
    </row>
    <row r="16" spans="2:27" ht="12.75">
      <c r="B16" s="111">
        <v>42523</v>
      </c>
      <c r="C16" s="112">
        <v>19117.65</v>
      </c>
      <c r="D16" s="112">
        <v>14495.794999999998</v>
      </c>
      <c r="E16" s="112">
        <v>12675.595000000001</v>
      </c>
      <c r="F16" s="112">
        <v>11291.0825</v>
      </c>
      <c r="G16" s="112">
        <v>12970.41</v>
      </c>
      <c r="H16" s="112">
        <v>11869.746666666666</v>
      </c>
      <c r="I16" s="112">
        <v>11284.51</v>
      </c>
      <c r="J16" s="112"/>
      <c r="K16" s="112">
        <v>10924.37</v>
      </c>
      <c r="L16" s="112">
        <v>12184.87</v>
      </c>
      <c r="M16" s="112">
        <v>12868.89888888889</v>
      </c>
      <c r="N16" s="142"/>
      <c r="R16" s="232">
        <f t="shared" si="1"/>
        <v>0.48556999049128685</v>
      </c>
      <c r="S16" s="232">
        <f t="shared" si="2"/>
        <v>0.12642077035167185</v>
      </c>
      <c r="T16" s="232">
        <f t="shared" si="3"/>
        <v>-0.015021012330416993</v>
      </c>
      <c r="U16" s="232">
        <f t="shared" si="4"/>
        <v>-0.12260694582433851</v>
      </c>
      <c r="V16" s="232">
        <f t="shared" si="5"/>
        <v>0.007888096098008402</v>
      </c>
      <c r="W16" s="232">
        <f t="shared" si="6"/>
        <v>-0.07764084797378436</v>
      </c>
      <c r="X16" s="232">
        <f t="shared" si="7"/>
        <v>-0.12311767328103451</v>
      </c>
      <c r="Y16" s="232">
        <f t="shared" si="8"/>
      </c>
      <c r="Z16" s="232">
        <f t="shared" si="9"/>
        <v>-0.1511029735860161</v>
      </c>
      <c r="AA16" s="232">
        <f t="shared" si="10"/>
        <v>-0.05315364545132031</v>
      </c>
    </row>
    <row r="17" spans="2:27" ht="12.75">
      <c r="B17" s="111">
        <v>42524</v>
      </c>
      <c r="C17" s="112"/>
      <c r="D17" s="112">
        <v>14915.965</v>
      </c>
      <c r="E17" s="112">
        <v>13069.89</v>
      </c>
      <c r="F17" s="112">
        <v>12692.496666666666</v>
      </c>
      <c r="G17" s="112"/>
      <c r="H17" s="112">
        <v>11764.703333333333</v>
      </c>
      <c r="I17" s="112">
        <v>10852.34</v>
      </c>
      <c r="J17" s="112">
        <v>11373.85</v>
      </c>
      <c r="K17" s="112"/>
      <c r="L17" s="112">
        <v>12184.87</v>
      </c>
      <c r="M17" s="112">
        <v>12471.907857142856</v>
      </c>
      <c r="N17" s="142"/>
      <c r="R17" s="232">
        <f t="shared" si="1"/>
      </c>
      <c r="S17" s="232">
        <f t="shared" si="2"/>
        <v>0.19596497752005074</v>
      </c>
      <c r="T17" s="232">
        <f t="shared" si="3"/>
        <v>0.04794632462864688</v>
      </c>
      <c r="U17" s="232">
        <f t="shared" si="4"/>
        <v>0.017686853691552495</v>
      </c>
      <c r="V17" s="232">
        <f t="shared" si="5"/>
      </c>
      <c r="W17" s="232">
        <f t="shared" si="6"/>
        <v>-0.05670379639667529</v>
      </c>
      <c r="X17" s="232">
        <f t="shared" si="7"/>
        <v>-0.12985726608101136</v>
      </c>
      <c r="Y17" s="232">
        <f t="shared" si="8"/>
        <v>-0.08804249275414436</v>
      </c>
      <c r="Z17" s="232">
        <f t="shared" si="9"/>
      </c>
      <c r="AA17" s="232">
        <f t="shared" si="10"/>
        <v>-0.023014751265859012</v>
      </c>
    </row>
    <row r="18" spans="2:27" ht="12.75">
      <c r="B18" s="111">
        <v>42527</v>
      </c>
      <c r="C18" s="112">
        <v>20588.24</v>
      </c>
      <c r="D18" s="112">
        <v>15966.384999999998</v>
      </c>
      <c r="E18" s="112">
        <v>12861.35</v>
      </c>
      <c r="F18" s="112">
        <v>13046.93</v>
      </c>
      <c r="G18" s="112"/>
      <c r="H18" s="112">
        <v>11764.703333333333</v>
      </c>
      <c r="I18" s="112">
        <v>11419.57</v>
      </c>
      <c r="J18" s="112"/>
      <c r="K18" s="112">
        <v>11134.45</v>
      </c>
      <c r="L18" s="112">
        <v>11974.79</v>
      </c>
      <c r="M18" s="112">
        <v>13092.762222222225</v>
      </c>
      <c r="N18" s="142"/>
      <c r="R18" s="232">
        <f t="shared" si="1"/>
        <v>0.5724901782036315</v>
      </c>
      <c r="S18" s="232">
        <f t="shared" si="2"/>
        <v>0.21948178153731376</v>
      </c>
      <c r="T18" s="232">
        <f t="shared" si="3"/>
        <v>-0.017674820507276236</v>
      </c>
      <c r="U18" s="232">
        <f t="shared" si="4"/>
        <v>-0.003500576993939019</v>
      </c>
      <c r="V18" s="232">
        <f t="shared" si="5"/>
      </c>
      <c r="W18" s="232">
        <f t="shared" si="6"/>
        <v>-0.1014345839592802</v>
      </c>
      <c r="X18" s="232">
        <f t="shared" si="7"/>
        <v>-0.12779520423752383</v>
      </c>
      <c r="Y18" s="232">
        <f t="shared" si="8"/>
      </c>
      <c r="Z18" s="232">
        <f t="shared" si="9"/>
        <v>-0.1495721215266859</v>
      </c>
      <c r="AA18" s="232">
        <f t="shared" si="10"/>
        <v>-0.08538856837441838</v>
      </c>
    </row>
    <row r="19" spans="2:27" ht="12.75">
      <c r="B19" s="111">
        <v>42528</v>
      </c>
      <c r="C19" s="112"/>
      <c r="D19" s="112">
        <v>15966.384999999998</v>
      </c>
      <c r="E19" s="112">
        <v>13070.76</v>
      </c>
      <c r="F19" s="112">
        <v>13132.864999999998</v>
      </c>
      <c r="G19" s="112">
        <v>14802.11</v>
      </c>
      <c r="H19" s="112">
        <v>11204.480000000001</v>
      </c>
      <c r="I19" s="112">
        <v>11297.85</v>
      </c>
      <c r="J19" s="112">
        <v>11306.34</v>
      </c>
      <c r="K19" s="112">
        <v>11554.62</v>
      </c>
      <c r="L19" s="112">
        <v>11974.79</v>
      </c>
      <c r="M19" s="112">
        <v>12872.757368421057</v>
      </c>
      <c r="N19" s="142"/>
      <c r="R19" s="232">
        <f t="shared" si="1"/>
      </c>
      <c r="S19" s="232">
        <f t="shared" si="2"/>
        <v>0.24032361855651127</v>
      </c>
      <c r="T19" s="232">
        <f t="shared" si="3"/>
        <v>0.0153815244016543</v>
      </c>
      <c r="U19" s="232">
        <f t="shared" si="4"/>
        <v>0.02020605408263402</v>
      </c>
      <c r="V19" s="232">
        <f t="shared" si="5"/>
        <v>0.1498787382035147</v>
      </c>
      <c r="W19" s="232">
        <f t="shared" si="6"/>
        <v>-0.12959751517678783</v>
      </c>
      <c r="X19" s="232">
        <f t="shared" si="7"/>
        <v>-0.1223442129255506</v>
      </c>
      <c r="Y19" s="232">
        <f t="shared" si="8"/>
        <v>-0.12168468056919414</v>
      </c>
      <c r="Z19" s="232">
        <f t="shared" si="9"/>
        <v>-0.10239743752606249</v>
      </c>
      <c r="AA19" s="232">
        <f t="shared" si="10"/>
        <v>-0.06975718897832363</v>
      </c>
    </row>
    <row r="20" spans="2:27" ht="12.75">
      <c r="B20" s="111">
        <v>42529</v>
      </c>
      <c r="C20" s="112">
        <v>18907.56</v>
      </c>
      <c r="D20" s="112">
        <v>15966.384999999998</v>
      </c>
      <c r="E20" s="112">
        <v>13037.083333333334</v>
      </c>
      <c r="F20" s="112">
        <v>11468.083333333334</v>
      </c>
      <c r="G20" s="112">
        <v>14669.35</v>
      </c>
      <c r="H20" s="112">
        <v>11577.963333333333</v>
      </c>
      <c r="I20" s="112">
        <v>11284.515</v>
      </c>
      <c r="J20" s="112"/>
      <c r="K20" s="112">
        <v>10924.37</v>
      </c>
      <c r="L20" s="112"/>
      <c r="M20" s="112">
        <v>12718.774736842104</v>
      </c>
      <c r="N20" s="142"/>
      <c r="R20" s="232">
        <f t="shared" si="1"/>
        <v>0.4865865927502453</v>
      </c>
      <c r="S20" s="232">
        <f t="shared" si="2"/>
        <v>0.25533986805746595</v>
      </c>
      <c r="T20" s="232">
        <f t="shared" si="3"/>
        <v>0.02502667144258751</v>
      </c>
      <c r="U20" s="232">
        <f t="shared" si="4"/>
        <v>-0.09833426799249215</v>
      </c>
      <c r="V20" s="232">
        <f t="shared" si="5"/>
        <v>0.1533618845774288</v>
      </c>
      <c r="W20" s="232">
        <f t="shared" si="6"/>
        <v>-0.08969507103575125</v>
      </c>
      <c r="X20" s="232">
        <f t="shared" si="7"/>
        <v>-0.11276713099474325</v>
      </c>
      <c r="Y20" s="232">
        <f t="shared" si="8"/>
      </c>
      <c r="Z20" s="232">
        <f t="shared" si="9"/>
        <v>-0.14108314471867353</v>
      </c>
      <c r="AA20" s="232">
        <f t="shared" si="10"/>
      </c>
    </row>
    <row r="21" spans="2:27" ht="12.75">
      <c r="B21" s="111">
        <v>42530</v>
      </c>
      <c r="C21" s="112">
        <v>19565.825</v>
      </c>
      <c r="D21" s="112">
        <v>15966.384999999998</v>
      </c>
      <c r="E21" s="112">
        <v>12883.063333333334</v>
      </c>
      <c r="F21" s="112">
        <v>11552.238</v>
      </c>
      <c r="G21" s="112">
        <v>13446.756666666666</v>
      </c>
      <c r="H21" s="112">
        <v>11000.765</v>
      </c>
      <c r="I21" s="112">
        <v>12124.85</v>
      </c>
      <c r="J21" s="112"/>
      <c r="K21" s="112">
        <v>11764.705000000002</v>
      </c>
      <c r="L21" s="112">
        <v>12815.13</v>
      </c>
      <c r="M21" s="112">
        <v>13251.713809523812</v>
      </c>
      <c r="N21" s="142"/>
      <c r="R21" s="232">
        <f t="shared" si="1"/>
        <v>0.47647506437532106</v>
      </c>
      <c r="S21" s="232">
        <f t="shared" si="2"/>
        <v>0.20485434785991172</v>
      </c>
      <c r="T21" s="232">
        <f t="shared" si="3"/>
        <v>-0.027819079214156762</v>
      </c>
      <c r="U21" s="232">
        <f t="shared" si="4"/>
        <v>-0.12824573741567102</v>
      </c>
      <c r="V21" s="232">
        <f t="shared" si="5"/>
        <v>0.014718311906395101</v>
      </c>
      <c r="W21" s="232">
        <f t="shared" si="6"/>
        <v>-0.16986095850531335</v>
      </c>
      <c r="X21" s="232">
        <f t="shared" si="7"/>
        <v>-0.08503532642803913</v>
      </c>
      <c r="Y21" s="232">
        <f t="shared" si="8"/>
      </c>
      <c r="Z21" s="232">
        <f t="shared" si="9"/>
        <v>-0.11221256592902862</v>
      </c>
      <c r="AA21" s="232">
        <f t="shared" si="10"/>
        <v>-0.03294546017210589</v>
      </c>
    </row>
    <row r="22" spans="2:27" ht="12.75">
      <c r="B22" s="111">
        <v>42531</v>
      </c>
      <c r="C22" s="112">
        <v>21176.47</v>
      </c>
      <c r="D22" s="112">
        <v>15966.384999999998</v>
      </c>
      <c r="E22" s="112">
        <v>12902.5025</v>
      </c>
      <c r="F22" s="112">
        <v>11511.083999999999</v>
      </c>
      <c r="G22" s="112">
        <v>13440.71</v>
      </c>
      <c r="H22" s="112">
        <v>12605.04</v>
      </c>
      <c r="I22" s="112">
        <v>11577.965</v>
      </c>
      <c r="J22" s="112">
        <v>11382.73</v>
      </c>
      <c r="K22" s="112">
        <v>10504.2</v>
      </c>
      <c r="L22" s="112">
        <v>12815.13</v>
      </c>
      <c r="M22" s="112">
        <v>12980.956000000002</v>
      </c>
      <c r="N22" s="142"/>
      <c r="R22" s="232">
        <f t="shared" si="1"/>
        <v>0.6313490316121554</v>
      </c>
      <c r="S22" s="232">
        <f t="shared" si="2"/>
        <v>0.2299852953819423</v>
      </c>
      <c r="T22" s="232">
        <f t="shared" si="3"/>
        <v>-0.006043738226984317</v>
      </c>
      <c r="U22" s="232">
        <f t="shared" si="4"/>
        <v>-0.11323295449117945</v>
      </c>
      <c r="V22" s="232">
        <f t="shared" si="5"/>
        <v>0.03541757633259038</v>
      </c>
      <c r="W22" s="232">
        <f t="shared" si="6"/>
        <v>-0.028959038147883795</v>
      </c>
      <c r="X22" s="232">
        <f t="shared" si="7"/>
        <v>-0.10808071454829687</v>
      </c>
      <c r="Y22" s="232">
        <f t="shared" si="8"/>
        <v>-0.12312082407489881</v>
      </c>
      <c r="Z22" s="232">
        <f t="shared" si="9"/>
        <v>-0.19079919845656984</v>
      </c>
      <c r="AA22" s="232">
        <f t="shared" si="10"/>
        <v>-0.012774559901443524</v>
      </c>
    </row>
    <row r="23" spans="2:27" ht="12.75">
      <c r="B23" s="111">
        <v>42534</v>
      </c>
      <c r="C23" s="112">
        <v>19327.73</v>
      </c>
      <c r="D23" s="112">
        <v>15756.305</v>
      </c>
      <c r="E23" s="112">
        <v>12927.626666666669</v>
      </c>
      <c r="F23" s="112">
        <v>11274.846666666666</v>
      </c>
      <c r="G23" s="112"/>
      <c r="H23" s="112">
        <v>10504.2</v>
      </c>
      <c r="I23" s="112">
        <v>11317.48</v>
      </c>
      <c r="J23" s="112"/>
      <c r="K23" s="112">
        <v>10464.189999999999</v>
      </c>
      <c r="L23" s="112"/>
      <c r="M23" s="112">
        <v>12295.758823529412</v>
      </c>
      <c r="N23" s="142"/>
      <c r="R23" s="232">
        <f t="shared" si="1"/>
        <v>0.5719021719110224</v>
      </c>
      <c r="S23" s="232">
        <f t="shared" si="2"/>
        <v>0.28144226201382694</v>
      </c>
      <c r="T23" s="232">
        <f t="shared" si="3"/>
        <v>0.05138908888877214</v>
      </c>
      <c r="U23" s="232">
        <f t="shared" si="4"/>
        <v>-0.08302961789630317</v>
      </c>
      <c r="V23" s="232">
        <f t="shared" si="5"/>
      </c>
      <c r="W23" s="232">
        <f t="shared" si="6"/>
        <v>-0.14570542975363568</v>
      </c>
      <c r="X23" s="232">
        <f t="shared" si="7"/>
        <v>-0.07956229766457015</v>
      </c>
      <c r="Y23" s="232">
        <f t="shared" si="8"/>
      </c>
      <c r="Z23" s="232">
        <f t="shared" si="9"/>
        <v>-0.1489593972861997</v>
      </c>
      <c r="AA23" s="232">
        <f t="shared" si="10"/>
      </c>
    </row>
    <row r="24" spans="2:27" ht="12.75">
      <c r="B24" s="111">
        <v>42535</v>
      </c>
      <c r="C24" s="112">
        <v>20627.019999999997</v>
      </c>
      <c r="D24" s="112">
        <v>15756.305</v>
      </c>
      <c r="E24" s="112">
        <v>13237.114999999998</v>
      </c>
      <c r="F24" s="112">
        <v>10839.4625</v>
      </c>
      <c r="G24" s="112">
        <v>15126.05</v>
      </c>
      <c r="H24" s="112">
        <v>10924.37</v>
      </c>
      <c r="I24" s="112">
        <v>11644.185000000001</v>
      </c>
      <c r="J24" s="112">
        <v>11358.09</v>
      </c>
      <c r="K24" s="112">
        <v>10924.37</v>
      </c>
      <c r="L24" s="112">
        <v>11134.45</v>
      </c>
      <c r="M24" s="112">
        <v>13032.257142857145</v>
      </c>
      <c r="N24" s="142"/>
      <c r="R24" s="232">
        <f t="shared" si="1"/>
        <v>0.5827664980740093</v>
      </c>
      <c r="S24" s="232">
        <f t="shared" si="2"/>
        <v>0.2090234889691292</v>
      </c>
      <c r="T24" s="232">
        <f t="shared" si="3"/>
        <v>0.01571929213007695</v>
      </c>
      <c r="U24" s="232">
        <f t="shared" si="4"/>
        <v>-0.16825900677220712</v>
      </c>
      <c r="V24" s="232">
        <f t="shared" si="5"/>
        <v>0.1606623345588636</v>
      </c>
      <c r="W24" s="232">
        <f t="shared" si="6"/>
        <v>-0.1617438268559991</v>
      </c>
      <c r="X24" s="232">
        <f t="shared" si="7"/>
        <v>-0.10651049374190198</v>
      </c>
      <c r="Y24" s="232">
        <f t="shared" si="8"/>
        <v>-0.12846332945285227</v>
      </c>
      <c r="Z24" s="232">
        <f t="shared" si="9"/>
        <v>-0.1617438268559991</v>
      </c>
      <c r="AA24" s="232">
        <f t="shared" si="10"/>
        <v>-0.14562382571597077</v>
      </c>
    </row>
    <row r="25" spans="2:27" ht="12.75">
      <c r="B25" s="111">
        <v>42536</v>
      </c>
      <c r="C25" s="112"/>
      <c r="D25" s="112">
        <v>14075.630000000001</v>
      </c>
      <c r="E25" s="112">
        <v>12866.826666666668</v>
      </c>
      <c r="F25" s="112">
        <v>11176.742000000002</v>
      </c>
      <c r="G25" s="112">
        <v>14789.92</v>
      </c>
      <c r="H25" s="112">
        <v>10224.09</v>
      </c>
      <c r="I25" s="112">
        <v>11479.445</v>
      </c>
      <c r="J25" s="112"/>
      <c r="K25" s="112">
        <v>10924.37</v>
      </c>
      <c r="L25" s="112"/>
      <c r="M25" s="112">
        <v>11828.070555555554</v>
      </c>
      <c r="N25" s="142"/>
      <c r="R25" s="232">
        <f t="shared" si="1"/>
      </c>
      <c r="S25" s="232">
        <f t="shared" si="2"/>
        <v>0.19001911037711772</v>
      </c>
      <c r="T25" s="232">
        <f t="shared" si="3"/>
        <v>0.08782126435855743</v>
      </c>
      <c r="U25" s="232">
        <f t="shared" si="4"/>
        <v>-0.05506634006758001</v>
      </c>
      <c r="V25" s="232">
        <f t="shared" si="5"/>
        <v>0.2504085032747195</v>
      </c>
      <c r="W25" s="232">
        <f t="shared" si="6"/>
        <v>-0.13560796310960258</v>
      </c>
      <c r="X25" s="232">
        <f t="shared" si="7"/>
        <v>-0.029474423061486364</v>
      </c>
      <c r="Y25" s="232">
        <f t="shared" si="8"/>
      </c>
      <c r="Z25" s="232">
        <f t="shared" si="9"/>
        <v>-0.07640304065747157</v>
      </c>
      <c r="AA25" s="232">
        <f t="shared" si="10"/>
      </c>
    </row>
    <row r="26" spans="2:27" ht="12.75">
      <c r="B26" s="111">
        <v>42537</v>
      </c>
      <c r="C26" s="112">
        <v>20952.38</v>
      </c>
      <c r="D26" s="112">
        <v>14075.630000000001</v>
      </c>
      <c r="E26" s="112">
        <v>12871.813333333334</v>
      </c>
      <c r="F26" s="112">
        <v>10709.524000000001</v>
      </c>
      <c r="G26" s="112">
        <v>12256.904999999999</v>
      </c>
      <c r="H26" s="112">
        <v>10364.146666666667</v>
      </c>
      <c r="I26" s="112">
        <v>11470.59</v>
      </c>
      <c r="J26" s="112"/>
      <c r="K26" s="112">
        <v>11235.606666666667</v>
      </c>
      <c r="L26" s="112">
        <v>11554.62</v>
      </c>
      <c r="M26" s="112">
        <v>12048.889545454545</v>
      </c>
      <c r="N26" s="142"/>
      <c r="R26" s="232">
        <f t="shared" si="1"/>
        <v>0.7389469727444141</v>
      </c>
      <c r="S26" s="232">
        <f t="shared" si="2"/>
        <v>0.16820972977630502</v>
      </c>
      <c r="T26" s="232">
        <f t="shared" si="3"/>
        <v>0.06829872452347584</v>
      </c>
      <c r="U26" s="232">
        <f t="shared" si="4"/>
        <v>-0.1111609115845718</v>
      </c>
      <c r="V26" s="232">
        <f t="shared" si="5"/>
        <v>0.017264284294474873</v>
      </c>
      <c r="W26" s="232">
        <f t="shared" si="6"/>
        <v>-0.1398255725087503</v>
      </c>
      <c r="X26" s="232">
        <f t="shared" si="7"/>
        <v>-0.047996086549960064</v>
      </c>
      <c r="Y26" s="232">
        <f t="shared" si="8"/>
      </c>
      <c r="Z26" s="232">
        <f t="shared" si="9"/>
        <v>-0.06749857534337599</v>
      </c>
      <c r="AA26" s="232">
        <f t="shared" si="10"/>
        <v>-0.041021999877242483</v>
      </c>
    </row>
    <row r="27" spans="2:27" ht="12.75">
      <c r="B27" s="111">
        <v>42538</v>
      </c>
      <c r="C27" s="112">
        <v>22268.91</v>
      </c>
      <c r="D27" s="112">
        <v>13865.545</v>
      </c>
      <c r="E27" s="112">
        <v>12591.086666666664</v>
      </c>
      <c r="F27" s="112">
        <v>10352.387999999999</v>
      </c>
      <c r="G27" s="112">
        <v>12605.04</v>
      </c>
      <c r="H27" s="112">
        <v>10189.077500000001</v>
      </c>
      <c r="I27" s="112">
        <v>10220.95</v>
      </c>
      <c r="J27" s="112">
        <v>10480.42</v>
      </c>
      <c r="K27" s="112"/>
      <c r="L27" s="112">
        <v>11428.57</v>
      </c>
      <c r="M27" s="112">
        <v>11762.372000000001</v>
      </c>
      <c r="N27" s="142"/>
      <c r="R27" s="232">
        <f t="shared" si="1"/>
        <v>0.8932329295485636</v>
      </c>
      <c r="S27" s="232">
        <f t="shared" si="2"/>
        <v>0.17880517637088833</v>
      </c>
      <c r="T27" s="232">
        <f t="shared" si="3"/>
        <v>0.07045472347470927</v>
      </c>
      <c r="U27" s="232">
        <f t="shared" si="4"/>
        <v>-0.11987242029073746</v>
      </c>
      <c r="V27" s="232">
        <f t="shared" si="5"/>
        <v>0.0716409921400207</v>
      </c>
      <c r="W27" s="232">
        <f t="shared" si="6"/>
        <v>-0.1337565671277868</v>
      </c>
      <c r="X27" s="232">
        <f t="shared" si="7"/>
        <v>-0.13104686707749086</v>
      </c>
      <c r="Y27" s="232">
        <f t="shared" si="8"/>
        <v>-0.10898754094837343</v>
      </c>
      <c r="Z27" s="232">
        <f t="shared" si="9"/>
      </c>
      <c r="AA27" s="232">
        <f t="shared" si="10"/>
        <v>-0.028378799786301732</v>
      </c>
    </row>
    <row r="28" spans="2:27" ht="12.75">
      <c r="B28" s="111">
        <v>42541</v>
      </c>
      <c r="C28" s="112">
        <v>20091.67</v>
      </c>
      <c r="D28" s="112">
        <v>13235.293333333335</v>
      </c>
      <c r="E28" s="112">
        <v>12470.586666666668</v>
      </c>
      <c r="F28" s="112">
        <v>11295.525</v>
      </c>
      <c r="G28" s="112"/>
      <c r="H28" s="112">
        <v>9897.293333333333</v>
      </c>
      <c r="I28" s="112">
        <v>11049.465</v>
      </c>
      <c r="J28" s="112"/>
      <c r="K28" s="112">
        <v>10574.23</v>
      </c>
      <c r="L28" s="112"/>
      <c r="M28" s="112">
        <v>11962.815555555555</v>
      </c>
      <c r="N28" s="142"/>
      <c r="R28" s="232">
        <f t="shared" si="1"/>
        <v>0.6795101376171755</v>
      </c>
      <c r="S28" s="232">
        <f t="shared" si="2"/>
        <v>0.10636942213715221</v>
      </c>
      <c r="T28" s="232">
        <f t="shared" si="3"/>
        <v>0.04244578617408366</v>
      </c>
      <c r="U28" s="232">
        <f t="shared" si="4"/>
        <v>-0.05578039320732186</v>
      </c>
      <c r="V28" s="232">
        <f t="shared" si="5"/>
      </c>
      <c r="W28" s="232">
        <f t="shared" si="6"/>
        <v>-0.17266187985845768</v>
      </c>
      <c r="X28" s="232">
        <f t="shared" si="7"/>
        <v>-0.07634912962704613</v>
      </c>
      <c r="Y28" s="232">
        <f t="shared" si="8"/>
      </c>
      <c r="Z28" s="232">
        <f t="shared" si="9"/>
        <v>-0.11607514544606462</v>
      </c>
      <c r="AA28" s="232">
        <f t="shared" si="10"/>
      </c>
    </row>
    <row r="29" spans="2:27" ht="12.75">
      <c r="B29" s="111">
        <v>42542</v>
      </c>
      <c r="C29" s="112">
        <v>20378.15</v>
      </c>
      <c r="D29" s="112">
        <v>13235.293333333335</v>
      </c>
      <c r="E29" s="112">
        <v>12201.143333333333</v>
      </c>
      <c r="F29" s="112">
        <v>11003.754</v>
      </c>
      <c r="G29" s="112">
        <v>12130.07</v>
      </c>
      <c r="H29" s="112">
        <v>9990.663333333332</v>
      </c>
      <c r="I29" s="112">
        <v>11070.03</v>
      </c>
      <c r="J29" s="112">
        <v>10521.71</v>
      </c>
      <c r="K29" s="112">
        <v>11379.553333333335</v>
      </c>
      <c r="L29" s="112">
        <v>10924.37</v>
      </c>
      <c r="M29" s="112">
        <v>11839.230000000001</v>
      </c>
      <c r="N29" s="142"/>
      <c r="R29" s="232">
        <f t="shared" si="1"/>
        <v>0.7212394724994784</v>
      </c>
      <c r="S29" s="232">
        <f t="shared" si="2"/>
        <v>0.1179184231857421</v>
      </c>
      <c r="T29" s="232">
        <f t="shared" si="3"/>
        <v>0.03056899252175454</v>
      </c>
      <c r="U29" s="232">
        <f t="shared" si="4"/>
        <v>-0.0705684406840648</v>
      </c>
      <c r="V29" s="232">
        <f t="shared" si="5"/>
        <v>0.024565786795255968</v>
      </c>
      <c r="W29" s="232">
        <f t="shared" si="6"/>
        <v>-0.15613909575763535</v>
      </c>
      <c r="X29" s="232">
        <f t="shared" si="7"/>
        <v>-0.06497044148986046</v>
      </c>
      <c r="Y29" s="232">
        <f t="shared" si="8"/>
        <v>-0.11128426426380787</v>
      </c>
      <c r="Z29" s="232">
        <f t="shared" si="9"/>
        <v>-0.03882656783141017</v>
      </c>
      <c r="AA29" s="232">
        <f t="shared" si="10"/>
        <v>-0.07727360647609688</v>
      </c>
    </row>
    <row r="30" spans="2:27" ht="12.75">
      <c r="B30" s="111">
        <v>42543</v>
      </c>
      <c r="C30" s="112"/>
      <c r="D30" s="112">
        <v>14075.633333333331</v>
      </c>
      <c r="E30" s="112">
        <v>12172.83</v>
      </c>
      <c r="F30" s="112">
        <v>10941.22</v>
      </c>
      <c r="G30" s="112"/>
      <c r="H30" s="112">
        <v>10177.403333333334</v>
      </c>
      <c r="I30" s="112">
        <v>10405.775000000001</v>
      </c>
      <c r="J30" s="112"/>
      <c r="K30" s="112">
        <v>10924.37</v>
      </c>
      <c r="L30" s="112"/>
      <c r="M30" s="112">
        <v>11507.038</v>
      </c>
      <c r="N30" s="142"/>
      <c r="R30" s="232">
        <f t="shared" si="1"/>
      </c>
      <c r="S30" s="232">
        <f t="shared" si="2"/>
        <v>0.22321950560459874</v>
      </c>
      <c r="T30" s="232">
        <f t="shared" si="3"/>
        <v>0.057859546479293755</v>
      </c>
      <c r="U30" s="232">
        <f t="shared" si="4"/>
        <v>-0.04917147227635827</v>
      </c>
      <c r="V30" s="232">
        <f t="shared" si="5"/>
      </c>
      <c r="W30" s="232">
        <f t="shared" si="6"/>
        <v>-0.1155496893871965</v>
      </c>
      <c r="X30" s="232">
        <f t="shared" si="7"/>
        <v>-0.09570342950114522</v>
      </c>
      <c r="Y30" s="232">
        <f t="shared" si="8"/>
      </c>
      <c r="Z30" s="232">
        <f t="shared" si="9"/>
        <v>-0.05063579350307174</v>
      </c>
      <c r="AA30" s="232">
        <f t="shared" si="10"/>
      </c>
    </row>
    <row r="31" spans="2:28" ht="12.75">
      <c r="B31" s="111">
        <v>42544</v>
      </c>
      <c r="C31" s="112">
        <v>21148.46</v>
      </c>
      <c r="D31" s="112">
        <v>13935.576666666666</v>
      </c>
      <c r="E31" s="112">
        <v>12370.72</v>
      </c>
      <c r="F31" s="112">
        <v>10563.518</v>
      </c>
      <c r="G31" s="112">
        <v>12148.86</v>
      </c>
      <c r="H31" s="112">
        <v>10294.12</v>
      </c>
      <c r="I31" s="112">
        <v>11087.77</v>
      </c>
      <c r="J31" s="112"/>
      <c r="K31" s="112">
        <v>10534.215</v>
      </c>
      <c r="L31" s="112"/>
      <c r="M31" s="112">
        <v>11894.513684210524</v>
      </c>
      <c r="N31" s="142"/>
      <c r="R31" s="232">
        <f t="shared" si="1"/>
        <v>0.7780012332974745</v>
      </c>
      <c r="S31" s="232">
        <f t="shared" si="2"/>
        <v>0.17159700990260485</v>
      </c>
      <c r="T31" s="232">
        <f t="shared" si="3"/>
        <v>0.04003579536182464</v>
      </c>
      <c r="U31" s="232">
        <f t="shared" si="4"/>
        <v>-0.11189996661884258</v>
      </c>
      <c r="V31" s="232">
        <f t="shared" si="5"/>
        <v>0.021383498522273416</v>
      </c>
      <c r="W31" s="232">
        <f t="shared" si="6"/>
        <v>-0.1345488959615877</v>
      </c>
      <c r="X31" s="232">
        <f t="shared" si="7"/>
        <v>-0.06782485653713127</v>
      </c>
      <c r="Y31" s="232">
        <f t="shared" si="8"/>
      </c>
      <c r="Z31" s="232">
        <f t="shared" si="9"/>
        <v>-0.11436353938675645</v>
      </c>
      <c r="AA31" s="232">
        <f t="shared" si="10"/>
      </c>
      <c r="AB31" s="233"/>
    </row>
    <row r="32" spans="2:27" ht="12.75">
      <c r="B32" s="111">
        <v>42545</v>
      </c>
      <c r="C32" s="112">
        <v>19747.9</v>
      </c>
      <c r="D32" s="112">
        <v>13865.547499999999</v>
      </c>
      <c r="E32" s="112">
        <v>12163.865</v>
      </c>
      <c r="F32" s="112">
        <v>10826.205</v>
      </c>
      <c r="G32" s="112">
        <v>12144.21</v>
      </c>
      <c r="H32" s="112"/>
      <c r="I32" s="112">
        <v>10714.29</v>
      </c>
      <c r="J32" s="112">
        <v>10519.76</v>
      </c>
      <c r="K32" s="112">
        <v>10474.19</v>
      </c>
      <c r="L32" s="112">
        <v>10924.37</v>
      </c>
      <c r="M32" s="112">
        <v>12657.86388888889</v>
      </c>
      <c r="N32" s="142"/>
      <c r="R32" s="232">
        <f t="shared" si="1"/>
        <v>0.5601289580412351</v>
      </c>
      <c r="S32" s="232">
        <f t="shared" si="2"/>
        <v>0.09540974857307606</v>
      </c>
      <c r="T32" s="232">
        <f t="shared" si="3"/>
        <v>-0.039027034357868605</v>
      </c>
      <c r="U32" s="232">
        <f t="shared" si="4"/>
        <v>-0.14470521289905214</v>
      </c>
      <c r="V32" s="232">
        <f t="shared" si="5"/>
        <v>-0.040579824004884316</v>
      </c>
      <c r="W32" s="232">
        <f t="shared" si="6"/>
      </c>
      <c r="X32" s="232">
        <f t="shared" si="7"/>
        <v>-0.15354675211786442</v>
      </c>
      <c r="Y32" s="232">
        <f t="shared" si="8"/>
        <v>-0.16891506399952083</v>
      </c>
      <c r="Z32" s="232">
        <f t="shared" si="9"/>
        <v>-0.1725151975133597</v>
      </c>
      <c r="AA32" s="232">
        <f t="shared" si="10"/>
        <v>-0.1369499549138426</v>
      </c>
    </row>
    <row r="33" spans="2:27" ht="12.75">
      <c r="B33" s="111">
        <v>42549</v>
      </c>
      <c r="C33" s="112">
        <v>19187.676666666666</v>
      </c>
      <c r="D33" s="112">
        <v>13508.404999999999</v>
      </c>
      <c r="E33" s="112">
        <v>11978.910000000002</v>
      </c>
      <c r="F33" s="112"/>
      <c r="G33" s="112"/>
      <c r="H33" s="112"/>
      <c r="I33" s="112">
        <v>10905.9</v>
      </c>
      <c r="J33" s="112">
        <v>10457.52</v>
      </c>
      <c r="K33" s="112">
        <v>10924.37</v>
      </c>
      <c r="L33" s="112">
        <v>11134.45</v>
      </c>
      <c r="M33" s="112">
        <v>13269.22</v>
      </c>
      <c r="N33" s="142"/>
      <c r="R33" s="232">
        <f t="shared" si="1"/>
        <v>0.44602898035202276</v>
      </c>
      <c r="S33" s="232">
        <f t="shared" si="2"/>
        <v>0.018025550861316603</v>
      </c>
      <c r="T33" s="232">
        <f t="shared" si="3"/>
        <v>-0.09724083254328421</v>
      </c>
      <c r="U33" s="232">
        <f t="shared" si="4"/>
      </c>
      <c r="V33" s="232">
        <f t="shared" si="5"/>
      </c>
      <c r="W33" s="232">
        <f t="shared" si="6"/>
      </c>
      <c r="X33" s="232">
        <f t="shared" si="7"/>
        <v>-0.17810541991164514</v>
      </c>
      <c r="Y33" s="232">
        <f t="shared" si="8"/>
        <v>-0.2118964038579509</v>
      </c>
      <c r="Z33" s="232">
        <f t="shared" si="9"/>
        <v>-0.17671347675296653</v>
      </c>
      <c r="AA33" s="232">
        <f t="shared" si="10"/>
        <v>-0.1608813479616736</v>
      </c>
    </row>
    <row r="34" spans="2:27" ht="12.75">
      <c r="B34" s="111">
        <v>42550</v>
      </c>
      <c r="C34" s="112"/>
      <c r="D34" s="112">
        <v>14138.654999999999</v>
      </c>
      <c r="E34" s="112">
        <v>11964.79</v>
      </c>
      <c r="F34" s="112">
        <v>11215.836</v>
      </c>
      <c r="G34" s="112"/>
      <c r="H34" s="112">
        <v>9453.785</v>
      </c>
      <c r="I34" s="112">
        <v>10444.18</v>
      </c>
      <c r="J34" s="112"/>
      <c r="K34" s="112">
        <v>10924.37</v>
      </c>
      <c r="L34" s="112">
        <v>9710.55</v>
      </c>
      <c r="M34" s="112">
        <v>11305.195714285712</v>
      </c>
      <c r="N34" s="142"/>
      <c r="R34" s="232">
        <f t="shared" si="1"/>
      </c>
      <c r="S34" s="232">
        <f t="shared" si="2"/>
        <v>0.2506333687026586</v>
      </c>
      <c r="T34" s="232">
        <f t="shared" si="3"/>
        <v>0.05834434912796764</v>
      </c>
      <c r="U34" s="232">
        <f t="shared" si="4"/>
        <v>-0.007904304935897204</v>
      </c>
      <c r="V34" s="232">
        <f t="shared" si="5"/>
      </c>
      <c r="W34" s="232">
        <f t="shared" si="6"/>
        <v>-0.1637663567333198</v>
      </c>
      <c r="X34" s="232">
        <f t="shared" si="7"/>
        <v>-0.07616106222714009</v>
      </c>
      <c r="Y34" s="232">
        <f t="shared" si="8"/>
      </c>
      <c r="Z34" s="232">
        <f t="shared" si="9"/>
        <v>-0.03368590194369514</v>
      </c>
      <c r="AA34" s="232">
        <f t="shared" si="10"/>
        <v>-0.141054233344289</v>
      </c>
    </row>
    <row r="35" spans="2:28" ht="12.75">
      <c r="B35" s="63">
        <v>42551</v>
      </c>
      <c r="C35" s="36"/>
      <c r="D35" s="36">
        <v>14138.654999999999</v>
      </c>
      <c r="E35" s="36">
        <v>11701.685</v>
      </c>
      <c r="F35" s="36">
        <v>11456.397500000001</v>
      </c>
      <c r="G35" s="36">
        <v>13441.32</v>
      </c>
      <c r="H35" s="36">
        <v>9803.923333333334</v>
      </c>
      <c r="I35" s="36">
        <v>10024.01</v>
      </c>
      <c r="J35" s="36"/>
      <c r="K35" s="36">
        <v>10924.37</v>
      </c>
      <c r="L35" s="36">
        <v>9654.53</v>
      </c>
      <c r="M35" s="36">
        <v>11408.442777777778</v>
      </c>
      <c r="N35" s="142"/>
      <c r="R35" s="232">
        <f t="shared" si="1"/>
      </c>
      <c r="S35" s="232">
        <f t="shared" si="2"/>
        <v>0.23931506476417036</v>
      </c>
      <c r="T35" s="232">
        <f t="shared" si="3"/>
        <v>0.025703965732590647</v>
      </c>
      <c r="U35" s="232">
        <f t="shared" si="4"/>
        <v>0.004203441535038639</v>
      </c>
      <c r="V35" s="232">
        <f t="shared" si="5"/>
        <v>0.17819059636973528</v>
      </c>
      <c r="W35" s="232">
        <f t="shared" si="6"/>
        <v>-0.14064316013135883</v>
      </c>
      <c r="X35" s="232">
        <f t="shared" si="7"/>
        <v>-0.12135159940272305</v>
      </c>
      <c r="Y35" s="232">
        <f t="shared" si="8"/>
      </c>
      <c r="Z35" s="232">
        <f t="shared" si="9"/>
        <v>-0.04243110012531165</v>
      </c>
      <c r="AA35" s="232">
        <f t="shared" si="10"/>
        <v>-0.15373814042300152</v>
      </c>
      <c r="AB35" s="233"/>
    </row>
    <row r="36" spans="2:27" ht="12.75">
      <c r="B36" s="119" t="s">
        <v>197</v>
      </c>
      <c r="F36" s="64"/>
      <c r="G36" s="64"/>
      <c r="H36" s="64"/>
      <c r="I36" s="64"/>
      <c r="J36" s="64"/>
      <c r="K36" s="64"/>
      <c r="L36" s="64"/>
      <c r="R36" s="229"/>
      <c r="S36" s="229"/>
      <c r="T36" s="229"/>
      <c r="U36" s="229"/>
      <c r="V36" s="229"/>
      <c r="W36" s="229"/>
      <c r="X36" s="229"/>
      <c r="Y36" s="229"/>
      <c r="Z36" s="229"/>
      <c r="AA36" s="229"/>
    </row>
    <row r="37" spans="18:27" ht="12.75">
      <c r="R37" s="234">
        <f>+_xlfn.AVERAGEIF(R14:R35,"&lt;&gt;#¡DIV/0!")</f>
        <v>0.5840249673034745</v>
      </c>
      <c r="S37" s="234">
        <f aca="true" t="shared" si="11" ref="S37:AA37">+_xlfn.AVERAGEIF(S14:S35,"&lt;&gt;#¡DIV/0!")</f>
        <v>0.18138197276773213</v>
      </c>
      <c r="T37" s="234">
        <f t="shared" si="11"/>
        <v>0.018296681118817736</v>
      </c>
      <c r="U37" s="234">
        <f t="shared" si="11"/>
        <v>-0.07314887638127325</v>
      </c>
      <c r="V37" s="234">
        <f t="shared" si="11"/>
        <v>0.07518472948899528</v>
      </c>
      <c r="W37" s="234">
        <f t="shared" si="11"/>
        <v>-0.12439792971416704</v>
      </c>
      <c r="X37" s="234">
        <f t="shared" si="11"/>
        <v>-0.09944628411303386</v>
      </c>
      <c r="Y37" s="234">
        <f t="shared" si="11"/>
        <v>-0.12966099982273777</v>
      </c>
      <c r="Z37" s="234">
        <f t="shared" si="11"/>
        <v>-0.11038887405443845</v>
      </c>
      <c r="AA37" s="234">
        <f t="shared" si="11"/>
        <v>-0.07656335113554674</v>
      </c>
    </row>
    <row r="38" spans="18:27" ht="12.75">
      <c r="R38" s="232">
        <f>+_xlfn.STDEV.S(R6:R35)</f>
        <v>0.1791284113508575</v>
      </c>
      <c r="S38" s="232">
        <f aca="true" t="shared" si="12" ref="S38:AA38">+_xlfn.STDEV.S(S6:S35)</f>
        <v>0.07070702566468343</v>
      </c>
      <c r="T38" s="232">
        <f t="shared" si="12"/>
        <v>0.05153034604861152</v>
      </c>
      <c r="U38" s="232">
        <f t="shared" si="12"/>
        <v>0.05515759734110976</v>
      </c>
      <c r="V38" s="232">
        <f t="shared" si="12"/>
        <v>0.07569786669433352</v>
      </c>
      <c r="W38" s="232">
        <f t="shared" si="12"/>
        <v>0.05003804242203028</v>
      </c>
      <c r="X38" s="232">
        <f t="shared" si="12"/>
        <v>0.03851391221795717</v>
      </c>
      <c r="Y38" s="232">
        <f t="shared" si="12"/>
        <v>0.08573706690181059</v>
      </c>
      <c r="Z38" s="232">
        <f t="shared" si="12"/>
        <v>0.05490629526181028</v>
      </c>
      <c r="AA38" s="232">
        <f t="shared" si="12"/>
        <v>0.08712691755830285</v>
      </c>
    </row>
    <row r="40" spans="17:28" ht="12.75">
      <c r="Q40" s="301" t="s">
        <v>200</v>
      </c>
      <c r="R40" s="235">
        <f>+AVERAGE(C15:C35)</f>
        <v>19997.13377777778</v>
      </c>
      <c r="S40" s="235">
        <f aca="true" t="shared" si="13" ref="S40:AA40">+AVERAGE(D15:D35)</f>
        <v>14638.188293650795</v>
      </c>
      <c r="T40" s="235">
        <f t="shared" si="13"/>
        <v>12594.534563492063</v>
      </c>
      <c r="U40" s="235">
        <f t="shared" si="13"/>
        <v>11409.346033333331</v>
      </c>
      <c r="V40" s="235">
        <f t="shared" si="13"/>
        <v>13326.910833333333</v>
      </c>
      <c r="W40" s="235">
        <f t="shared" si="13"/>
        <v>10779.734429824559</v>
      </c>
      <c r="X40" s="235">
        <f t="shared" si="13"/>
        <v>11113.869761904762</v>
      </c>
      <c r="Y40" s="235">
        <f t="shared" si="13"/>
        <v>10925.052499999998</v>
      </c>
      <c r="Z40" s="235">
        <f t="shared" si="13"/>
        <v>11001.862105263159</v>
      </c>
      <c r="AA40" s="235">
        <f t="shared" si="13"/>
        <v>11520.696333333333</v>
      </c>
      <c r="AB40" s="235">
        <f>+AVERAGE(M14:M35)</f>
        <v>12384.06171535558</v>
      </c>
    </row>
    <row r="41" spans="18:28" ht="12.75">
      <c r="R41" s="236">
        <f>+(R40-$AB$40)/$AB$40</f>
        <v>0.6147475874560925</v>
      </c>
      <c r="S41" s="236">
        <f aca="true" t="shared" si="14" ref="S41:AA41">+(S40-$AB$40)/$AB$40</f>
        <v>0.18201835795926458</v>
      </c>
      <c r="T41" s="236">
        <f t="shared" si="14"/>
        <v>0.01699546182618813</v>
      </c>
      <c r="U41" s="236">
        <f t="shared" si="14"/>
        <v>-0.07870726942628624</v>
      </c>
      <c r="V41" s="236">
        <f t="shared" si="14"/>
        <v>0.07613407778876545</v>
      </c>
      <c r="W41" s="236">
        <f t="shared" si="14"/>
        <v>-0.12954774632152713</v>
      </c>
      <c r="X41" s="236">
        <f t="shared" si="14"/>
        <v>-0.10256666856527752</v>
      </c>
      <c r="Y41" s="236">
        <f t="shared" si="14"/>
        <v>-0.11781346450708394</v>
      </c>
      <c r="Z41" s="236">
        <f t="shared" si="14"/>
        <v>-0.1116111694096749</v>
      </c>
      <c r="AA41" s="236">
        <f t="shared" si="14"/>
        <v>-0.069715849441522</v>
      </c>
      <c r="AB41" s="229"/>
    </row>
    <row r="42" spans="18:27" ht="12.75">
      <c r="R42" s="237"/>
      <c r="S42" s="237"/>
      <c r="T42" s="237"/>
      <c r="U42" s="237"/>
      <c r="V42" s="237"/>
      <c r="W42" s="237"/>
      <c r="X42" s="237"/>
      <c r="Y42" s="237"/>
      <c r="Z42" s="237"/>
      <c r="AA42" s="237"/>
    </row>
    <row r="58" ht="12.75">
      <c r="B58" s="62"/>
    </row>
  </sheetData>
  <sheetProtection/>
  <mergeCells count="3">
    <mergeCell ref="B2:M2"/>
    <mergeCell ref="B3:M3"/>
    <mergeCell ref="B4:M4"/>
  </mergeCells>
  <conditionalFormatting sqref="R40:AA40">
    <cfRule type="colorScale" priority="1" dxfId="0">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Y47"/>
  <sheetViews>
    <sheetView zoomScale="80" zoomScaleNormal="80" zoomScalePageLayoutView="90" workbookViewId="0" topLeftCell="A1">
      <selection activeCell="A1" sqref="A1"/>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200" customWidth="1"/>
    <col min="14" max="14" width="7.7109375" style="191" hidden="1" customWidth="1"/>
    <col min="15" max="15" width="10.8515625" style="200" customWidth="1"/>
    <col min="16" max="16" width="14.8515625" style="22" customWidth="1"/>
    <col min="17" max="16384" width="10.8515625" style="22" customWidth="1"/>
  </cols>
  <sheetData>
    <row r="1" ht="6.75" customHeight="1"/>
    <row r="2" spans="2:23" ht="12.75">
      <c r="B2" s="328" t="s">
        <v>59</v>
      </c>
      <c r="C2" s="328"/>
      <c r="D2" s="328"/>
      <c r="E2" s="328"/>
      <c r="F2" s="328"/>
      <c r="G2" s="328"/>
      <c r="H2" s="328"/>
      <c r="I2" s="328"/>
      <c r="J2" s="328"/>
      <c r="K2" s="122"/>
      <c r="L2" s="52" t="s">
        <v>153</v>
      </c>
      <c r="O2" s="295"/>
      <c r="P2" s="291"/>
      <c r="Q2" s="291"/>
      <c r="R2" s="291"/>
      <c r="S2" s="291"/>
      <c r="T2" s="291"/>
      <c r="U2" s="291"/>
      <c r="V2" s="291"/>
      <c r="W2" s="291"/>
    </row>
    <row r="3" spans="2:23" ht="12.75">
      <c r="B3" s="328" t="s">
        <v>106</v>
      </c>
      <c r="C3" s="328"/>
      <c r="D3" s="328"/>
      <c r="E3" s="328"/>
      <c r="F3" s="328"/>
      <c r="G3" s="328"/>
      <c r="H3" s="328"/>
      <c r="I3" s="328"/>
      <c r="J3" s="328"/>
      <c r="K3" s="122"/>
      <c r="O3" s="295"/>
      <c r="P3" s="291"/>
      <c r="Q3" s="291"/>
      <c r="R3" s="291"/>
      <c r="S3" s="291"/>
      <c r="T3" s="291"/>
      <c r="U3" s="291"/>
      <c r="V3" s="291"/>
      <c r="W3" s="291"/>
    </row>
    <row r="4" spans="2:23" ht="12.75">
      <c r="B4" s="328" t="s">
        <v>109</v>
      </c>
      <c r="C4" s="328"/>
      <c r="D4" s="328"/>
      <c r="E4" s="328"/>
      <c r="F4" s="328"/>
      <c r="G4" s="328"/>
      <c r="H4" s="328"/>
      <c r="I4" s="328"/>
      <c r="J4" s="328"/>
      <c r="K4" s="122"/>
      <c r="O4" s="295"/>
      <c r="P4" s="291"/>
      <c r="Q4" s="291"/>
      <c r="R4" s="291"/>
      <c r="S4" s="291"/>
      <c r="T4" s="291"/>
      <c r="U4" s="291"/>
      <c r="V4" s="291"/>
      <c r="W4" s="291"/>
    </row>
    <row r="5" spans="2:23" ht="15" customHeight="1">
      <c r="B5" s="333" t="s">
        <v>46</v>
      </c>
      <c r="C5" s="336" t="s">
        <v>67</v>
      </c>
      <c r="D5" s="337"/>
      <c r="E5" s="337"/>
      <c r="F5" s="338"/>
      <c r="G5" s="336" t="s">
        <v>68</v>
      </c>
      <c r="H5" s="337"/>
      <c r="I5" s="337"/>
      <c r="J5" s="338"/>
      <c r="K5" s="122"/>
      <c r="O5" s="295"/>
      <c r="P5" s="291"/>
      <c r="Q5" s="291"/>
      <c r="R5" s="291"/>
      <c r="S5" s="291"/>
      <c r="T5" s="291"/>
      <c r="U5" s="291"/>
      <c r="V5" s="291"/>
      <c r="W5" s="291"/>
    </row>
    <row r="6" spans="2:23" ht="12.75" customHeight="1">
      <c r="B6" s="334"/>
      <c r="C6" s="336" t="s">
        <v>45</v>
      </c>
      <c r="D6" s="337"/>
      <c r="E6" s="337" t="s">
        <v>44</v>
      </c>
      <c r="F6" s="338"/>
      <c r="G6" s="336" t="s">
        <v>45</v>
      </c>
      <c r="H6" s="337"/>
      <c r="I6" s="337" t="s">
        <v>44</v>
      </c>
      <c r="J6" s="338"/>
      <c r="K6" s="122"/>
      <c r="O6" s="295"/>
      <c r="P6" s="291"/>
      <c r="Q6" s="291"/>
      <c r="R6" s="291"/>
      <c r="S6" s="291"/>
      <c r="T6" s="291"/>
      <c r="U6" s="291"/>
      <c r="V6" s="291"/>
      <c r="W6" s="291"/>
    </row>
    <row r="7" spans="2:23" ht="21.75" customHeight="1">
      <c r="B7" s="335"/>
      <c r="C7" s="97">
        <v>2015</v>
      </c>
      <c r="D7" s="98">
        <v>2016</v>
      </c>
      <c r="E7" s="98" t="s">
        <v>43</v>
      </c>
      <c r="F7" s="99" t="s">
        <v>42</v>
      </c>
      <c r="G7" s="97">
        <f>+C7</f>
        <v>2015</v>
      </c>
      <c r="H7" s="98">
        <f>+D7</f>
        <v>2016</v>
      </c>
      <c r="I7" s="98" t="s">
        <v>43</v>
      </c>
      <c r="J7" s="99" t="s">
        <v>42</v>
      </c>
      <c r="K7" s="189"/>
      <c r="L7" s="191"/>
      <c r="O7" s="295"/>
      <c r="P7" s="291"/>
      <c r="Q7" s="291"/>
      <c r="R7" s="291"/>
      <c r="U7" s="291"/>
      <c r="V7" s="291"/>
      <c r="W7" s="291"/>
    </row>
    <row r="8" spans="2:23" ht="12.75" customHeight="1">
      <c r="B8" s="68" t="s">
        <v>41</v>
      </c>
      <c r="C8" s="94">
        <v>1057</v>
      </c>
      <c r="D8" s="81">
        <v>1409.25</v>
      </c>
      <c r="E8" s="95">
        <f>+(D8/C19-1)*100</f>
        <v>-5.419463087248322</v>
      </c>
      <c r="F8" s="96">
        <f aca="true" t="shared" si="0" ref="F8:F13">(D8/C8-1)*100</f>
        <v>33.32544938505204</v>
      </c>
      <c r="G8" s="81">
        <v>418</v>
      </c>
      <c r="H8" s="81">
        <v>475.75</v>
      </c>
      <c r="I8" s="95">
        <f>+(H8/G19-1)*100</f>
        <v>-15.49733570159858</v>
      </c>
      <c r="J8" s="96">
        <f aca="true" t="shared" si="1" ref="J8:J13">(H8/G8-1)*100</f>
        <v>13.815789473684204</v>
      </c>
      <c r="K8" s="95"/>
      <c r="N8" s="238">
        <f>+D8/H8-1</f>
        <v>1.9621650026274304</v>
      </c>
      <c r="O8" s="295"/>
      <c r="P8" s="291"/>
      <c r="Q8" s="291"/>
      <c r="R8" s="291"/>
      <c r="U8" s="291"/>
      <c r="V8" s="291"/>
      <c r="W8" s="291"/>
    </row>
    <row r="9" spans="2:25" ht="12.75" customHeight="1">
      <c r="B9" s="68" t="s">
        <v>40</v>
      </c>
      <c r="C9" s="94">
        <v>981</v>
      </c>
      <c r="D9" s="81">
        <v>1396</v>
      </c>
      <c r="E9" s="95">
        <f>+(D9/D8-1)*100</f>
        <v>-0.9402164271775759</v>
      </c>
      <c r="F9" s="96">
        <f t="shared" si="0"/>
        <v>42.303771661569826</v>
      </c>
      <c r="G9" s="81">
        <v>408</v>
      </c>
      <c r="H9" s="81">
        <v>439</v>
      </c>
      <c r="I9" s="95">
        <f>+(H9/H8-1)*100</f>
        <v>-7.724645296899634</v>
      </c>
      <c r="J9" s="96">
        <f t="shared" si="1"/>
        <v>7.59803921568627</v>
      </c>
      <c r="K9" s="95"/>
      <c r="N9" s="238">
        <f>+D9/H9-1</f>
        <v>2.1799544419134396</v>
      </c>
      <c r="O9" s="295"/>
      <c r="P9" s="291"/>
      <c r="Q9" s="291"/>
      <c r="R9" s="291"/>
      <c r="U9" s="291"/>
      <c r="V9" s="291"/>
      <c r="W9" s="291"/>
      <c r="Y9" s="190"/>
    </row>
    <row r="10" spans="2:23" ht="12.75" customHeight="1">
      <c r="B10" s="68" t="s">
        <v>39</v>
      </c>
      <c r="C10" s="94">
        <v>1002</v>
      </c>
      <c r="D10" s="81">
        <v>1197</v>
      </c>
      <c r="E10" s="95">
        <f>+(D10/D9-1)*100</f>
        <v>-14.255014326647563</v>
      </c>
      <c r="F10" s="96">
        <f t="shared" si="0"/>
        <v>19.46107784431137</v>
      </c>
      <c r="G10" s="81">
        <v>442</v>
      </c>
      <c r="H10" s="81">
        <v>435</v>
      </c>
      <c r="I10" s="95">
        <f>+(H10/H9-1)*100</f>
        <v>-0.9111617312072884</v>
      </c>
      <c r="J10" s="96">
        <f t="shared" si="1"/>
        <v>-1.5837104072398245</v>
      </c>
      <c r="K10" s="95"/>
      <c r="N10" s="238">
        <f aca="true" t="shared" si="2" ref="N10:N19">+D10/H10-1</f>
        <v>1.7517241379310344</v>
      </c>
      <c r="O10" s="295"/>
      <c r="P10" s="291"/>
      <c r="Q10" s="291"/>
      <c r="R10" s="291"/>
      <c r="U10" s="291"/>
      <c r="V10" s="291"/>
      <c r="W10" s="291"/>
    </row>
    <row r="11" spans="2:23" ht="12.75">
      <c r="B11" s="68" t="s">
        <v>38</v>
      </c>
      <c r="C11" s="94">
        <v>991</v>
      </c>
      <c r="D11" s="81">
        <v>1117</v>
      </c>
      <c r="E11" s="95">
        <f>+(D11/D10-1)*100</f>
        <v>-6.683375104427736</v>
      </c>
      <c r="F11" s="96">
        <f t="shared" si="0"/>
        <v>12.714429868819366</v>
      </c>
      <c r="G11" s="81">
        <v>482</v>
      </c>
      <c r="H11" s="81">
        <v>470</v>
      </c>
      <c r="I11" s="95">
        <f>+(H11/H10-1)*100</f>
        <v>8.045977011494255</v>
      </c>
      <c r="J11" s="96">
        <f t="shared" si="1"/>
        <v>-2.4896265560165998</v>
      </c>
      <c r="K11" s="95"/>
      <c r="N11" s="238">
        <f t="shared" si="2"/>
        <v>1.3765957446808512</v>
      </c>
      <c r="O11" s="295"/>
      <c r="P11" s="291"/>
      <c r="Q11" s="291"/>
      <c r="R11" s="291"/>
      <c r="U11" s="291"/>
      <c r="V11" s="291"/>
      <c r="W11" s="291"/>
    </row>
    <row r="12" spans="2:23" ht="12.75" customHeight="1">
      <c r="B12" s="68" t="s">
        <v>37</v>
      </c>
      <c r="C12" s="94">
        <v>970</v>
      </c>
      <c r="D12" s="81">
        <v>1090</v>
      </c>
      <c r="E12" s="95">
        <f>+(D12/D11-1)*100</f>
        <v>-2.4171888988361645</v>
      </c>
      <c r="F12" s="96">
        <f t="shared" si="0"/>
        <v>12.371134020618557</v>
      </c>
      <c r="G12" s="81">
        <v>479</v>
      </c>
      <c r="H12" s="81">
        <v>462</v>
      </c>
      <c r="I12" s="95">
        <f>+(H12/H11-1)*100</f>
        <v>-1.7021276595744705</v>
      </c>
      <c r="J12" s="96">
        <f t="shared" si="1"/>
        <v>-3.5490605427974997</v>
      </c>
      <c r="K12" s="95"/>
      <c r="N12" s="238">
        <f t="shared" si="2"/>
        <v>1.3593073593073592</v>
      </c>
      <c r="O12" s="295"/>
      <c r="P12" s="291"/>
      <c r="Q12" s="291"/>
      <c r="R12" s="291"/>
      <c r="U12" s="291"/>
      <c r="V12" s="291"/>
      <c r="W12" s="291"/>
    </row>
    <row r="13" spans="2:23" ht="12.75" customHeight="1">
      <c r="B13" s="68" t="s">
        <v>36</v>
      </c>
      <c r="C13" s="94">
        <v>954</v>
      </c>
      <c r="D13" s="81">
        <v>1136</v>
      </c>
      <c r="E13" s="95">
        <f>+(D13/D12-1)*100</f>
        <v>4.220183486238538</v>
      </c>
      <c r="F13" s="96">
        <f t="shared" si="0"/>
        <v>19.07756813417192</v>
      </c>
      <c r="G13" s="81">
        <v>455</v>
      </c>
      <c r="H13" s="81">
        <v>528</v>
      </c>
      <c r="I13" s="95">
        <f>+(H13/H12-1)*100</f>
        <v>14.28571428571428</v>
      </c>
      <c r="J13" s="96">
        <f t="shared" si="1"/>
        <v>16.043956043956054</v>
      </c>
      <c r="K13" s="95"/>
      <c r="M13" s="201"/>
      <c r="N13" s="238">
        <f t="shared" si="2"/>
        <v>1.1515151515151514</v>
      </c>
      <c r="O13" s="295"/>
      <c r="P13" s="291"/>
      <c r="Q13" s="291"/>
      <c r="R13" s="291"/>
      <c r="U13" s="291"/>
      <c r="V13" s="291"/>
      <c r="W13" s="291"/>
    </row>
    <row r="14" spans="2:23" ht="12.75">
      <c r="B14" s="68" t="s">
        <v>35</v>
      </c>
      <c r="C14" s="94">
        <v>974</v>
      </c>
      <c r="D14" s="81"/>
      <c r="E14" s="95"/>
      <c r="F14" s="96"/>
      <c r="G14" s="81">
        <v>525</v>
      </c>
      <c r="H14" s="81"/>
      <c r="I14" s="95"/>
      <c r="J14" s="96"/>
      <c r="K14" s="95"/>
      <c r="N14" s="238" t="e">
        <f t="shared" si="2"/>
        <v>#DIV/0!</v>
      </c>
      <c r="O14" s="295"/>
      <c r="P14" s="291"/>
      <c r="Q14" s="291"/>
      <c r="R14" s="291"/>
      <c r="U14" s="291"/>
      <c r="V14" s="291"/>
      <c r="W14" s="291"/>
    </row>
    <row r="15" spans="2:23" ht="13.5" customHeight="1">
      <c r="B15" s="68" t="s">
        <v>34</v>
      </c>
      <c r="C15" s="94">
        <v>1094</v>
      </c>
      <c r="D15" s="81"/>
      <c r="E15" s="95"/>
      <c r="F15" s="96"/>
      <c r="G15" s="81">
        <v>651</v>
      </c>
      <c r="H15" s="81"/>
      <c r="I15" s="95"/>
      <c r="J15" s="96"/>
      <c r="K15" s="95"/>
      <c r="N15" s="238" t="e">
        <f t="shared" si="2"/>
        <v>#DIV/0!</v>
      </c>
      <c r="O15" s="295"/>
      <c r="P15" s="291"/>
      <c r="Q15" s="291"/>
      <c r="R15" s="291"/>
      <c r="U15" s="291"/>
      <c r="V15" s="291"/>
      <c r="W15" s="291"/>
    </row>
    <row r="16" spans="2:23" ht="12.75">
      <c r="B16" s="68" t="s">
        <v>33</v>
      </c>
      <c r="C16" s="94">
        <v>1299</v>
      </c>
      <c r="D16" s="81"/>
      <c r="E16" s="95"/>
      <c r="F16" s="96"/>
      <c r="G16" s="81">
        <v>624</v>
      </c>
      <c r="H16" s="81"/>
      <c r="I16" s="95"/>
      <c r="J16" s="96"/>
      <c r="K16" s="95"/>
      <c r="N16" s="238" t="e">
        <f t="shared" si="2"/>
        <v>#DIV/0!</v>
      </c>
      <c r="O16" s="295"/>
      <c r="P16" s="291"/>
      <c r="Q16" s="291"/>
      <c r="R16" s="291"/>
      <c r="U16" s="291"/>
      <c r="V16" s="291"/>
      <c r="W16" s="291"/>
    </row>
    <row r="17" spans="2:23" ht="12.75" customHeight="1">
      <c r="B17" s="68" t="s">
        <v>32</v>
      </c>
      <c r="C17" s="94">
        <v>1367</v>
      </c>
      <c r="D17" s="81"/>
      <c r="E17" s="95"/>
      <c r="F17" s="96"/>
      <c r="G17" s="81">
        <v>693</v>
      </c>
      <c r="H17" s="81"/>
      <c r="I17" s="95"/>
      <c r="J17" s="96"/>
      <c r="K17" s="95"/>
      <c r="N17" s="238" t="e">
        <f t="shared" si="2"/>
        <v>#DIV/0!</v>
      </c>
      <c r="O17" s="295"/>
      <c r="Q17" s="291"/>
      <c r="U17" s="291"/>
      <c r="V17" s="291"/>
      <c r="W17" s="291"/>
    </row>
    <row r="18" spans="2:23" ht="12.75">
      <c r="B18" s="68" t="s">
        <v>31</v>
      </c>
      <c r="C18" s="94">
        <v>1468</v>
      </c>
      <c r="D18" s="81"/>
      <c r="E18" s="95"/>
      <c r="F18" s="96"/>
      <c r="G18" s="81">
        <v>666</v>
      </c>
      <c r="H18" s="81"/>
      <c r="I18" s="95"/>
      <c r="J18" s="96"/>
      <c r="K18" s="95"/>
      <c r="N18" s="238" t="e">
        <f t="shared" si="2"/>
        <v>#DIV/0!</v>
      </c>
      <c r="O18" s="295"/>
      <c r="Q18" s="291"/>
      <c r="U18" s="291"/>
      <c r="V18" s="291"/>
      <c r="W18" s="291"/>
    </row>
    <row r="19" spans="2:19" ht="12.75">
      <c r="B19" s="68" t="s">
        <v>30</v>
      </c>
      <c r="C19" s="94">
        <v>1490</v>
      </c>
      <c r="D19" s="81"/>
      <c r="E19" s="95"/>
      <c r="F19" s="96"/>
      <c r="G19" s="81">
        <v>563</v>
      </c>
      <c r="H19" s="81"/>
      <c r="I19" s="95"/>
      <c r="J19" s="96"/>
      <c r="K19" s="95"/>
      <c r="N19" s="238" t="e">
        <f t="shared" si="2"/>
        <v>#DIV/0!</v>
      </c>
      <c r="O19" s="295"/>
      <c r="Q19" s="291"/>
      <c r="S19" s="291"/>
    </row>
    <row r="20" spans="2:19" ht="12.75">
      <c r="B20" s="166" t="s">
        <v>69</v>
      </c>
      <c r="C20" s="168">
        <f>AVERAGE(C8:C19)</f>
        <v>1137.25</v>
      </c>
      <c r="D20" s="169">
        <f>AVERAGE(D8:D19)</f>
        <v>1224.2083333333333</v>
      </c>
      <c r="E20" s="170"/>
      <c r="F20" s="171"/>
      <c r="G20" s="168">
        <f>AVERAGE(G8:G19)</f>
        <v>533.8333333333334</v>
      </c>
      <c r="H20" s="169">
        <f>AVERAGE(H8:H19)</f>
        <v>468.2916666666667</v>
      </c>
      <c r="I20" s="172"/>
      <c r="J20" s="171"/>
      <c r="K20" s="95"/>
      <c r="O20" s="295"/>
      <c r="Q20" s="291"/>
      <c r="S20" s="291"/>
    </row>
    <row r="21" spans="2:15" ht="12.75" customHeight="1">
      <c r="B21" s="167" t="str">
        <f>+'precio mayorista'!B21</f>
        <v>Promedio simple en 2016 a la fecha**</v>
      </c>
      <c r="C21" s="173">
        <f>AVERAGE(C8:C13)</f>
        <v>992.5</v>
      </c>
      <c r="D21" s="174">
        <f>AVERAGE(D8:D19)</f>
        <v>1224.2083333333333</v>
      </c>
      <c r="E21" s="175"/>
      <c r="F21" s="176">
        <f>(D21/C21-1)*100</f>
        <v>23.345927791771604</v>
      </c>
      <c r="G21" s="173">
        <f>AVERAGE(G8:G13)</f>
        <v>447.3333333333333</v>
      </c>
      <c r="H21" s="174">
        <f>AVERAGE(H8:H19)</f>
        <v>468.2916666666667</v>
      </c>
      <c r="I21" s="177"/>
      <c r="J21" s="176">
        <f>(H21/G21-1)*100</f>
        <v>4.6851713859910715</v>
      </c>
      <c r="K21" s="95"/>
      <c r="O21" s="295"/>
    </row>
    <row r="22" spans="2:15" ht="12.75">
      <c r="B22" s="332" t="s">
        <v>188</v>
      </c>
      <c r="C22" s="332"/>
      <c r="D22" s="332"/>
      <c r="E22" s="332"/>
      <c r="F22" s="332"/>
      <c r="G22" s="332"/>
      <c r="H22" s="332"/>
      <c r="I22" s="332"/>
      <c r="J22" s="332"/>
      <c r="K22" s="123"/>
      <c r="O22" s="295"/>
    </row>
    <row r="23" ht="12.75">
      <c r="O23" s="295"/>
    </row>
    <row r="24" spans="4:15" ht="12.75">
      <c r="D24" s="158" t="s">
        <v>67</v>
      </c>
      <c r="E24" s="158" t="s">
        <v>68</v>
      </c>
      <c r="O24" s="295"/>
    </row>
    <row r="25" spans="3:23" ht="12.75">
      <c r="C25" s="160">
        <v>41913</v>
      </c>
      <c r="D25" s="159">
        <v>939</v>
      </c>
      <c r="E25" s="159">
        <v>456</v>
      </c>
      <c r="O25" s="295"/>
      <c r="P25" s="291"/>
      <c r="Q25" s="291"/>
      <c r="R25" s="291"/>
      <c r="S25" s="291"/>
      <c r="T25" s="291"/>
      <c r="U25" s="291"/>
      <c r="V25" s="291"/>
      <c r="W25" s="291"/>
    </row>
    <row r="26" spans="3:23" ht="12.75">
      <c r="C26" s="160">
        <v>41944</v>
      </c>
      <c r="D26" s="159">
        <v>1081</v>
      </c>
      <c r="E26" s="159">
        <v>418</v>
      </c>
      <c r="O26" s="295"/>
      <c r="P26" s="291"/>
      <c r="Q26" s="291"/>
      <c r="R26" s="291"/>
      <c r="S26" s="291"/>
      <c r="T26" s="291"/>
      <c r="U26" s="291"/>
      <c r="V26" s="291"/>
      <c r="W26" s="291"/>
    </row>
    <row r="27" spans="3:23" ht="12.75">
      <c r="C27" s="160">
        <v>41974</v>
      </c>
      <c r="D27" s="159">
        <v>1071</v>
      </c>
      <c r="E27" s="159">
        <v>421</v>
      </c>
      <c r="O27" s="295"/>
      <c r="P27" s="291"/>
      <c r="Q27" s="291"/>
      <c r="R27" s="291"/>
      <c r="S27" s="291"/>
      <c r="T27" s="291"/>
      <c r="U27" s="291"/>
      <c r="V27" s="291"/>
      <c r="W27" s="291"/>
    </row>
    <row r="28" spans="3:23" ht="12.75">
      <c r="C28" s="160">
        <v>42005</v>
      </c>
      <c r="D28" s="159">
        <f aca="true" t="shared" si="3" ref="D28:D39">+C8</f>
        <v>1057</v>
      </c>
      <c r="E28" s="159">
        <f aca="true" t="shared" si="4" ref="E28:E39">+G8</f>
        <v>418</v>
      </c>
      <c r="O28" s="295"/>
      <c r="P28" s="291"/>
      <c r="Q28" s="291"/>
      <c r="R28" s="291"/>
      <c r="S28" s="291"/>
      <c r="T28" s="291"/>
      <c r="U28" s="291"/>
      <c r="V28" s="291"/>
      <c r="W28" s="291"/>
    </row>
    <row r="29" spans="3:23" ht="12.75">
      <c r="C29" s="160">
        <v>42036</v>
      </c>
      <c r="D29" s="159">
        <f t="shared" si="3"/>
        <v>981</v>
      </c>
      <c r="E29" s="159">
        <f t="shared" si="4"/>
        <v>408</v>
      </c>
      <c r="O29" s="295"/>
      <c r="P29" s="291"/>
      <c r="Q29" s="291"/>
      <c r="R29" s="291"/>
      <c r="S29" s="291"/>
      <c r="T29" s="291"/>
      <c r="U29" s="291"/>
      <c r="V29" s="291"/>
      <c r="W29" s="291"/>
    </row>
    <row r="30" spans="3:23" ht="12.75">
      <c r="C30" s="160">
        <v>42064</v>
      </c>
      <c r="D30" s="159">
        <f t="shared" si="3"/>
        <v>1002</v>
      </c>
      <c r="E30" s="159">
        <f t="shared" si="4"/>
        <v>442</v>
      </c>
      <c r="O30" s="295"/>
      <c r="P30" s="291"/>
      <c r="Q30" s="291"/>
      <c r="R30" s="291"/>
      <c r="S30" s="291"/>
      <c r="T30" s="291"/>
      <c r="U30" s="291"/>
      <c r="V30" s="291"/>
      <c r="W30" s="291"/>
    </row>
    <row r="31" spans="3:23" ht="12.75">
      <c r="C31" s="160">
        <v>42095</v>
      </c>
      <c r="D31" s="159">
        <f t="shared" si="3"/>
        <v>991</v>
      </c>
      <c r="E31" s="159">
        <f t="shared" si="4"/>
        <v>482</v>
      </c>
      <c r="O31" s="295"/>
      <c r="P31" s="291"/>
      <c r="Q31" s="291"/>
      <c r="R31" s="291"/>
      <c r="S31" s="291"/>
      <c r="T31" s="291"/>
      <c r="U31" s="291"/>
      <c r="V31" s="291"/>
      <c r="W31" s="291"/>
    </row>
    <row r="32" spans="3:23" ht="12.75">
      <c r="C32" s="160">
        <v>42125</v>
      </c>
      <c r="D32" s="159">
        <f t="shared" si="3"/>
        <v>970</v>
      </c>
      <c r="E32" s="159">
        <f t="shared" si="4"/>
        <v>479</v>
      </c>
      <c r="O32" s="295"/>
      <c r="P32" s="291"/>
      <c r="Q32" s="291"/>
      <c r="R32" s="291"/>
      <c r="S32" s="291"/>
      <c r="T32" s="291"/>
      <c r="U32" s="291"/>
      <c r="V32" s="291"/>
      <c r="W32" s="291"/>
    </row>
    <row r="33" spans="3:23" ht="12.75">
      <c r="C33" s="160">
        <v>42156</v>
      </c>
      <c r="D33" s="159">
        <f t="shared" si="3"/>
        <v>954</v>
      </c>
      <c r="E33" s="159">
        <f t="shared" si="4"/>
        <v>455</v>
      </c>
      <c r="O33" s="295"/>
      <c r="P33" s="291"/>
      <c r="Q33" s="291"/>
      <c r="R33" s="291"/>
      <c r="S33" s="291"/>
      <c r="T33" s="291"/>
      <c r="U33" s="291"/>
      <c r="V33" s="291"/>
      <c r="W33" s="291"/>
    </row>
    <row r="34" spans="3:23" ht="12.75">
      <c r="C34" s="160">
        <v>42186</v>
      </c>
      <c r="D34" s="159">
        <f t="shared" si="3"/>
        <v>974</v>
      </c>
      <c r="E34" s="159">
        <f t="shared" si="4"/>
        <v>525</v>
      </c>
      <c r="O34" s="295"/>
      <c r="P34" s="291"/>
      <c r="Q34" s="291"/>
      <c r="R34" s="291"/>
      <c r="S34" s="291"/>
      <c r="T34" s="291"/>
      <c r="U34" s="291"/>
      <c r="V34" s="291"/>
      <c r="W34" s="291"/>
    </row>
    <row r="35" spans="3:23" ht="12.75">
      <c r="C35" s="160">
        <v>42217</v>
      </c>
      <c r="D35" s="159">
        <f t="shared" si="3"/>
        <v>1094</v>
      </c>
      <c r="E35" s="159">
        <f t="shared" si="4"/>
        <v>651</v>
      </c>
      <c r="O35" s="295"/>
      <c r="P35" s="291"/>
      <c r="Q35" s="291"/>
      <c r="R35" s="291"/>
      <c r="S35" s="291"/>
      <c r="T35" s="291"/>
      <c r="U35" s="291"/>
      <c r="V35" s="291"/>
      <c r="W35" s="291"/>
    </row>
    <row r="36" spans="3:23" ht="12.75">
      <c r="C36" s="160">
        <v>42248</v>
      </c>
      <c r="D36" s="159">
        <f t="shared" si="3"/>
        <v>1299</v>
      </c>
      <c r="E36" s="159">
        <f t="shared" si="4"/>
        <v>624</v>
      </c>
      <c r="O36" s="295"/>
      <c r="P36" s="291"/>
      <c r="Q36" s="291"/>
      <c r="R36" s="291"/>
      <c r="S36" s="291"/>
      <c r="T36" s="291"/>
      <c r="U36" s="291"/>
      <c r="V36" s="291"/>
      <c r="W36" s="291"/>
    </row>
    <row r="37" spans="3:23" ht="12.75">
      <c r="C37" s="160">
        <v>42278</v>
      </c>
      <c r="D37" s="159">
        <f t="shared" si="3"/>
        <v>1367</v>
      </c>
      <c r="E37" s="159">
        <f t="shared" si="4"/>
        <v>693</v>
      </c>
      <c r="O37" s="295"/>
      <c r="P37" s="291"/>
      <c r="Q37" s="291"/>
      <c r="R37" s="291"/>
      <c r="S37" s="291"/>
      <c r="T37" s="291"/>
      <c r="U37" s="291"/>
      <c r="V37" s="291"/>
      <c r="W37" s="291"/>
    </row>
    <row r="38" spans="3:23" ht="12.75">
      <c r="C38" s="160">
        <v>42309</v>
      </c>
      <c r="D38" s="159">
        <f t="shared" si="3"/>
        <v>1468</v>
      </c>
      <c r="E38" s="159">
        <f t="shared" si="4"/>
        <v>666</v>
      </c>
      <c r="O38" s="295"/>
      <c r="P38" s="291"/>
      <c r="Q38" s="291"/>
      <c r="R38" s="291"/>
      <c r="S38" s="291"/>
      <c r="T38" s="291"/>
      <c r="U38" s="291"/>
      <c r="V38" s="291"/>
      <c r="W38" s="291"/>
    </row>
    <row r="39" spans="3:23" ht="12.75">
      <c r="C39" s="160">
        <v>42339</v>
      </c>
      <c r="D39" s="159">
        <f t="shared" si="3"/>
        <v>1490</v>
      </c>
      <c r="E39" s="159">
        <f t="shared" si="4"/>
        <v>563</v>
      </c>
      <c r="O39" s="295"/>
      <c r="P39" s="291"/>
      <c r="Q39" s="291"/>
      <c r="R39" s="291"/>
      <c r="S39" s="291"/>
      <c r="T39" s="291"/>
      <c r="U39" s="291"/>
      <c r="V39" s="291"/>
      <c r="W39" s="291"/>
    </row>
    <row r="40" spans="3:16" ht="12.75">
      <c r="C40" s="214">
        <v>42370</v>
      </c>
      <c r="D40" s="58">
        <f aca="true" t="shared" si="5" ref="D40:D45">+D8</f>
        <v>1409.25</v>
      </c>
      <c r="E40" s="58">
        <f aca="true" t="shared" si="6" ref="E40:E45">+H8</f>
        <v>475.75</v>
      </c>
      <c r="P40" s="218"/>
    </row>
    <row r="41" spans="3:16" ht="12.75">
      <c r="C41" s="214">
        <v>42401</v>
      </c>
      <c r="D41" s="58">
        <f t="shared" si="5"/>
        <v>1396</v>
      </c>
      <c r="E41" s="58">
        <f t="shared" si="6"/>
        <v>439</v>
      </c>
      <c r="P41" s="218"/>
    </row>
    <row r="42" spans="3:5" ht="12.75">
      <c r="C42" s="214">
        <v>42430</v>
      </c>
      <c r="D42" s="58">
        <f t="shared" si="5"/>
        <v>1197</v>
      </c>
      <c r="E42" s="58">
        <f t="shared" si="6"/>
        <v>435</v>
      </c>
    </row>
    <row r="43" spans="3:5" ht="12.75">
      <c r="C43" s="214">
        <v>42461</v>
      </c>
      <c r="D43" s="58">
        <f t="shared" si="5"/>
        <v>1117</v>
      </c>
      <c r="E43" s="58">
        <f t="shared" si="6"/>
        <v>470</v>
      </c>
    </row>
    <row r="44" spans="3:5" ht="12.75">
      <c r="C44" s="214">
        <v>42491</v>
      </c>
      <c r="D44" s="58">
        <f t="shared" si="5"/>
        <v>1090</v>
      </c>
      <c r="E44" s="58">
        <f t="shared" si="6"/>
        <v>462</v>
      </c>
    </row>
    <row r="45" spans="3:5" ht="12.75">
      <c r="C45" s="214">
        <v>42522</v>
      </c>
      <c r="D45" s="58">
        <f t="shared" si="5"/>
        <v>1136</v>
      </c>
      <c r="E45" s="58">
        <f t="shared" si="6"/>
        <v>528</v>
      </c>
    </row>
    <row r="46" ht="12.75">
      <c r="B46" s="55"/>
    </row>
    <row r="47" ht="12.75">
      <c r="E47" s="58"/>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0" r:id="rId2"/>
  <headerFooter differentFirst="1">
    <oddFooter>&amp;C&amp;P</oddFooter>
  </headerFooter>
  <ignoredErrors>
    <ignoredError sqref="C20 E20:G20 D20 D21 H21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2016-07-19T16:48:04Z</cp:lastPrinted>
  <dcterms:created xsi:type="dcterms:W3CDTF">2011-10-13T14:46:36Z</dcterms:created>
  <dcterms:modified xsi:type="dcterms:W3CDTF">2018-10-26T19:19:32Z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