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1340" windowHeight="9255"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 r:id="rId21"/>
    <externalReference r:id="rId22"/>
  </externalReferences>
  <definedNames>
    <definedName name="_xlfn.AVERAGEIF" hidden="1">#NAME?</definedName>
    <definedName name="_xlfn.STDEV.S" hidden="1">#NAME?</definedName>
    <definedName name="_xlnm.Print_Area" localSheetId="1">'colofón'!$A$1:$I$44</definedName>
    <definedName name="_xlnm.Print_Area" localSheetId="4">'Comentarios'!$B$2:$J$8</definedName>
    <definedName name="_xlnm.Print_Area" localSheetId="15">'export'!$B$2:$K$41</definedName>
    <definedName name="_xlnm.Print_Area" localSheetId="16">'import'!$B$2:$K$94</definedName>
    <definedName name="_xlnm.Print_Area" localSheetId="3">'Índice'!$A$1:$E$45</definedName>
    <definedName name="_xlnm.Print_Area" localSheetId="2">'Introducción'!$A$1:$J$44</definedName>
    <definedName name="_xlnm.Print_Area" localSheetId="0">'Portada'!$A$1:$I$44</definedName>
    <definedName name="_xlnm.Print_Area" localSheetId="5">'precio mayorista'!$A$1:$H$42</definedName>
    <definedName name="_xlnm.Print_Area" localSheetId="6">'precio mayorista2'!$A$1:$M$57</definedName>
    <definedName name="_xlnm.Print_Area" localSheetId="7">'precio mayorista3'!$A$2:$N$61</definedName>
    <definedName name="_xlnm.Print_Area" localSheetId="8">'precio minorista'!$B$2:$K$46</definedName>
    <definedName name="_xlnm.Print_Area" localSheetId="9">'precio minorista regiones'!$B$2:$S$60</definedName>
    <definedName name="_xlnm.Print_Area" localSheetId="12">'prod región'!$A$1:$M$49</definedName>
    <definedName name="_xlnm.Print_Area" localSheetId="13">'rend región'!$A$1:$M$48</definedName>
    <definedName name="_xlnm.Print_Area" localSheetId="11">'sup región'!$A$1:$M$46</definedName>
    <definedName name="_xlnm.Print_Area" localSheetId="10">'sup, prod y rend'!$A$1:$H$49</definedName>
    <definedName name="TDclase">'[1]TD clase'!$A$5:$G$6</definedName>
  </definedNames>
  <calcPr fullCalcOnLoad="1"/>
</workbook>
</file>

<file path=xl/sharedStrings.xml><?xml version="1.0" encoding="utf-8"?>
<sst xmlns="http://schemas.openxmlformats.org/spreadsheetml/2006/main" count="626" uniqueCount="266">
  <si>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</si>
  <si>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</si>
  <si>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</si>
  <si>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</si>
  <si>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</si>
  <si>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</si>
  <si>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</si>
  <si>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</si>
  <si>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</si>
  <si>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</si>
  <si>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</si>
  <si>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</si>
  <si>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</si>
  <si>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</si>
  <si>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</si>
  <si>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</si>
  <si>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</si>
  <si>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</si>
  <si>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</si>
  <si>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</si>
  <si>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</si>
  <si>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</si>
  <si>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</si>
  <si>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</si>
  <si>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</si>
  <si>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</si>
  <si>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</si>
  <si>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</si>
  <si>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</si>
  <si>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</si>
  <si>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</si>
  <si>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</si>
  <si>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</si>
  <si>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</si>
  <si>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</si>
  <si>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</si>
  <si>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</si>
  <si>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</si>
  <si>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</si>
  <si>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</si>
  <si>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</si>
  <si>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</si>
  <si>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</si>
  <si>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</si>
  <si>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</si>
  <si>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</si>
  <si>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</si>
  <si>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</si>
  <si>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</si>
  <si>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</si>
  <si>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</si>
  <si>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</si>
  <si>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</si>
  <si>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</si>
  <si>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</si>
  <si>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</si>
  <si>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</si>
  <si>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</si>
  <si>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</si>
  <si>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</si>
  <si>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</si>
  <si>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</si>
  <si>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</si>
  <si>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</si>
  <si>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</si>
  <si>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</si>
  <si>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</si>
  <si>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</si>
  <si>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</si>
  <si>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</si>
  <si>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</si>
  <si>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</si>
  <si>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</si>
  <si>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</si>
  <si>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</si>
  <si>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</si>
  <si>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</si>
  <si>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</si>
  <si>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</si>
  <si>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</si>
  <si>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</si>
  <si>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</si>
  <si>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</si>
  <si>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</si>
  <si>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</si>
  <si>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</si>
  <si>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</si>
  <si>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</si>
  <si>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</si>
  <si>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</si>
  <si>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</si>
  <si>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</si>
  <si>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</si>
  <si>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</si>
  <si>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</si>
  <si>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</si>
  <si>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</si>
  <si>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</si>
  <si>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</si>
  <si>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</si>
  <si>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</si>
  <si>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</si>
  <si>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</si>
  <si>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</si>
  <si>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</si>
  <si>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</si>
  <si>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</si>
  <si>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</si>
  <si>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</si>
  <si>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</si>
  <si>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</si>
  <si>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</si>
  <si>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</si>
  <si>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</si>
  <si>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</si>
  <si>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</si>
  <si>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</si>
  <si>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</si>
  <si>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</si>
  <si>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</si>
  <si>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</si>
  <si>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</si>
  <si>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</si>
  <si>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</si>
  <si>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</si>
  <si>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</si>
  <si>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</si>
  <si>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</si>
  <si>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</si>
  <si>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</si>
  <si>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</si>
  <si>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</si>
  <si>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</si>
  <si>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</si>
  <si>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</si>
  <si>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</si>
  <si>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</si>
  <si>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</si>
  <si>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</si>
  <si>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</si>
  <si>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</si>
  <si>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</si>
  <si>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</si>
  <si>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</si>
  <si>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</si>
  <si>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</si>
  <si>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</si>
  <si>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</si>
  <si>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</si>
  <si>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</si>
  <si>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</si>
  <si>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</si>
  <si>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</si>
  <si>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</si>
  <si>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</si>
  <si>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</si>
  <si>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</si>
  <si>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</si>
  <si>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</si>
  <si>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</si>
  <si>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</si>
  <si>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</si>
  <si>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</si>
  <si>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</si>
  <si>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</si>
  <si>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</si>
  <si>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</si>
  <si>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</si>
  <si>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</si>
  <si>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</si>
  <si>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</si>
  <si>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</si>
  <si>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</si>
  <si>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</si>
  <si>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</si>
  <si>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</si>
  <si>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</si>
  <si>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</si>
  <si>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</si>
  <si>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</si>
  <si>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</si>
  <si>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</si>
  <si>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</si>
  <si>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</si>
  <si>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</si>
  <si>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</si>
  <si>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</si>
  <si>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</si>
  <si>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</si>
  <si>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</si>
  <si>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</si>
  <si>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</si>
  <si>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t>2015/16*</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</si>
  <si>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</si>
  <si>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</si>
  <si>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</si>
  <si>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</si>
  <si>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variacion entre FL y S</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</si>
  <si>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</si>
  <si>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</si>
  <si>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</si>
  <si>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</si>
  <si>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</si>
  <si>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</si>
  <si>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2015</t>
  </si>
  <si>
    <t>Vol</t>
  </si>
  <si>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</si>
  <si>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</si>
  <si>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</si>
  <si>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</si>
  <si>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Este boletín se publica mensualmente, con información de mercado nacional y de comercio exterior, relacionada con la papa.</t>
  </si>
  <si>
    <t>Malasia</t>
  </si>
  <si>
    <t>comparación S con respecto a FL</t>
  </si>
  <si>
    <t>PX 15</t>
  </si>
  <si>
    <t>PX 16</t>
  </si>
  <si>
    <t>Comercio exterior papa fresca y procesada</t>
  </si>
  <si>
    <t>Exportaciones chilenas de papa fresca y procesada, por producto y país de destino</t>
  </si>
  <si>
    <t>Importaciones chilenas de papa fresca y procesada, por producto y país de origen</t>
  </si>
  <si>
    <t>Promedio simple en 2016 a la fecha**</t>
  </si>
  <si>
    <t>*: El rendimiento 2015/16 corresponde al promedio del rendimiento de las últimas tres temporadas.</t>
  </si>
  <si>
    <t>2015/16</t>
  </si>
  <si>
    <t>Tailandia</t>
  </si>
  <si>
    <t>Promedio $ S</t>
  </si>
  <si>
    <t>Promedio $ FL</t>
  </si>
  <si>
    <t>*: La producción se estimó usando el promedio del rendimiento regional de las ultimas tres temporadas</t>
  </si>
  <si>
    <r>
      <rPr>
        <i/>
        <sz val="10"/>
        <color indexed="8"/>
        <rFont val="Arial"/>
        <family val="2"/>
      </rPr>
      <t>Fuente</t>
    </r>
    <r>
      <rPr>
        <sz val="10"/>
        <color indexed="8"/>
        <rFont val="Arial"/>
        <family val="2"/>
      </rPr>
      <t>: Odepa. Se considera el precio promedio de la primera calidad de distintas variedades.</t>
    </r>
  </si>
  <si>
    <r>
      <t xml:space="preserve">3. </t>
    </r>
    <r>
      <rPr>
        <u val="single"/>
        <sz val="10"/>
        <rFont val="Arial"/>
        <family val="2"/>
      </rPr>
      <t>Superficie, producción y rendimiento: se mantiene la superficie nacional</t>
    </r>
    <r>
      <rPr>
        <sz val="10"/>
        <rFont val="Arial"/>
        <family val="2"/>
      </rPr>
      <t xml:space="preserve">
La encuesta del INE sobre estimación de siembra de cultivos anuales para la temporada 2015/16 indica que en Chile se plantaron 53.485 hectáreas de papas, lo que representa un aumento de 5,9% en la superficie nacional para la papa en comparación con la temporada 2014/15. Se estima que el rendimiento debería superar el registrado en el año pasado. Suponiendo un rendimiento 2015/16 de 21,4 ton/ha (promedio de las tres temporadas anteriores), la producción nacional llegaría a 1,14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t>
    </r>
    <r>
      <rPr>
        <sz val="10"/>
        <color indexed="10"/>
        <rFont val="Arial"/>
        <family val="2"/>
      </rPr>
      <t xml:space="preserve"> </t>
    </r>
    <r>
      <rPr>
        <sz val="10"/>
        <rFont val="Arial"/>
        <family val="2"/>
      </rPr>
      <t>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se estima que éstos se mantienen similares al promedio de las últimas 3 temporadas, con lo que se mejora la situación ocurrida en la temporada anterior 2014/15, donde los problemas de baja pluviometría afectaron el rendimiento nacional (cuadros 8 y 9).</t>
    </r>
  </si>
  <si>
    <t>Junio 2016</t>
  </si>
  <si>
    <t>Fecha de publicación: 2015 Region Metropolitana, 2013 Maule y Biobío</t>
  </si>
  <si>
    <t>Mano de obra</t>
  </si>
  <si>
    <t>Maquinaria</t>
  </si>
  <si>
    <t>Insumos</t>
  </si>
  <si>
    <t>Total costos</t>
  </si>
  <si>
    <t xml:space="preserve">Ingreso por hectárea </t>
  </si>
  <si>
    <t>Margen neto por hectárea</t>
  </si>
  <si>
    <t>Rendimiento (Kg/ha)</t>
  </si>
  <si>
    <t>Notas:</t>
  </si>
  <si>
    <t>(2) Corresponde al costo financiero, y equivale a 1,5% mensual simple. Tasa de interés promedio de las empresas distribuidoras de insumos.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</si>
  <si>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</si>
  <si>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</si>
  <si>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</si>
  <si>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</si>
  <si>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Cuadro 10. Costos por hectárea según rendimiento esperado ($/ha) </t>
    </r>
    <r>
      <rPr>
        <b/>
        <vertAlign val="superscript"/>
        <sz val="10"/>
        <rFont val="Arial"/>
        <family val="2"/>
      </rPr>
      <t>1</t>
    </r>
  </si>
  <si>
    <r>
      <t xml:space="preserve">Region Metropolitana 
</t>
    </r>
    <r>
      <rPr>
        <sz val="10"/>
        <rFont val="Arial"/>
        <family val="2"/>
      </rPr>
      <t>Variedad Asterix
Papa Cuaresmera o Guarda</t>
    </r>
  </si>
  <si>
    <r>
      <t xml:space="preserve">Maule 
</t>
    </r>
    <r>
      <rPr>
        <sz val="10"/>
        <rFont val="Arial"/>
        <family val="2"/>
      </rPr>
      <t>Variedad Desirée
Papa Guarda</t>
    </r>
  </si>
  <si>
    <r>
      <t xml:space="preserve">Biobío
</t>
    </r>
    <r>
      <rPr>
        <sz val="10"/>
        <rFont val="Arial"/>
        <family val="2"/>
      </rPr>
      <t>Variedad Desirée
Papa Guarda</t>
    </r>
  </si>
  <si>
    <r>
      <t xml:space="preserve">Otros costos </t>
    </r>
    <r>
      <rPr>
        <b/>
        <vertAlign val="superscript"/>
        <sz val="10"/>
        <rFont val="Arial"/>
        <family val="2"/>
      </rPr>
      <t>2</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</si>
  <si>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</si>
  <si>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t>Precio ($/kg)</t>
    </r>
    <r>
      <rPr>
        <b/>
        <vertAlign val="superscript"/>
        <sz val="10"/>
        <rFont val="Arial"/>
        <family val="2"/>
      </rPr>
      <t>3</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</si>
  <si>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</si>
  <si>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</si>
  <si>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</si>
  <si>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</si>
  <si>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(1) Las fichas completas por región se encuentran publicadas en el sitio web www.odepa.cl/rubro/papas-y-tuberculos</t>
  </si>
  <si>
    <t>(4) Este análisis entrega margenes netos bajo tres escenarios diferentes de precio y rendimiento de la papa.</t>
  </si>
  <si>
    <t>Costo Unitario mínimo ($/kg)</t>
  </si>
  <si>
    <r>
      <t xml:space="preserve">(3) El precio de la papa utilizado corresponde al precio promedio mayorista regional durante </t>
    </r>
    <r>
      <rPr>
        <sz val="10"/>
        <color indexed="10"/>
        <rFont val="Arial"/>
        <family val="2"/>
      </rPr>
      <t>mayo</t>
    </r>
    <r>
      <rPr>
        <sz val="10"/>
        <color indexed="8"/>
        <rFont val="Arial"/>
        <family val="2"/>
      </rPr>
      <t xml:space="preserve"> de 2016.</t>
    </r>
  </si>
  <si>
    <r>
      <t xml:space="preserve">Punto de Equilibrio (Región Metropolitana) </t>
    </r>
    <r>
      <rPr>
        <b/>
        <vertAlign val="superscript"/>
        <sz val="10"/>
        <color indexed="9"/>
        <rFont val="Arial"/>
        <family val="2"/>
      </rPr>
      <t>5</t>
    </r>
  </si>
  <si>
    <t>ene-may 2015</t>
  </si>
  <si>
    <t>ene-may 2016</t>
  </si>
  <si>
    <r>
      <t>Información de mercado nacional y comercio exterior hasta mayo</t>
    </r>
    <r>
      <rPr>
        <sz val="11"/>
        <color indexed="8"/>
        <rFont val="Arial"/>
        <family val="2"/>
      </rPr>
      <t xml:space="preserve"> de 2016</t>
    </r>
  </si>
  <si>
    <t>promedio precios del mes por var</t>
  </si>
  <si>
    <r>
      <t xml:space="preserve">1. </t>
    </r>
    <r>
      <rPr>
        <u val="single"/>
        <sz val="10"/>
        <rFont val="Arial"/>
        <family val="2"/>
      </rPr>
      <t>Precios de la papa en mercados mayoristas:</t>
    </r>
    <r>
      <rPr>
        <u val="single"/>
        <sz val="10"/>
        <color indexed="8"/>
        <rFont val="Arial"/>
        <family val="2"/>
      </rPr>
      <t xml:space="preserve"> precios suben</t>
    </r>
    <r>
      <rPr>
        <u val="single"/>
        <sz val="10"/>
        <color indexed="10"/>
        <rFont val="Arial"/>
        <family val="2"/>
      </rPr>
      <t xml:space="preserve"> </t>
    </r>
    <r>
      <rPr>
        <sz val="10"/>
        <rFont val="Arial"/>
        <family val="2"/>
      </rPr>
      <t xml:space="preserve">
El precio promedio mensual de la papa en los mercados mayoristas durante mayo de 2016 fue de $218 por kilo, valor 25% superior al del mes anterior y 7,3% inferior al del mismo mes en el año 2015 (cuadro 1 y gráfico 1). Los precios venían presentando una tendencia de precios sin fuertes variaciones, durante el primer trimestre de 2016, pero ya en mayo se registra un alza fuerte en el precio promedio en el mercado mayorista. Las condiciones climáticas desfavorables en la zona central provocaron la aparición de tizón tardío en algunas comunas de la región metropolitana, lo que provocó un aumento de demanda de papa en la zona sur, obligando al mercado a subir los precios. Como consecuencia, el precio promedio de mayo 2016 superó el promedio del año 2016, que es de $190 pesos por kilo. 
El precio promedio diario en los mercados mayoristas se comporta de forma errática entre un día y otro. Entre diciembre 2015 y abril 2016 la tendencia del precio promedio nacional ha sido a la baja, después de un peak en el precio, sobre $20.000 pesos por saco de 50 kilos, en noviembre 2015. Luego la tendencia es a una baja sostenida en el precio, que comienza la última semana de noviembre y se mantiene hasta abril 2016, pero ya en mayo se registra el alza de precios provocada por el aumento de la demanda de papa como consecuencia de las lluvias en la zona central que afectaron a la papa cuaresmera que se siembra en enero-febrero y se cosecha en mayo-junio (gráfico 2 y cuadro 2). La variedad con precio promedio por saco de 50 kilos más alto en mayo 2016 fue Cardinal (en promedio $14.914, un 37,6% más que el precio promedio). Desirée en cambio presentó el precio más bajo (en promedio $8.178, un 24,6% menos que el precio promedio). 
Los precios mayoristas de todos los mercados registran alzas de precios posterior al evento climático que provocó la aparición de tizón en la Región Metropolitana, y que provocó pérdidas de producción en la región, el cual fue informado por la prensa el 10 de mayo. Arica se mantiene como el mercado mayorista que registra los precios más altos a nivel nacional en mayo de 2016 ($15.985 pesos por saco 50 kg, un 49% más alto que el promedio nacional). La sigue La Palmera de La Serena ($12.563 pesos por saco 50 kg). Por otro lado, mercados que están por debajo del promedio nacional durante mayo son Temuco ($8.907) y Puerto Montt ($8.578): 17% y 20% respectivamente más baratos que el promedio nacional para este mes (cuadro 3 y gráfico 3).</t>
    </r>
  </si>
  <si>
    <r>
      <t xml:space="preserve">2. </t>
    </r>
    <r>
      <rPr>
        <u val="single"/>
        <sz val="10"/>
        <rFont val="Arial"/>
        <family val="2"/>
      </rPr>
      <t>Precio de la papa en mercados minoristas: precios no sufren grandes variaciones</t>
    </r>
    <r>
      <rPr>
        <sz val="10"/>
        <rFont val="Arial"/>
        <family val="2"/>
      </rPr>
      <t xml:space="preserve">
En el monitoreo de precios al consumidor que realiza Odepa en la ciudad de Santiago, se observó que el precio promedio mensual de mayo de 2016 en supermercados disminuyó 2,4% con relación al mes anterior y aumentó 12,4% con respecto al mismo mes de 2015. En ferias, se registró una baja de 1,7% con respecto al mes anterior y una baja de 3,5% con respecto al mismo mes de 2015. Como siempre, los precios son más altos en supermercados que en ferias. Para mayo de 2016, en Santiago, el precio promedio de supermercados alcanzó $1.090 por kilo, y en ferias, $462 por kilo, es decir, el precio en supermercados duplica el precio en ferias. Se observa que el alza de precios informado en los mercados mayoristas no fue transmitida hacia supermercados ni ferias.
Respecto a los precios al consumidor que Odepa recoge entre las regiones de Arica y Los Lagos, se observa que, al igual que en Santiago, éstos son erráticos entre semanas. Además, en supermercados los precios son superiores a los de las ferias libres. Junto con eso, en los supermercados la variabilidad entre regiones es mayor que en ferias libres. Al comparar los precios entre ferias y supermercados, por región, se observa que la menor diferencia de precios en los últimos cinco meses se presentó en la Región de Arica, donde el promedio de precios en supermercados fue 1,07 veces mayor que en ferias. Por otra parte, la mayor diferencia de precios entre supermercados y ferias libres se registró en la Región de La Araucanía, donde el promedio de precios en supermercado fue 2,27 veces mayor que en ferias libres. El promedio de precios más alto en supermercado se registró en Coquimbo ($1.268 pesos por kilo), y el más bajo en Los Lagos ($1.095 pesos por kilo). En Ferias Libres, el promedio de precios más alto se registró en Arica ($538 pesos por kilo), y el más bajo en Biobío ($351 pesos por kilo). En las ferias libres de regiones se registra un alza de precios leve en mayo, comparado con los meses anteriores. En supermercados no se registra un aumento significativo de los precios. Por lo tanto el alza en mercados mayoristas si se vio reflejada en ferias libres de regiones. </t>
    </r>
  </si>
  <si>
    <r>
      <t xml:space="preserve">4. </t>
    </r>
    <r>
      <rPr>
        <u val="single"/>
        <sz val="10"/>
        <rFont val="Arial"/>
        <family val="2"/>
      </rPr>
      <t xml:space="preserve">Ficha de Costos
</t>
    </r>
    <r>
      <rPr>
        <sz val="10"/>
        <rFont val="Arial"/>
        <family val="2"/>
      </rPr>
      <t xml:space="preserve">
Odepa lleva un registro de fichas de costos de varios rubros, para entender los costos que afectan al desarrollo del cultivo, y los ingresos que éstos generan para el productor, considerando un nivel promedio de producción. 
Para este mes el análisis de margen neto entrega un valor positivo bajo los diferentes escenarios de rendimientos y de precios de venta de las regiones analizadas. Los costos de Maule y Biobío corresponden al año 2013, los de la Región Metropolitana corresponden a 2015. Los valores son referenciales. Para mayor información y detalle del cálculo, revisar www.odepa.cl/rubro/papas-y-tuberculos 
</t>
    </r>
  </si>
  <si>
    <r>
      <t xml:space="preserve">5. </t>
    </r>
    <r>
      <rPr>
        <u val="single"/>
        <sz val="10"/>
        <rFont val="Arial"/>
        <family val="2"/>
      </rPr>
      <t>Comercio exterior papa fresca y procesada: alzas en las compras y en las ventas</t>
    </r>
    <r>
      <rPr>
        <sz val="10"/>
        <rFont val="Arial"/>
        <family val="2"/>
      </rPr>
      <t xml:space="preserve">
La balanza comercial para el período enero-mayo 2016 de los productos derivados de papa sigue siendo negativa, con importaciones muy superiores a las ventas al exterior (cuadros 10 y 11).
Durante mayo de 2016 las exportaciones sumaron USD 2,4 millones, cifra 114% superior a la registrada en el mismo período del año anterior. En volumen, se exportaron 1.100 toneladas, 187,9% más que en el mismo período del año 2015. Destaca el alza en valor de las exportaciones de papa preparada sin congelar hacia Argentina, con ventas que sumaron USD 1,7 millones y 285 toneladas. 
Las importaciones sumaron USD 39,4 millones y 44 mil toneladas en mayo de 2016, lo que representa un alza en valor de 38,6% en comparación con igual período del año anterior, y 37,5% más en volumen. Las papas preparadas congeladas son la principal categoría comprada por Chile, destacando Bélgica, Países Bajos y Alemania como principales proveedores de papa preparada congelada a nuestro país. Argentina ha crecido fuerte como importación de este tipo de papas en Chile, pero este mes fue superado por los países mencionados anteriormente.  Estados Unidos registra bajas en varios de los productos de papa enviados a Chile, en comparación con 2015, destacando la principal de puré de papas preparado, de 71,3% menos en valor comparado con el mismo período del año anterior. </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</si>
</sst>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_ * #,##0_ ;_ * \-#,##0_ ;_ * &quot;-&quot;_ ;_ @_ "/>
    <numFmt numFmtId="166" formatCode="_ * #,##0.00_ ;_ * \-#,##0.00_ ;_ * &quot;-&quot;??_ ;_ @_ "/>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_-* #,##0.000\ _€_-;\-* #,##0.000\ _€_-;_-* &quot;-&quot;?\ _€_-;_-@_-"/>
    <numFmt numFmtId="175" formatCode="dd/mm/yy;@"/>
    <numFmt numFmtId="176" formatCode="0.0%"/>
    <numFmt numFmtId="177" formatCode="_-* #,##0.000\ _€_-;\-* #,##0.000\ _€_-;_-* &quot;-&quot;???\ _€_-;_-@_-"/>
    <numFmt numFmtId="178" formatCode="#,##0.0000"/>
    <numFmt numFmtId="179" formatCode="_-* #,##0.0_-;\-* #,##0.0_-;_-* &quot;-&quot;??_-;_-@_-"/>
    <numFmt numFmtId="180" formatCode="_-&quot;$&quot;\ * #,##0_-;\-&quot;$&quot;\ * #,##0_-;_-&quot;$&quot;\ * &quot;-&quot;??_-;_-@_-"/>
    <numFmt numFmtId="181" formatCode="#,##0_ ;\-#,##0\ "/>
    <numFmt numFmtId="182" formatCode="#,##0.0_ ;\-#,##0.0\ "/>
    <numFmt numFmtId="183" formatCode="dd/mm"/>
  </numFmts>
  <fonts count="122">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b/>
      <i/>
      <sz val="10"/>
      <color indexed="8"/>
      <name val="Arial"/>
      <family val="2"/>
    </font>
    <font>
      <u val="single"/>
      <sz val="10"/>
      <color indexed="10"/>
      <name val="Arial"/>
      <family val="2"/>
    </font>
    <font>
      <u val="single"/>
      <sz val="10"/>
      <name val="Arial"/>
      <family val="2"/>
    </font>
    <font>
      <u val="single"/>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b/>
      <sz val="12"/>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b/>
      <sz val="11"/>
      <name val="Arial"/>
      <family val="2"/>
    </font>
    <font>
      <sz val="11"/>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b/>
      <sz val="12"/>
      <color indexed="8"/>
      <name val="Calibri"/>
      <family val="0"/>
    </font>
    <font>
      <sz val="10"/>
      <color indexed="25"/>
      <name val="Arial"/>
      <family val="0"/>
    </font>
    <font>
      <sz val="9.2"/>
      <color indexed="25"/>
      <name val="Arial"/>
      <family val="0"/>
    </font>
    <font>
      <sz val="9.2"/>
      <color indexed="6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0"/>
      <color rgb="FFFF0000"/>
      <name val="Arial"/>
      <family val="2"/>
    </font>
    <font>
      <u val="single"/>
      <sz val="10"/>
      <color rgb="FFFF0000"/>
      <name val="Arial"/>
      <family val="2"/>
    </font>
    <font>
      <b/>
      <sz val="10"/>
      <color theme="0"/>
      <name val="Arial"/>
      <family val="2"/>
    </font>
    <font>
      <b/>
      <sz val="12"/>
      <color theme="1"/>
      <name val="Arial"/>
      <family val="2"/>
    </font>
    <font>
      <sz val="10"/>
      <color theme="6" tint="-0.4999699890613556"/>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s>
  <cellStyleXfs count="4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0" fillId="24" borderId="0" applyNumberFormat="0" applyBorder="0" applyAlignment="0" applyProtection="0"/>
    <xf numFmtId="0" fontId="8" fillId="25"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 fillId="25"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 fillId="25" borderId="0" applyNumberFormat="0" applyBorder="0" applyAlignment="0" applyProtection="0"/>
    <xf numFmtId="0" fontId="80" fillId="26" borderId="0" applyNumberFormat="0" applyBorder="0" applyAlignment="0" applyProtection="0"/>
    <xf numFmtId="0" fontId="8" fillId="17"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 fillId="17"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 fillId="17" borderId="0" applyNumberFormat="0" applyBorder="0" applyAlignment="0" applyProtection="0"/>
    <xf numFmtId="0" fontId="80" fillId="27" borderId="0" applyNumberFormat="0" applyBorder="0" applyAlignment="0" applyProtection="0"/>
    <xf numFmtId="0" fontId="8" fillId="19"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 fillId="19"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 fillId="19" borderId="0" applyNumberFormat="0" applyBorder="0" applyAlignment="0" applyProtection="0"/>
    <xf numFmtId="0" fontId="80" fillId="28" borderId="0" applyNumberFormat="0" applyBorder="0" applyAlignment="0" applyProtection="0"/>
    <xf numFmtId="0" fontId="8" fillId="29"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 fillId="29"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 fillId="29" borderId="0" applyNumberFormat="0" applyBorder="0" applyAlignment="0" applyProtection="0"/>
    <xf numFmtId="0" fontId="80" fillId="30" borderId="0" applyNumberFormat="0" applyBorder="0" applyAlignment="0" applyProtection="0"/>
    <xf numFmtId="0" fontId="8" fillId="31"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 fillId="31"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 fillId="31" borderId="0" applyNumberFormat="0" applyBorder="0" applyAlignment="0" applyProtection="0"/>
    <xf numFmtId="0" fontId="80" fillId="32" borderId="0" applyNumberFormat="0" applyBorder="0" applyAlignment="0" applyProtection="0"/>
    <xf numFmtId="0" fontId="8" fillId="33"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 fillId="33"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 fillId="33" borderId="0" applyNumberFormat="0" applyBorder="0" applyAlignment="0" applyProtection="0"/>
    <xf numFmtId="0" fontId="81" fillId="34" borderId="0" applyNumberFormat="0" applyBorder="0" applyAlignment="0" applyProtection="0"/>
    <xf numFmtId="0" fontId="9" fillId="7"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9" fillId="7"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9" fillId="7" borderId="0" applyNumberFormat="0" applyBorder="0" applyAlignment="0" applyProtection="0"/>
    <xf numFmtId="0" fontId="82" fillId="35" borderId="1" applyNumberFormat="0" applyAlignment="0" applyProtection="0"/>
    <xf numFmtId="0" fontId="10" fillId="36" borderId="2" applyNumberFormat="0" applyAlignment="0" applyProtection="0"/>
    <xf numFmtId="0" fontId="82" fillId="35" borderId="1" applyNumberFormat="0" applyAlignment="0" applyProtection="0"/>
    <xf numFmtId="0" fontId="82" fillId="35" borderId="1" applyNumberFormat="0" applyAlignment="0" applyProtection="0"/>
    <xf numFmtId="0" fontId="82" fillId="35" borderId="1" applyNumberFormat="0" applyAlignment="0" applyProtection="0"/>
    <xf numFmtId="0" fontId="10" fillId="36" borderId="2" applyNumberFormat="0" applyAlignment="0" applyProtection="0"/>
    <xf numFmtId="0" fontId="82" fillId="35" borderId="1" applyNumberFormat="0" applyAlignment="0" applyProtection="0"/>
    <xf numFmtId="0" fontId="82" fillId="35" borderId="1" applyNumberFormat="0" applyAlignment="0" applyProtection="0"/>
    <xf numFmtId="0" fontId="10" fillId="36" borderId="2" applyNumberFormat="0" applyAlignment="0" applyProtection="0"/>
    <xf numFmtId="0" fontId="83" fillId="37" borderId="3" applyNumberFormat="0" applyAlignment="0" applyProtection="0"/>
    <xf numFmtId="0" fontId="11" fillId="38" borderId="4" applyNumberFormat="0" applyAlignment="0" applyProtection="0"/>
    <xf numFmtId="0" fontId="83" fillId="37" borderId="3" applyNumberFormat="0" applyAlignment="0" applyProtection="0"/>
    <xf numFmtId="0" fontId="83" fillId="37" borderId="3" applyNumberFormat="0" applyAlignment="0" applyProtection="0"/>
    <xf numFmtId="0" fontId="83" fillId="37" borderId="3" applyNumberFormat="0" applyAlignment="0" applyProtection="0"/>
    <xf numFmtId="0" fontId="11" fillId="38" borderId="4" applyNumberFormat="0" applyAlignment="0" applyProtection="0"/>
    <xf numFmtId="0" fontId="83" fillId="37" borderId="3" applyNumberFormat="0" applyAlignment="0" applyProtection="0"/>
    <xf numFmtId="0" fontId="83" fillId="37" borderId="3" applyNumberFormat="0" applyAlignment="0" applyProtection="0"/>
    <xf numFmtId="0" fontId="11" fillId="38" borderId="4" applyNumberFormat="0" applyAlignment="0" applyProtection="0"/>
    <xf numFmtId="0" fontId="84" fillId="0" borderId="5" applyNumberFormat="0" applyFill="0" applyAlignment="0" applyProtection="0"/>
    <xf numFmtId="0" fontId="12" fillId="0" borderId="6"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12" fillId="0" borderId="6"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12" fillId="0" borderId="6" applyNumberFormat="0" applyFill="0" applyAlignment="0" applyProtection="0"/>
    <xf numFmtId="0" fontId="85" fillId="0" borderId="7" applyNumberFormat="0" applyFill="0" applyAlignment="0" applyProtection="0"/>
    <xf numFmtId="0" fontId="86" fillId="0" borderId="0" applyNumberFormat="0" applyFill="0" applyBorder="0" applyAlignment="0" applyProtection="0"/>
    <xf numFmtId="0" fontId="1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 fillId="0" borderId="0" applyNumberFormat="0" applyFill="0" applyBorder="0" applyAlignment="0" applyProtection="0"/>
    <xf numFmtId="0" fontId="80" fillId="39" borderId="0" applyNumberFormat="0" applyBorder="0" applyAlignment="0" applyProtection="0"/>
    <xf numFmtId="0" fontId="8" fillId="40"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 fillId="40"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 fillId="40" borderId="0" applyNumberFormat="0" applyBorder="0" applyAlignment="0" applyProtection="0"/>
    <xf numFmtId="0" fontId="80" fillId="41" borderId="0" applyNumberFormat="0" applyBorder="0" applyAlignment="0" applyProtection="0"/>
    <xf numFmtId="0" fontId="8" fillId="42"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 fillId="42"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 fillId="42" borderId="0" applyNumberFormat="0" applyBorder="0" applyAlignment="0" applyProtection="0"/>
    <xf numFmtId="0" fontId="80" fillId="43" borderId="0" applyNumberFormat="0" applyBorder="0" applyAlignment="0" applyProtection="0"/>
    <xf numFmtId="0" fontId="8" fillId="44"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 fillId="44"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 fillId="44" borderId="0" applyNumberFormat="0" applyBorder="0" applyAlignment="0" applyProtection="0"/>
    <xf numFmtId="0" fontId="80" fillId="45" borderId="0" applyNumberFormat="0" applyBorder="0" applyAlignment="0" applyProtection="0"/>
    <xf numFmtId="0" fontId="8" fillId="29"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 fillId="29"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 fillId="29" borderId="0" applyNumberFormat="0" applyBorder="0" applyAlignment="0" applyProtection="0"/>
    <xf numFmtId="0" fontId="80" fillId="46" borderId="0" applyNumberFormat="0" applyBorder="0" applyAlignment="0" applyProtection="0"/>
    <xf numFmtId="0" fontId="8" fillId="31"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 fillId="31"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 fillId="31" borderId="0" applyNumberFormat="0" applyBorder="0" applyAlignment="0" applyProtection="0"/>
    <xf numFmtId="0" fontId="80" fillId="47" borderId="0" applyNumberFormat="0" applyBorder="0" applyAlignment="0" applyProtection="0"/>
    <xf numFmtId="0" fontId="8" fillId="48"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 fillId="48"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 fillId="48" borderId="0" applyNumberFormat="0" applyBorder="0" applyAlignment="0" applyProtection="0"/>
    <xf numFmtId="0" fontId="87" fillId="49" borderId="1" applyNumberFormat="0" applyAlignment="0" applyProtection="0"/>
    <xf numFmtId="0" fontId="14" fillId="13" borderId="2" applyNumberFormat="0" applyAlignment="0" applyProtection="0"/>
    <xf numFmtId="0" fontId="87" fillId="49" borderId="1" applyNumberFormat="0" applyAlignment="0" applyProtection="0"/>
    <xf numFmtId="0" fontId="87" fillId="49" borderId="1" applyNumberFormat="0" applyAlignment="0" applyProtection="0"/>
    <xf numFmtId="0" fontId="87" fillId="49" borderId="1" applyNumberFormat="0" applyAlignment="0" applyProtection="0"/>
    <xf numFmtId="0" fontId="14" fillId="13" borderId="2" applyNumberFormat="0" applyAlignment="0" applyProtection="0"/>
    <xf numFmtId="0" fontId="87" fillId="49" borderId="1" applyNumberFormat="0" applyAlignment="0" applyProtection="0"/>
    <xf numFmtId="0" fontId="87" fillId="49" borderId="1" applyNumberFormat="0" applyAlignment="0" applyProtection="0"/>
    <xf numFmtId="0" fontId="14" fillId="13" borderId="2"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23" fillId="0" borderId="0" applyNumberFormat="0" applyFill="0" applyBorder="0" applyAlignment="0" applyProtection="0"/>
    <xf numFmtId="0" fontId="90" fillId="50" borderId="0" applyNumberFormat="0" applyBorder="0" applyAlignment="0" applyProtection="0"/>
    <xf numFmtId="0" fontId="15" fillId="5"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15" fillId="5"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41"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51" borderId="0" applyNumberFormat="0" applyBorder="0" applyAlignment="0" applyProtection="0"/>
    <xf numFmtId="0" fontId="16" fillId="52" borderId="0" applyNumberFormat="0" applyBorder="0" applyAlignment="0" applyProtection="0"/>
    <xf numFmtId="0" fontId="91" fillId="51" borderId="0" applyNumberFormat="0" applyBorder="0" applyAlignment="0" applyProtection="0"/>
    <xf numFmtId="0" fontId="91" fillId="51" borderId="0" applyNumberFormat="0" applyBorder="0" applyAlignment="0" applyProtection="0"/>
    <xf numFmtId="0" fontId="91" fillId="51" borderId="0" applyNumberFormat="0" applyBorder="0" applyAlignment="0" applyProtection="0"/>
    <xf numFmtId="0" fontId="16" fillId="52" borderId="0" applyNumberFormat="0" applyBorder="0" applyAlignment="0" applyProtection="0"/>
    <xf numFmtId="0" fontId="91" fillId="51" borderId="0" applyNumberFormat="0" applyBorder="0" applyAlignment="0" applyProtection="0"/>
    <xf numFmtId="0" fontId="91"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3" fillId="35" borderId="10" applyNumberFormat="0" applyAlignment="0" applyProtection="0"/>
    <xf numFmtId="0" fontId="17" fillId="36" borderId="11" applyNumberFormat="0" applyAlignment="0" applyProtection="0"/>
    <xf numFmtId="0" fontId="93" fillId="35" borderId="10" applyNumberFormat="0" applyAlignment="0" applyProtection="0"/>
    <xf numFmtId="0" fontId="93" fillId="35" borderId="10" applyNumberFormat="0" applyAlignment="0" applyProtection="0"/>
    <xf numFmtId="0" fontId="93" fillId="35" borderId="10" applyNumberFormat="0" applyAlignment="0" applyProtection="0"/>
    <xf numFmtId="0" fontId="17" fillId="36" borderId="11" applyNumberFormat="0" applyAlignment="0" applyProtection="0"/>
    <xf numFmtId="0" fontId="93" fillId="35" borderId="10" applyNumberFormat="0" applyAlignment="0" applyProtection="0"/>
    <xf numFmtId="0" fontId="93" fillId="35" borderId="10" applyNumberFormat="0" applyAlignment="0" applyProtection="0"/>
    <xf numFmtId="0" fontId="17" fillId="36" borderId="11" applyNumberFormat="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5" fillId="0" borderId="0" applyNumberFormat="0" applyFill="0" applyBorder="0" applyAlignment="0" applyProtection="0"/>
    <xf numFmtId="0" fontId="19"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9"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9" fillId="0" borderId="0" applyNumberFormat="0" applyFill="0" applyBorder="0" applyAlignment="0" applyProtection="0"/>
    <xf numFmtId="0" fontId="96" fillId="0" borderId="0" applyNumberFormat="0" applyFill="0" applyBorder="0" applyAlignment="0" applyProtection="0"/>
    <xf numFmtId="0" fontId="20" fillId="0" borderId="12" applyNumberFormat="0" applyFill="0" applyAlignment="0" applyProtection="0"/>
    <xf numFmtId="0" fontId="85" fillId="0" borderId="7" applyNumberFormat="0" applyFill="0" applyAlignment="0" applyProtection="0"/>
    <xf numFmtId="0" fontId="85" fillId="0" borderId="7" applyNumberFormat="0" applyFill="0" applyAlignment="0" applyProtection="0"/>
    <xf numFmtId="0" fontId="85" fillId="0" borderId="7" applyNumberFormat="0" applyFill="0" applyAlignment="0" applyProtection="0"/>
    <xf numFmtId="0" fontId="20" fillId="0" borderId="12" applyNumberFormat="0" applyFill="0" applyAlignment="0" applyProtection="0"/>
    <xf numFmtId="0" fontId="85" fillId="0" borderId="7" applyNumberFormat="0" applyFill="0" applyAlignment="0" applyProtection="0"/>
    <xf numFmtId="0" fontId="85" fillId="0" borderId="7" applyNumberFormat="0" applyFill="0" applyAlignment="0" applyProtection="0"/>
    <xf numFmtId="0" fontId="20" fillId="0" borderId="12" applyNumberFormat="0" applyFill="0" applyAlignment="0" applyProtection="0"/>
    <xf numFmtId="0" fontId="97" fillId="0" borderId="13" applyNumberFormat="0" applyFill="0" applyAlignment="0" applyProtection="0"/>
    <xf numFmtId="0" fontId="21" fillId="0" borderId="14" applyNumberFormat="0" applyFill="0" applyAlignment="0" applyProtection="0"/>
    <xf numFmtId="0" fontId="97" fillId="0" borderId="13" applyNumberFormat="0" applyFill="0" applyAlignment="0" applyProtection="0"/>
    <xf numFmtId="0" fontId="97" fillId="0" borderId="13" applyNumberFormat="0" applyFill="0" applyAlignment="0" applyProtection="0"/>
    <xf numFmtId="0" fontId="97" fillId="0" borderId="13" applyNumberFormat="0" applyFill="0" applyAlignment="0" applyProtection="0"/>
    <xf numFmtId="0" fontId="21" fillId="0" borderId="14" applyNumberFormat="0" applyFill="0" applyAlignment="0" applyProtection="0"/>
    <xf numFmtId="0" fontId="97" fillId="0" borderId="13" applyNumberFormat="0" applyFill="0" applyAlignment="0" applyProtection="0"/>
    <xf numFmtId="0" fontId="97" fillId="0" borderId="13" applyNumberFormat="0" applyFill="0" applyAlignment="0" applyProtection="0"/>
    <xf numFmtId="0" fontId="21" fillId="0" borderId="14" applyNumberFormat="0" applyFill="0" applyAlignment="0" applyProtection="0"/>
    <xf numFmtId="0" fontId="86" fillId="0" borderId="15" applyNumberFormat="0" applyFill="0" applyAlignment="0" applyProtection="0"/>
    <xf numFmtId="0" fontId="13" fillId="0" borderId="16" applyNumberFormat="0" applyFill="0" applyAlignment="0" applyProtection="0"/>
    <xf numFmtId="0" fontId="86" fillId="0" borderId="15" applyNumberFormat="0" applyFill="0" applyAlignment="0" applyProtection="0"/>
    <xf numFmtId="0" fontId="86" fillId="0" borderId="15" applyNumberFormat="0" applyFill="0" applyAlignment="0" applyProtection="0"/>
    <xf numFmtId="0" fontId="86" fillId="0" borderId="15" applyNumberFormat="0" applyFill="0" applyAlignment="0" applyProtection="0"/>
    <xf numFmtId="0" fontId="13" fillId="0" borderId="16" applyNumberFormat="0" applyFill="0" applyAlignment="0" applyProtection="0"/>
    <xf numFmtId="0" fontId="86" fillId="0" borderId="15" applyNumberFormat="0" applyFill="0" applyAlignment="0" applyProtection="0"/>
    <xf numFmtId="0" fontId="86"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xf numFmtId="0" fontId="98" fillId="0" borderId="17" applyNumberFormat="0" applyFill="0" applyAlignment="0" applyProtection="0"/>
    <xf numFmtId="0" fontId="6" fillId="0" borderId="18"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6" fillId="0" borderId="18"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6" fillId="0" borderId="18" applyNumberFormat="0" applyFill="0" applyAlignment="0" applyProtection="0"/>
  </cellStyleXfs>
  <cellXfs count="373">
    <xf numFmtId="0" fontId="0" fillId="0" borderId="0" xfId="0" applyFont="1" applyAlignment="1">
      <alignment/>
    </xf>
    <xf numFmtId="0" fontId="22" fillId="55" borderId="0" xfId="356" applyFont="1" applyFill="1" applyBorder="1" applyAlignment="1">
      <alignment horizontal="center" vertical="center" wrapText="1"/>
      <protection/>
    </xf>
    <xf numFmtId="0" fontId="2" fillId="55" borderId="0" xfId="356" applyFont="1" applyFill="1" applyBorder="1">
      <alignment/>
      <protection/>
    </xf>
    <xf numFmtId="0" fontId="22" fillId="55" borderId="19" xfId="356" applyFont="1" applyFill="1" applyBorder="1" applyAlignment="1">
      <alignment horizontal="center" vertical="center" wrapText="1"/>
      <protection/>
    </xf>
    <xf numFmtId="0" fontId="22" fillId="55" borderId="20" xfId="356" applyFont="1" applyFill="1" applyBorder="1" applyAlignment="1">
      <alignment horizontal="center" vertical="center" wrapText="1"/>
      <protection/>
    </xf>
    <xf numFmtId="0" fontId="22" fillId="55" borderId="19" xfId="356" applyFont="1" applyFill="1" applyBorder="1">
      <alignment/>
      <protection/>
    </xf>
    <xf numFmtId="0" fontId="22" fillId="55" borderId="21" xfId="356" applyFont="1" applyFill="1" applyBorder="1">
      <alignment/>
      <protection/>
    </xf>
    <xf numFmtId="0" fontId="2" fillId="55" borderId="0" xfId="344" applyFill="1">
      <alignment/>
      <protection/>
    </xf>
    <xf numFmtId="0" fontId="2" fillId="55" borderId="0" xfId="344" applyFont="1" applyFill="1">
      <alignment/>
      <protection/>
    </xf>
    <xf numFmtId="0" fontId="2" fillId="55" borderId="0" xfId="344" applyFont="1" applyFill="1" applyAlignment="1">
      <alignment horizontal="center" vertical="center"/>
      <protection/>
    </xf>
    <xf numFmtId="0" fontId="2" fillId="55" borderId="0" xfId="344" applyFont="1" applyFill="1" applyAlignment="1">
      <alignment/>
      <protection/>
    </xf>
    <xf numFmtId="0" fontId="2" fillId="55" borderId="0" xfId="344" applyFont="1" applyFill="1" applyAlignment="1">
      <alignment horizontal="center"/>
      <protection/>
    </xf>
    <xf numFmtId="0" fontId="2" fillId="55" borderId="0" xfId="366" applyFont="1" applyFill="1" applyBorder="1" applyAlignment="1" applyProtection="1">
      <alignment horizontal="center"/>
      <protection/>
    </xf>
    <xf numFmtId="0" fontId="99" fillId="55" borderId="0" xfId="366" applyFont="1" applyFill="1" applyBorder="1" applyAlignment="1" applyProtection="1">
      <alignment horizontal="right"/>
      <protection/>
    </xf>
    <xf numFmtId="0" fontId="2" fillId="55" borderId="0" xfId="366" applyFont="1" applyFill="1" applyBorder="1" applyAlignment="1" applyProtection="1">
      <alignment/>
      <protection/>
    </xf>
    <xf numFmtId="0" fontId="22" fillId="55" borderId="0" xfId="366" applyFont="1" applyFill="1" applyBorder="1" applyAlignment="1" applyProtection="1">
      <alignment horizontal="center"/>
      <protection/>
    </xf>
    <xf numFmtId="0" fontId="99" fillId="55" borderId="0" xfId="366" applyFont="1" applyFill="1" applyBorder="1" applyAlignment="1" applyProtection="1">
      <alignment horizontal="center"/>
      <protection/>
    </xf>
    <xf numFmtId="0" fontId="99" fillId="55" borderId="0" xfId="366" applyFont="1" applyFill="1" applyBorder="1" applyProtection="1">
      <alignment/>
      <protection/>
    </xf>
    <xf numFmtId="0" fontId="2" fillId="55" borderId="0" xfId="366" applyFont="1" applyFill="1" applyBorder="1" applyProtection="1">
      <alignment/>
      <protection/>
    </xf>
    <xf numFmtId="0" fontId="2" fillId="55" borderId="0" xfId="366" applyFont="1" applyFill="1" applyBorder="1" applyAlignment="1" applyProtection="1">
      <alignment horizontal="center" vertical="center"/>
      <protection/>
    </xf>
    <xf numFmtId="0" fontId="100" fillId="55" borderId="0" xfId="366" applyFont="1" applyFill="1" applyBorder="1" applyAlignment="1" applyProtection="1">
      <alignment horizontal="center"/>
      <protection/>
    </xf>
    <xf numFmtId="0" fontId="22" fillId="55" borderId="0" xfId="366" applyFont="1" applyFill="1" applyBorder="1" applyProtection="1">
      <alignment/>
      <protection/>
    </xf>
    <xf numFmtId="0" fontId="2" fillId="55" borderId="0" xfId="356" applyFont="1" applyFill="1">
      <alignment/>
      <protection/>
    </xf>
    <xf numFmtId="0" fontId="22" fillId="55" borderId="22" xfId="366" applyFont="1" applyFill="1" applyBorder="1" applyAlignment="1" applyProtection="1">
      <alignment horizontal="center" vertical="center"/>
      <protection/>
    </xf>
    <xf numFmtId="0" fontId="22" fillId="55" borderId="22" xfId="366" applyFont="1" applyFill="1" applyBorder="1" applyAlignment="1" applyProtection="1">
      <alignment horizontal="left" vertical="center"/>
      <protection/>
    </xf>
    <xf numFmtId="0" fontId="22" fillId="55" borderId="22" xfId="366" applyFont="1" applyFill="1" applyBorder="1" applyAlignment="1" applyProtection="1">
      <alignment vertical="center"/>
      <protection/>
    </xf>
    <xf numFmtId="0" fontId="2" fillId="55" borderId="0" xfId="344" applyFont="1" applyFill="1" applyAlignment="1">
      <alignment wrapText="1"/>
      <protection/>
    </xf>
    <xf numFmtId="0" fontId="2" fillId="55" borderId="0" xfId="360" applyFont="1" applyFill="1" applyBorder="1" applyAlignment="1">
      <alignment horizontal="center"/>
      <protection/>
    </xf>
    <xf numFmtId="0" fontId="24" fillId="55" borderId="0" xfId="356" applyFont="1" applyFill="1" applyBorder="1">
      <alignment/>
      <protection/>
    </xf>
    <xf numFmtId="0" fontId="24" fillId="55" borderId="0" xfId="356" applyFont="1" applyFill="1" applyBorder="1" applyAlignment="1">
      <alignment/>
      <protection/>
    </xf>
    <xf numFmtId="0" fontId="89" fillId="55" borderId="0" xfId="286" applyFont="1" applyFill="1" applyAlignment="1" applyProtection="1">
      <alignment/>
      <protection/>
    </xf>
    <xf numFmtId="0" fontId="89" fillId="55" borderId="0" xfId="286" applyFont="1" applyFill="1" applyBorder="1" applyAlignment="1" applyProtection="1">
      <alignment horizontal="right"/>
      <protection/>
    </xf>
    <xf numFmtId="0" fontId="89"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1" fillId="56" borderId="22" xfId="0" applyFont="1" applyFill="1" applyBorder="1" applyAlignment="1">
      <alignment vertical="center"/>
    </xf>
    <xf numFmtId="0" fontId="101" fillId="56" borderId="22" xfId="0" applyFont="1" applyFill="1" applyBorder="1" applyAlignment="1">
      <alignment horizontal="center" vertical="center" wrapText="1"/>
    </xf>
    <xf numFmtId="3" fontId="102" fillId="55" borderId="23" xfId="0" applyNumberFormat="1" applyFont="1" applyFill="1" applyBorder="1" applyAlignment="1">
      <alignment horizontal="center"/>
    </xf>
    <xf numFmtId="0" fontId="22" fillId="55" borderId="0" xfId="366" applyFont="1" applyFill="1" applyBorder="1" applyAlignment="1" applyProtection="1">
      <alignment horizontal="center" vertical="center"/>
      <protection/>
    </xf>
    <xf numFmtId="0" fontId="22" fillId="55" borderId="0" xfId="356" applyFont="1" applyFill="1" applyBorder="1" applyAlignment="1">
      <alignment horizontal="center"/>
      <protection/>
    </xf>
    <xf numFmtId="0" fontId="102" fillId="55" borderId="0" xfId="0" applyFont="1" applyFill="1" applyAlignment="1">
      <alignment/>
    </xf>
    <xf numFmtId="3" fontId="101" fillId="55" borderId="24" xfId="0" applyNumberFormat="1" applyFont="1" applyFill="1" applyBorder="1" applyAlignment="1" quotePrefix="1">
      <alignment horizontal="center" vertical="center" wrapText="1"/>
    </xf>
    <xf numFmtId="3" fontId="101" fillId="55" borderId="25" xfId="0" applyNumberFormat="1" applyFont="1" applyFill="1" applyBorder="1" applyAlignment="1" quotePrefix="1">
      <alignment horizontal="center" vertical="center" wrapText="1"/>
    </xf>
    <xf numFmtId="170" fontId="101" fillId="55" borderId="25" xfId="0" applyNumberFormat="1" applyFont="1" applyFill="1" applyBorder="1" applyAlignment="1">
      <alignment horizontal="center" vertical="center" wrapText="1"/>
    </xf>
    <xf numFmtId="3" fontId="101" fillId="55" borderId="25" xfId="0" applyNumberFormat="1" applyFont="1" applyFill="1" applyBorder="1" applyAlignment="1">
      <alignment horizontal="center" vertical="center" wrapText="1"/>
    </xf>
    <xf numFmtId="170" fontId="101" fillId="55" borderId="26" xfId="0" applyNumberFormat="1" applyFont="1" applyFill="1" applyBorder="1" applyAlignment="1">
      <alignment horizontal="center" vertical="center" wrapText="1"/>
    </xf>
    <xf numFmtId="3" fontId="102" fillId="55" borderId="24" xfId="0" applyNumberFormat="1" applyFont="1" applyFill="1" applyBorder="1" applyAlignment="1">
      <alignment/>
    </xf>
    <xf numFmtId="3" fontId="102" fillId="55" borderId="25" xfId="0" applyNumberFormat="1" applyFont="1" applyFill="1" applyBorder="1" applyAlignment="1">
      <alignment/>
    </xf>
    <xf numFmtId="170" fontId="102" fillId="55" borderId="26" xfId="0" applyNumberFormat="1" applyFont="1" applyFill="1" applyBorder="1" applyAlignment="1">
      <alignment horizontal="right"/>
    </xf>
    <xf numFmtId="3" fontId="102" fillId="55" borderId="0" xfId="0" applyNumberFormat="1" applyFont="1" applyFill="1" applyAlignment="1">
      <alignment/>
    </xf>
    <xf numFmtId="3" fontId="102" fillId="55" borderId="27" xfId="0" applyNumberFormat="1" applyFont="1" applyFill="1" applyBorder="1" applyAlignment="1">
      <alignment/>
    </xf>
    <xf numFmtId="3" fontId="102" fillId="55" borderId="0" xfId="0" applyNumberFormat="1" applyFont="1" applyFill="1" applyBorder="1" applyAlignment="1">
      <alignment/>
    </xf>
    <xf numFmtId="170" fontId="102" fillId="55" borderId="28" xfId="0" applyNumberFormat="1" applyFont="1" applyFill="1" applyBorder="1" applyAlignment="1">
      <alignment horizontal="right"/>
    </xf>
    <xf numFmtId="0" fontId="89" fillId="55" borderId="0" xfId="286" applyFont="1" applyFill="1" applyAlignment="1">
      <alignment/>
    </xf>
    <xf numFmtId="170" fontId="2" fillId="55" borderId="0" xfId="356" applyNumberFormat="1" applyFont="1" applyFill="1" applyBorder="1">
      <alignment/>
      <protection/>
    </xf>
    <xf numFmtId="0" fontId="2" fillId="55" borderId="0" xfId="356" applyFont="1" applyFill="1" applyBorder="1" applyAlignment="1">
      <alignment/>
      <protection/>
    </xf>
    <xf numFmtId="0" fontId="24" fillId="55" borderId="0" xfId="356" applyFont="1" applyFill="1">
      <alignment/>
      <protection/>
    </xf>
    <xf numFmtId="0" fontId="25" fillId="55" borderId="0" xfId="356" applyFont="1" applyFill="1">
      <alignment/>
      <protection/>
    </xf>
    <xf numFmtId="3" fontId="2" fillId="55" borderId="0" xfId="356" applyNumberFormat="1" applyFont="1" applyFill="1" applyBorder="1">
      <alignment/>
      <protection/>
    </xf>
    <xf numFmtId="3" fontId="2" fillId="55" borderId="0" xfId="356" applyNumberFormat="1" applyFont="1" applyFill="1">
      <alignment/>
      <protection/>
    </xf>
    <xf numFmtId="174" fontId="2" fillId="55" borderId="0" xfId="356" applyNumberFormat="1" applyFont="1" applyFill="1">
      <alignment/>
      <protection/>
    </xf>
    <xf numFmtId="173" fontId="2" fillId="55" borderId="0" xfId="356" applyNumberFormat="1" applyFont="1" applyFill="1">
      <alignment/>
      <protection/>
    </xf>
    <xf numFmtId="3" fontId="103" fillId="0" borderId="0" xfId="0" applyNumberFormat="1" applyFont="1" applyAlignment="1">
      <alignment/>
    </xf>
    <xf numFmtId="0" fontId="104" fillId="55" borderId="0" xfId="0" applyFont="1" applyFill="1" applyAlignment="1">
      <alignment/>
    </xf>
    <xf numFmtId="14" fontId="102" fillId="55" borderId="23" xfId="0" applyNumberFormat="1" applyFont="1" applyFill="1" applyBorder="1" applyAlignment="1">
      <alignment horizontal="left"/>
    </xf>
    <xf numFmtId="0" fontId="102" fillId="55" borderId="0" xfId="0" applyFont="1" applyFill="1" applyAlignment="1">
      <alignment horizontal="center"/>
    </xf>
    <xf numFmtId="0" fontId="101" fillId="55" borderId="22" xfId="0" applyFont="1" applyFill="1" applyBorder="1" applyAlignment="1">
      <alignment vertical="center"/>
    </xf>
    <xf numFmtId="0" fontId="101" fillId="55" borderId="22" xfId="0" applyFont="1" applyFill="1" applyBorder="1" applyAlignment="1">
      <alignment horizontal="center" vertical="center"/>
    </xf>
    <xf numFmtId="0" fontId="105" fillId="55" borderId="0" xfId="0" applyFont="1" applyFill="1" applyAlignment="1">
      <alignment horizontal="center" vertical="center" readingOrder="1"/>
    </xf>
    <xf numFmtId="0" fontId="2" fillId="55" borderId="27" xfId="356" applyFont="1" applyFill="1" applyBorder="1">
      <alignment/>
      <protection/>
    </xf>
    <xf numFmtId="3" fontId="101" fillId="55" borderId="29" xfId="0" applyNumberFormat="1" applyFont="1" applyFill="1" applyBorder="1" applyAlignment="1">
      <alignment/>
    </xf>
    <xf numFmtId="3" fontId="101" fillId="55" borderId="22" xfId="0" applyNumberFormat="1" applyFont="1" applyFill="1" applyBorder="1" applyAlignment="1">
      <alignment/>
    </xf>
    <xf numFmtId="170" fontId="101" fillId="55" borderId="30" xfId="0" applyNumberFormat="1" applyFont="1" applyFill="1" applyBorder="1" applyAlignment="1">
      <alignment horizontal="right"/>
    </xf>
    <xf numFmtId="3" fontId="101" fillId="55" borderId="24" xfId="0" applyNumberFormat="1" applyFont="1" applyFill="1" applyBorder="1" applyAlignment="1">
      <alignment/>
    </xf>
    <xf numFmtId="3" fontId="101" fillId="55" borderId="25" xfId="0" applyNumberFormat="1" applyFont="1" applyFill="1" applyBorder="1" applyAlignment="1">
      <alignment/>
    </xf>
    <xf numFmtId="170" fontId="101" fillId="55" borderId="26" xfId="0" applyNumberFormat="1" applyFont="1" applyFill="1" applyBorder="1" applyAlignment="1">
      <alignment horizontal="right"/>
    </xf>
    <xf numFmtId="0" fontId="102" fillId="55" borderId="25" xfId="0" applyFont="1" applyFill="1" applyBorder="1" applyAlignment="1">
      <alignment/>
    </xf>
    <xf numFmtId="0" fontId="102" fillId="55" borderId="0" xfId="0" applyFont="1" applyFill="1" applyBorder="1" applyAlignment="1">
      <alignment/>
    </xf>
    <xf numFmtId="0" fontId="102" fillId="55" borderId="31" xfId="0" applyFont="1" applyFill="1" applyBorder="1" applyAlignment="1">
      <alignment/>
    </xf>
    <xf numFmtId="0" fontId="106" fillId="55" borderId="0" xfId="286" applyFont="1" applyFill="1" applyAlignment="1">
      <alignment/>
    </xf>
    <xf numFmtId="0" fontId="28" fillId="55" borderId="25" xfId="356" applyFont="1" applyFill="1" applyBorder="1" applyAlignment="1">
      <alignment horizontal="center" vertical="center" wrapText="1"/>
      <protection/>
    </xf>
    <xf numFmtId="0" fontId="28" fillId="55" borderId="23" xfId="356" applyFont="1" applyFill="1" applyBorder="1" applyAlignment="1">
      <alignment horizontal="center" vertical="center" wrapText="1"/>
      <protection/>
    </xf>
    <xf numFmtId="3" fontId="2" fillId="55" borderId="0" xfId="356" applyNumberFormat="1" applyFont="1" applyFill="1" applyBorder="1" applyAlignment="1">
      <alignment horizontal="center"/>
      <protection/>
    </xf>
    <xf numFmtId="0" fontId="2" fillId="55" borderId="0" xfId="356" applyFont="1" applyFill="1" applyBorder="1" applyAlignment="1">
      <alignment horizontal="center"/>
      <protection/>
    </xf>
    <xf numFmtId="3" fontId="2" fillId="55" borderId="0" xfId="360" applyNumberFormat="1" applyFont="1" applyFill="1" applyBorder="1" applyAlignment="1">
      <alignment horizontal="center"/>
      <protection/>
    </xf>
    <xf numFmtId="3" fontId="2" fillId="55" borderId="23" xfId="356" applyNumberFormat="1" applyFont="1" applyFill="1" applyBorder="1" applyAlignment="1">
      <alignment horizontal="center"/>
      <protection/>
    </xf>
    <xf numFmtId="0" fontId="0" fillId="55" borderId="0" xfId="0" applyFill="1" applyAlignment="1">
      <alignment/>
    </xf>
    <xf numFmtId="0" fontId="107" fillId="55" borderId="0" xfId="0" applyFont="1" applyFill="1" applyAlignment="1">
      <alignment/>
    </xf>
    <xf numFmtId="0" fontId="107" fillId="55" borderId="0" xfId="352" applyFont="1" applyFill="1">
      <alignment/>
      <protection/>
    </xf>
    <xf numFmtId="0" fontId="0" fillId="55" borderId="0" xfId="0" applyFill="1" applyAlignment="1">
      <alignment horizontal="center" vertical="center"/>
    </xf>
    <xf numFmtId="0" fontId="108" fillId="55" borderId="0" xfId="352" applyFont="1" applyFill="1" applyAlignment="1">
      <alignment vertical="top"/>
      <protection/>
    </xf>
    <xf numFmtId="0" fontId="109" fillId="55" borderId="0" xfId="352" applyFont="1" applyFill="1" applyAlignment="1">
      <alignment horizontal="left" vertical="top"/>
      <protection/>
    </xf>
    <xf numFmtId="17" fontId="110" fillId="55" borderId="0" xfId="352" applyNumberFormat="1" applyFont="1" applyFill="1" applyAlignment="1" quotePrefix="1">
      <alignment vertical="center"/>
      <protection/>
    </xf>
    <xf numFmtId="0" fontId="110" fillId="55" borderId="0" xfId="352" applyFont="1" applyFill="1" applyAlignment="1">
      <alignment vertical="center"/>
      <protection/>
    </xf>
    <xf numFmtId="0" fontId="111" fillId="55" borderId="0" xfId="352" applyFont="1" applyFill="1" applyAlignment="1">
      <alignment horizontal="left" vertical="center"/>
      <protection/>
    </xf>
    <xf numFmtId="3" fontId="2" fillId="55" borderId="27" xfId="356" applyNumberFormat="1" applyFont="1" applyFill="1" applyBorder="1" applyAlignment="1">
      <alignment horizontal="center"/>
      <protection/>
    </xf>
    <xf numFmtId="169" fontId="2" fillId="55" borderId="0" xfId="356" applyNumberFormat="1" applyFont="1" applyFill="1" applyBorder="1" applyAlignment="1">
      <alignment horizontal="center"/>
      <protection/>
    </xf>
    <xf numFmtId="169" fontId="2" fillId="55" borderId="28" xfId="356" applyNumberFormat="1" applyFont="1" applyFill="1" applyBorder="1" applyAlignment="1">
      <alignment horizontal="center"/>
      <protection/>
    </xf>
    <xf numFmtId="0" fontId="22" fillId="55" borderId="29" xfId="356" applyFont="1" applyFill="1" applyBorder="1" applyAlignment="1">
      <alignment horizontal="center"/>
      <protection/>
    </xf>
    <xf numFmtId="0" fontId="22" fillId="55" borderId="22" xfId="356" applyFont="1" applyFill="1" applyBorder="1" applyAlignment="1">
      <alignment horizontal="center"/>
      <protection/>
    </xf>
    <xf numFmtId="0" fontId="22" fillId="55" borderId="30" xfId="356" applyFont="1" applyFill="1" applyBorder="1" applyAlignment="1">
      <alignment horizontal="center"/>
      <protection/>
    </xf>
    <xf numFmtId="3" fontId="2" fillId="55" borderId="0" xfId="303" applyNumberFormat="1" applyFont="1" applyFill="1" applyBorder="1" applyAlignment="1">
      <alignment horizontal="center" vertical="center"/>
    </xf>
    <xf numFmtId="3" fontId="2" fillId="55" borderId="20" xfId="303" applyNumberFormat="1" applyFont="1" applyFill="1" applyBorder="1" applyAlignment="1">
      <alignment horizontal="center" vertical="center" wrapText="1"/>
    </xf>
    <xf numFmtId="170" fontId="2" fillId="55" borderId="0" xfId="303" applyNumberFormat="1" applyFont="1" applyFill="1" applyBorder="1" applyAlignment="1">
      <alignment horizontal="center" vertical="center" wrapText="1"/>
    </xf>
    <xf numFmtId="170" fontId="2" fillId="55" borderId="0" xfId="356" applyNumberFormat="1" applyFont="1" applyFill="1" applyBorder="1" applyAlignment="1">
      <alignment horizontal="center"/>
      <protection/>
    </xf>
    <xf numFmtId="0" fontId="2" fillId="55" borderId="0" xfId="344" applyFont="1" applyFill="1" applyBorder="1">
      <alignment/>
      <protection/>
    </xf>
    <xf numFmtId="0" fontId="101" fillId="55" borderId="22" xfId="0" applyFont="1" applyFill="1" applyBorder="1" applyAlignment="1">
      <alignment horizontal="center" vertical="center" wrapText="1"/>
    </xf>
    <xf numFmtId="170" fontId="2" fillId="55" borderId="0" xfId="303" applyNumberFormat="1" applyFont="1" applyFill="1" applyBorder="1" applyAlignment="1">
      <alignment horizontal="center" vertical="center"/>
    </xf>
    <xf numFmtId="0" fontId="102" fillId="55" borderId="32" xfId="0" applyFont="1" applyFill="1" applyBorder="1" applyAlignment="1">
      <alignment/>
    </xf>
    <xf numFmtId="175" fontId="102" fillId="55" borderId="0" xfId="0" applyNumberFormat="1" applyFont="1" applyFill="1" applyAlignment="1">
      <alignment horizontal="left"/>
    </xf>
    <xf numFmtId="10" fontId="2" fillId="55" borderId="0" xfId="376" applyNumberFormat="1" applyFont="1" applyFill="1" applyAlignment="1">
      <alignment/>
    </xf>
    <xf numFmtId="3" fontId="101" fillId="0" borderId="25" xfId="0" applyNumberFormat="1" applyFont="1" applyFill="1" applyBorder="1" applyAlignment="1">
      <alignment/>
    </xf>
    <xf numFmtId="14" fontId="102" fillId="55" borderId="33" xfId="0" applyNumberFormat="1" applyFont="1" applyFill="1" applyBorder="1" applyAlignment="1">
      <alignment horizontal="left"/>
    </xf>
    <xf numFmtId="3" fontId="102" fillId="55" borderId="33" xfId="0" applyNumberFormat="1" applyFont="1" applyFill="1" applyBorder="1" applyAlignment="1">
      <alignment horizontal="center"/>
    </xf>
    <xf numFmtId="14" fontId="102" fillId="55" borderId="34" xfId="0" applyNumberFormat="1" applyFont="1" applyFill="1" applyBorder="1" applyAlignment="1">
      <alignment horizontal="left"/>
    </xf>
    <xf numFmtId="3" fontId="102" fillId="55" borderId="34" xfId="0" applyNumberFormat="1" applyFont="1" applyFill="1" applyBorder="1" applyAlignment="1">
      <alignment horizontal="center"/>
    </xf>
    <xf numFmtId="175" fontId="102" fillId="55" borderId="35" xfId="0" applyNumberFormat="1" applyFont="1" applyFill="1" applyBorder="1" applyAlignment="1">
      <alignment horizontal="left"/>
    </xf>
    <xf numFmtId="175" fontId="102" fillId="55" borderId="33" xfId="0" applyNumberFormat="1" applyFont="1" applyFill="1" applyBorder="1" applyAlignment="1">
      <alignment horizontal="left"/>
    </xf>
    <xf numFmtId="0" fontId="2" fillId="55" borderId="36" xfId="356" applyFont="1" applyFill="1" applyBorder="1">
      <alignment/>
      <protection/>
    </xf>
    <xf numFmtId="0" fontId="2" fillId="55" borderId="34" xfId="356" applyFont="1" applyFill="1" applyBorder="1">
      <alignment/>
      <protection/>
    </xf>
    <xf numFmtId="0" fontId="26" fillId="55" borderId="0" xfId="0" applyFont="1" applyFill="1" applyAlignment="1">
      <alignment/>
    </xf>
    <xf numFmtId="0" fontId="2" fillId="55" borderId="23" xfId="356" applyFont="1" applyFill="1" applyBorder="1" applyAlignment="1">
      <alignment horizontal="center"/>
      <protection/>
    </xf>
    <xf numFmtId="0" fontId="101" fillId="55" borderId="0" xfId="352" applyFont="1" applyFill="1" applyAlignment="1">
      <alignment horizontal="center"/>
      <protection/>
    </xf>
    <xf numFmtId="0" fontId="22" fillId="55" borderId="0" xfId="356" applyFont="1" applyFill="1" applyBorder="1" applyAlignment="1">
      <alignment horizontal="center"/>
      <protection/>
    </xf>
    <xf numFmtId="0" fontId="24" fillId="55" borderId="0" xfId="356" applyFont="1" applyFill="1" applyBorder="1" applyAlignment="1">
      <alignment vertical="center" wrapText="1"/>
      <protection/>
    </xf>
    <xf numFmtId="0" fontId="22" fillId="55" borderId="20" xfId="356" applyFont="1" applyFill="1" applyBorder="1" applyAlignment="1">
      <alignment horizontal="center" vertical="center" wrapText="1"/>
      <protection/>
    </xf>
    <xf numFmtId="0" fontId="22" fillId="55" borderId="19" xfId="356" applyFont="1" applyFill="1" applyBorder="1" applyAlignment="1">
      <alignment horizontal="center" vertical="center" wrapText="1"/>
      <protection/>
    </xf>
    <xf numFmtId="17" fontId="112" fillId="55" borderId="0" xfId="352" applyNumberFormat="1" applyFont="1" applyFill="1" applyAlignment="1">
      <alignment vertical="center"/>
      <protection/>
    </xf>
    <xf numFmtId="0" fontId="0" fillId="55" borderId="0" xfId="0" applyFont="1" applyFill="1" applyAlignment="1">
      <alignment/>
    </xf>
    <xf numFmtId="0" fontId="113" fillId="55" borderId="0" xfId="352" applyFont="1" applyFill="1" applyAlignment="1">
      <alignment horizontal="center"/>
      <protection/>
    </xf>
    <xf numFmtId="0" fontId="107" fillId="55" borderId="0" xfId="352" applyFont="1" applyFill="1" applyAlignment="1">
      <alignment horizontal="center"/>
      <protection/>
    </xf>
    <xf numFmtId="0" fontId="113" fillId="55" borderId="0" xfId="352" applyFont="1" applyFill="1" applyAlignment="1">
      <alignment/>
      <protection/>
    </xf>
    <xf numFmtId="0" fontId="107" fillId="55" borderId="0" xfId="352"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13" fillId="55" borderId="0" xfId="352" applyFont="1" applyFill="1" applyAlignment="1">
      <alignment vertical="center"/>
      <protection/>
    </xf>
    <xf numFmtId="0" fontId="101" fillId="55" borderId="0" xfId="0" applyFont="1" applyFill="1" applyBorder="1" applyAlignment="1">
      <alignment horizontal="center"/>
    </xf>
    <xf numFmtId="170" fontId="101" fillId="55" borderId="0" xfId="0" applyNumberFormat="1" applyFont="1" applyFill="1" applyBorder="1" applyAlignment="1">
      <alignment horizontal="center" vertical="center" wrapText="1"/>
    </xf>
    <xf numFmtId="170" fontId="102" fillId="55" borderId="0" xfId="0" applyNumberFormat="1" applyFont="1" applyFill="1" applyBorder="1" applyAlignment="1">
      <alignment horizontal="right"/>
    </xf>
    <xf numFmtId="170" fontId="101" fillId="55" borderId="0" xfId="0" applyNumberFormat="1" applyFont="1" applyFill="1" applyBorder="1" applyAlignment="1">
      <alignment horizontal="right"/>
    </xf>
    <xf numFmtId="0" fontId="104" fillId="55" borderId="0" xfId="0" applyFont="1" applyFill="1" applyBorder="1" applyAlignment="1">
      <alignment horizontal="left"/>
    </xf>
    <xf numFmtId="0" fontId="24" fillId="55" borderId="0" xfId="0" applyFont="1" applyFill="1" applyBorder="1" applyAlignment="1">
      <alignment horizontal="left" vertical="center" wrapText="1"/>
    </xf>
    <xf numFmtId="0" fontId="101" fillId="56" borderId="0" xfId="0" applyFont="1" applyFill="1" applyBorder="1" applyAlignment="1">
      <alignment horizontal="center" vertical="center" wrapText="1"/>
    </xf>
    <xf numFmtId="3" fontId="102" fillId="55" borderId="0" xfId="0" applyNumberFormat="1" applyFont="1" applyFill="1" applyBorder="1" applyAlignment="1">
      <alignment horizontal="center"/>
    </xf>
    <xf numFmtId="0" fontId="28" fillId="55" borderId="0" xfId="356" applyFont="1" applyFill="1" applyBorder="1" applyAlignment="1">
      <alignment horizontal="center" vertical="center" wrapText="1"/>
      <protection/>
    </xf>
    <xf numFmtId="0" fontId="2" fillId="55" borderId="0" xfId="356" applyFont="1" applyFill="1" applyBorder="1" applyAlignment="1">
      <alignment wrapText="1"/>
      <protection/>
    </xf>
    <xf numFmtId="3" fontId="2" fillId="55" borderId="0" xfId="356" applyNumberFormat="1" applyFont="1" applyFill="1" applyBorder="1" applyAlignment="1">
      <alignment wrapText="1"/>
      <protection/>
    </xf>
    <xf numFmtId="0" fontId="2" fillId="55" borderId="0" xfId="356" applyFont="1" applyFill="1" applyAlignment="1">
      <alignment wrapText="1"/>
      <protection/>
    </xf>
    <xf numFmtId="0" fontId="2" fillId="55" borderId="20" xfId="356" applyFont="1" applyFill="1" applyBorder="1" applyAlignment="1">
      <alignment horizontal="center" wrapText="1"/>
      <protection/>
    </xf>
    <xf numFmtId="3" fontId="2" fillId="55" borderId="20" xfId="356" applyNumberFormat="1" applyFont="1" applyFill="1" applyBorder="1" applyAlignment="1">
      <alignment horizontal="center" wrapText="1"/>
      <protection/>
    </xf>
    <xf numFmtId="0" fontId="2" fillId="55" borderId="0" xfId="356" applyFont="1" applyFill="1" applyBorder="1" applyAlignment="1">
      <alignment horizontal="center" wrapText="1"/>
      <protection/>
    </xf>
    <xf numFmtId="3" fontId="2" fillId="55" borderId="0" xfId="356" applyNumberFormat="1" applyFont="1" applyFill="1" applyBorder="1" applyAlignment="1">
      <alignment horizontal="center" wrapText="1"/>
      <protection/>
    </xf>
    <xf numFmtId="0" fontId="2" fillId="55" borderId="23" xfId="356" applyFont="1" applyFill="1" applyBorder="1" applyAlignment="1">
      <alignment horizontal="center" wrapText="1"/>
      <protection/>
    </xf>
    <xf numFmtId="3" fontId="2" fillId="55" borderId="23" xfId="356" applyNumberFormat="1" applyFont="1" applyFill="1" applyBorder="1" applyAlignment="1">
      <alignment horizontal="center" wrapText="1"/>
      <protection/>
    </xf>
    <xf numFmtId="0" fontId="113" fillId="55" borderId="0" xfId="352" applyFont="1" applyFill="1" applyAlignment="1">
      <alignment horizontal="center"/>
      <protection/>
    </xf>
    <xf numFmtId="0" fontId="101" fillId="55" borderId="29" xfId="0" applyFont="1" applyFill="1" applyBorder="1" applyAlignment="1">
      <alignment/>
    </xf>
    <xf numFmtId="0" fontId="101" fillId="55" borderId="30" xfId="0" applyFont="1" applyFill="1" applyBorder="1" applyAlignment="1">
      <alignment/>
    </xf>
    <xf numFmtId="0" fontId="101" fillId="55" borderId="29" xfId="0" applyFont="1" applyFill="1" applyBorder="1" applyAlignment="1">
      <alignment horizontal="left" vertical="center"/>
    </xf>
    <xf numFmtId="0" fontId="101" fillId="55" borderId="30" xfId="0" applyFont="1" applyFill="1" applyBorder="1" applyAlignment="1">
      <alignment horizontal="left" vertical="center"/>
    </xf>
    <xf numFmtId="0" fontId="2" fillId="0" borderId="0" xfId="356" applyFont="1" applyFill="1">
      <alignment/>
      <protection/>
    </xf>
    <xf numFmtId="3" fontId="2" fillId="0" borderId="0" xfId="356" applyNumberFormat="1" applyFont="1" applyFill="1">
      <alignment/>
      <protection/>
    </xf>
    <xf numFmtId="17" fontId="2" fillId="0" borderId="0" xfId="356" applyNumberFormat="1" applyFont="1" applyFill="1">
      <alignment/>
      <protection/>
    </xf>
    <xf numFmtId="176" fontId="2" fillId="55" borderId="0" xfId="376" applyNumberFormat="1" applyFont="1" applyFill="1" applyAlignment="1">
      <alignment/>
    </xf>
    <xf numFmtId="0" fontId="24" fillId="55" borderId="0" xfId="356" applyNumberFormat="1" applyFont="1" applyFill="1" applyBorder="1" applyAlignment="1">
      <alignment/>
      <protection/>
    </xf>
    <xf numFmtId="0" fontId="107" fillId="55" borderId="0" xfId="352" applyFont="1" applyFill="1" applyAlignment="1">
      <alignment wrapText="1"/>
      <protection/>
    </xf>
    <xf numFmtId="17" fontId="107" fillId="55" borderId="0" xfId="352" applyNumberFormat="1" applyFont="1" applyFill="1" applyAlignment="1" quotePrefix="1">
      <alignment horizontal="center"/>
      <protection/>
    </xf>
    <xf numFmtId="170" fontId="2" fillId="55" borderId="23" xfId="356" applyNumberFormat="1" applyFont="1" applyFill="1" applyBorder="1" applyAlignment="1">
      <alignment horizontal="center"/>
      <protection/>
    </xf>
    <xf numFmtId="0" fontId="22" fillId="55" borderId="24" xfId="356" applyFont="1" applyFill="1" applyBorder="1">
      <alignment/>
      <protection/>
    </xf>
    <xf numFmtId="0" fontId="22" fillId="55" borderId="37" xfId="356" applyFont="1" applyFill="1" applyBorder="1">
      <alignment/>
      <protection/>
    </xf>
    <xf numFmtId="3" fontId="22" fillId="55" borderId="24" xfId="356" applyNumberFormat="1" applyFont="1" applyFill="1" applyBorder="1" applyAlignment="1">
      <alignment horizontal="center"/>
      <protection/>
    </xf>
    <xf numFmtId="3" fontId="22" fillId="55" borderId="25" xfId="356" applyNumberFormat="1" applyFont="1" applyFill="1" applyBorder="1" applyAlignment="1">
      <alignment horizontal="center"/>
      <protection/>
    </xf>
    <xf numFmtId="172" fontId="22" fillId="55" borderId="25" xfId="356" applyNumberFormat="1" applyFont="1" applyFill="1" applyBorder="1" applyAlignment="1">
      <alignment horizontal="center"/>
      <protection/>
    </xf>
    <xf numFmtId="169" fontId="22" fillId="55" borderId="26" xfId="356" applyNumberFormat="1" applyFont="1" applyFill="1" applyBorder="1" applyAlignment="1">
      <alignment horizontal="center"/>
      <protection/>
    </xf>
    <xf numFmtId="169" fontId="22" fillId="55" borderId="25" xfId="356" applyNumberFormat="1" applyFont="1" applyFill="1" applyBorder="1" applyAlignment="1">
      <alignment horizontal="center"/>
      <protection/>
    </xf>
    <xf numFmtId="3" fontId="22" fillId="55" borderId="37" xfId="356" applyNumberFormat="1" applyFont="1" applyFill="1" applyBorder="1" applyAlignment="1">
      <alignment horizontal="center"/>
      <protection/>
    </xf>
    <xf numFmtId="3" fontId="22" fillId="55" borderId="23" xfId="356" applyNumberFormat="1" applyFont="1" applyFill="1" applyBorder="1" applyAlignment="1">
      <alignment horizontal="center"/>
      <protection/>
    </xf>
    <xf numFmtId="172" fontId="22" fillId="55" borderId="23" xfId="356" applyNumberFormat="1" applyFont="1" applyFill="1" applyBorder="1" applyAlignment="1">
      <alignment horizontal="center"/>
      <protection/>
    </xf>
    <xf numFmtId="169" fontId="22" fillId="55" borderId="38" xfId="356" applyNumberFormat="1" applyFont="1" applyFill="1" applyBorder="1" applyAlignment="1">
      <alignment horizontal="center"/>
      <protection/>
    </xf>
    <xf numFmtId="169" fontId="22" fillId="55" borderId="23" xfId="356" applyNumberFormat="1" applyFont="1" applyFill="1" applyBorder="1" applyAlignment="1">
      <alignment horizontal="center"/>
      <protection/>
    </xf>
    <xf numFmtId="0" fontId="22" fillId="55" borderId="0" xfId="356" applyFont="1" applyFill="1" applyBorder="1" applyAlignment="1">
      <alignment horizontal="center" vertical="center"/>
      <protection/>
    </xf>
    <xf numFmtId="0" fontId="102" fillId="55" borderId="26" xfId="0" applyFont="1" applyFill="1" applyBorder="1" applyAlignment="1">
      <alignment/>
    </xf>
    <xf numFmtId="0" fontId="102" fillId="55" borderId="28" xfId="0" applyFont="1" applyFill="1" applyBorder="1" applyAlignment="1">
      <alignment/>
    </xf>
    <xf numFmtId="0" fontId="22" fillId="55" borderId="0" xfId="356" applyFont="1" applyFill="1" applyBorder="1" applyAlignment="1">
      <alignment/>
      <protection/>
    </xf>
    <xf numFmtId="177" fontId="2" fillId="55" borderId="0" xfId="356" applyNumberFormat="1" applyFont="1" applyFill="1">
      <alignment/>
      <protection/>
    </xf>
    <xf numFmtId="0" fontId="104" fillId="55" borderId="37" xfId="0" applyFont="1" applyFill="1" applyBorder="1" applyAlignment="1">
      <alignment horizontal="left"/>
    </xf>
    <xf numFmtId="0" fontId="104" fillId="55" borderId="23" xfId="0" applyFont="1" applyFill="1" applyBorder="1" applyAlignment="1">
      <alignment horizontal="left"/>
    </xf>
    <xf numFmtId="0" fontId="104" fillId="55" borderId="38" xfId="0" applyFont="1" applyFill="1" applyBorder="1" applyAlignment="1">
      <alignment horizontal="left"/>
    </xf>
    <xf numFmtId="0" fontId="24" fillId="55" borderId="0" xfId="360" applyFont="1" applyFill="1" applyBorder="1" applyAlignment="1">
      <alignment vertical="center" wrapText="1"/>
      <protection/>
    </xf>
    <xf numFmtId="0" fontId="114" fillId="55" borderId="0" xfId="0" applyFont="1" applyFill="1" applyAlignment="1" quotePrefix="1">
      <alignment horizontal="center"/>
    </xf>
    <xf numFmtId="178" fontId="2" fillId="55" borderId="0" xfId="356" applyNumberFormat="1" applyFont="1" applyFill="1">
      <alignment/>
      <protection/>
    </xf>
    <xf numFmtId="0" fontId="22" fillId="55" borderId="0" xfId="356" applyFont="1" applyFill="1" applyBorder="1" applyAlignment="1">
      <alignment horizontal="center"/>
      <protection/>
    </xf>
    <xf numFmtId="9" fontId="2" fillId="55" borderId="0" xfId="376" applyFont="1" applyFill="1" applyAlignment="1">
      <alignment/>
    </xf>
    <xf numFmtId="0" fontId="115" fillId="55" borderId="0" xfId="356" applyFont="1" applyFill="1">
      <alignment/>
      <protection/>
    </xf>
    <xf numFmtId="3" fontId="116" fillId="55" borderId="0" xfId="356" applyNumberFormat="1" applyFont="1" applyFill="1">
      <alignment/>
      <protection/>
    </xf>
    <xf numFmtId="0" fontId="24" fillId="55" borderId="25" xfId="360" applyFont="1" applyFill="1" applyBorder="1" applyAlignment="1">
      <alignment horizontal="left" vertical="center" wrapText="1"/>
      <protection/>
    </xf>
    <xf numFmtId="0" fontId="24" fillId="55" borderId="25" xfId="356" applyFont="1" applyFill="1" applyBorder="1">
      <alignment/>
      <protection/>
    </xf>
    <xf numFmtId="3" fontId="102" fillId="55" borderId="35" xfId="0" applyNumberFormat="1" applyFont="1" applyFill="1" applyBorder="1" applyAlignment="1">
      <alignment horizontal="center"/>
    </xf>
    <xf numFmtId="3" fontId="102" fillId="55" borderId="0" xfId="0" applyNumberFormat="1" applyFont="1" applyFill="1" applyAlignment="1">
      <alignment horizontal="center"/>
    </xf>
    <xf numFmtId="0" fontId="117" fillId="55" borderId="0" xfId="0" applyFont="1" applyFill="1" applyAlignment="1">
      <alignment/>
    </xf>
    <xf numFmtId="176" fontId="117" fillId="55" borderId="0" xfId="376" applyNumberFormat="1" applyFont="1" applyFill="1" applyAlignment="1">
      <alignment/>
    </xf>
    <xf numFmtId="0" fontId="118" fillId="55" borderId="0" xfId="286" applyFont="1" applyFill="1" applyAlignment="1">
      <alignment/>
    </xf>
    <xf numFmtId="0" fontId="117" fillId="55" borderId="0" xfId="356" applyFont="1" applyFill="1">
      <alignment/>
      <protection/>
    </xf>
    <xf numFmtId="9" fontId="117" fillId="55" borderId="0" xfId="376" applyFont="1" applyFill="1" applyAlignment="1">
      <alignment/>
    </xf>
    <xf numFmtId="173" fontId="117" fillId="55" borderId="0" xfId="356" applyNumberFormat="1" applyFont="1" applyFill="1">
      <alignment/>
      <protection/>
    </xf>
    <xf numFmtId="0" fontId="94" fillId="55" borderId="0" xfId="0" applyFont="1" applyFill="1" applyAlignment="1">
      <alignment/>
    </xf>
    <xf numFmtId="1" fontId="94" fillId="55" borderId="0" xfId="0" applyNumberFormat="1" applyFont="1" applyFill="1" applyAlignment="1">
      <alignment/>
    </xf>
    <xf numFmtId="0" fontId="22" fillId="55" borderId="0" xfId="356" applyFont="1" applyFill="1" applyBorder="1" applyAlignment="1">
      <alignment horizontal="center" vertical="center"/>
      <protection/>
    </xf>
    <xf numFmtId="0" fontId="22" fillId="55" borderId="0" xfId="356" applyFont="1" applyFill="1" applyBorder="1" applyAlignment="1">
      <alignment horizontal="center"/>
      <protection/>
    </xf>
    <xf numFmtId="0" fontId="102" fillId="55" borderId="31" xfId="0" applyFont="1" applyFill="1" applyBorder="1" applyAlignment="1">
      <alignment horizontal="left" vertical="center" wrapText="1"/>
    </xf>
    <xf numFmtId="179" fontId="2" fillId="55" borderId="0" xfId="299" applyNumberFormat="1" applyFont="1" applyFill="1" applyAlignment="1">
      <alignment/>
    </xf>
    <xf numFmtId="170" fontId="2" fillId="55" borderId="36" xfId="345" applyNumberFormat="1" applyFont="1" applyFill="1" applyBorder="1" applyAlignment="1">
      <alignment horizontal="center" vertical="center" wrapText="1"/>
      <protection/>
    </xf>
    <xf numFmtId="170" fontId="2" fillId="55" borderId="34" xfId="345" applyNumberFormat="1" applyFont="1" applyFill="1" applyBorder="1" applyAlignment="1">
      <alignment horizontal="center" vertical="center" wrapText="1"/>
      <protection/>
    </xf>
    <xf numFmtId="170" fontId="2" fillId="0" borderId="34" xfId="345" applyNumberFormat="1" applyFont="1" applyFill="1" applyBorder="1" applyAlignment="1">
      <alignment horizontal="center" vertical="center" wrapText="1"/>
      <protection/>
    </xf>
    <xf numFmtId="170" fontId="2" fillId="55" borderId="0" xfId="345" applyNumberFormat="1" applyFont="1" applyFill="1" applyBorder="1" applyAlignment="1">
      <alignment horizontal="center" vertical="center" wrapText="1"/>
      <protection/>
    </xf>
    <xf numFmtId="170" fontId="22" fillId="55" borderId="21" xfId="345" applyNumberFormat="1" applyFont="1" applyFill="1" applyBorder="1" applyAlignment="1">
      <alignment horizontal="center" vertical="center" wrapText="1"/>
      <protection/>
    </xf>
    <xf numFmtId="170" fontId="22" fillId="0" borderId="21" xfId="345" applyNumberFormat="1" applyFont="1" applyFill="1" applyBorder="1" applyAlignment="1">
      <alignment horizontal="center" vertical="center" wrapText="1"/>
      <protection/>
    </xf>
    <xf numFmtId="170" fontId="22" fillId="55" borderId="19" xfId="345" applyNumberFormat="1" applyFont="1" applyFill="1" applyBorder="1" applyAlignment="1">
      <alignment horizontal="center" vertical="center" wrapText="1"/>
      <protection/>
    </xf>
    <xf numFmtId="17" fontId="2" fillId="55" borderId="0" xfId="356" applyNumberFormat="1" applyFont="1" applyFill="1">
      <alignment/>
      <protection/>
    </xf>
    <xf numFmtId="0" fontId="102" fillId="55" borderId="31" xfId="0" applyFont="1" applyFill="1" applyBorder="1" applyAlignment="1">
      <alignment horizontal="left" vertical="center"/>
    </xf>
    <xf numFmtId="3" fontId="102" fillId="55" borderId="0" xfId="0" applyNumberFormat="1" applyFont="1" applyFill="1" applyBorder="1" applyAlignment="1">
      <alignment horizontal="right" vertical="center"/>
    </xf>
    <xf numFmtId="170" fontId="102" fillId="55" borderId="28" xfId="0" applyNumberFormat="1" applyFont="1" applyFill="1" applyBorder="1" applyAlignment="1">
      <alignment horizontal="right" vertical="center"/>
    </xf>
    <xf numFmtId="180" fontId="2" fillId="55" borderId="0" xfId="329" applyNumberFormat="1" applyFont="1" applyFill="1" applyAlignment="1">
      <alignment/>
    </xf>
    <xf numFmtId="176" fontId="102" fillId="55" borderId="0" xfId="376" applyNumberFormat="1" applyFont="1" applyFill="1" applyAlignment="1">
      <alignment/>
    </xf>
    <xf numFmtId="170" fontId="117" fillId="55" borderId="0" xfId="356" applyNumberFormat="1" applyFont="1" applyFill="1">
      <alignment/>
      <protection/>
    </xf>
    <xf numFmtId="0" fontId="102" fillId="55" borderId="31" xfId="0" applyFont="1" applyFill="1" applyBorder="1" applyAlignment="1">
      <alignment horizontal="left" vertical="center" wrapText="1"/>
    </xf>
    <xf numFmtId="0" fontId="22" fillId="55" borderId="0" xfId="356" applyFont="1" applyFill="1" applyBorder="1" applyAlignment="1">
      <alignment horizontal="center" vertical="center"/>
      <protection/>
    </xf>
    <xf numFmtId="0" fontId="2" fillId="55" borderId="0" xfId="356" applyFont="1" applyFill="1" applyBorder="1" applyAlignment="1">
      <alignment horizontal="left" vertical="top" wrapText="1"/>
      <protection/>
    </xf>
    <xf numFmtId="0" fontId="22" fillId="55" borderId="0" xfId="356" applyFont="1" applyFill="1" applyBorder="1" applyAlignment="1">
      <alignment horizontal="center"/>
      <protection/>
    </xf>
    <xf numFmtId="3" fontId="117" fillId="55" borderId="0" xfId="0" applyNumberFormat="1" applyFont="1" applyFill="1" applyAlignment="1">
      <alignment/>
    </xf>
    <xf numFmtId="4" fontId="117" fillId="55" borderId="0" xfId="0" applyNumberFormat="1" applyFont="1" applyFill="1" applyAlignment="1">
      <alignment/>
    </xf>
    <xf numFmtId="0" fontId="2" fillId="55" borderId="0" xfId="0" applyFont="1" applyFill="1" applyAlignment="1">
      <alignment/>
    </xf>
    <xf numFmtId="0" fontId="115" fillId="55" borderId="0" xfId="0" applyFont="1" applyFill="1" applyAlignment="1">
      <alignment/>
    </xf>
    <xf numFmtId="0" fontId="119" fillId="55" borderId="0" xfId="0" applyFont="1" applyFill="1" applyBorder="1" applyAlignment="1">
      <alignment horizontal="center" vertical="center" wrapText="1"/>
    </xf>
    <xf numFmtId="176" fontId="115" fillId="55" borderId="0" xfId="376" applyNumberFormat="1" applyFont="1" applyFill="1" applyAlignment="1">
      <alignment horizontal="center"/>
    </xf>
    <xf numFmtId="0" fontId="115" fillId="55" borderId="0" xfId="0" applyFont="1" applyFill="1" applyAlignment="1">
      <alignment horizontal="center"/>
    </xf>
    <xf numFmtId="176" fontId="119" fillId="55" borderId="0" xfId="0" applyNumberFormat="1" applyFont="1" applyFill="1" applyAlignment="1">
      <alignment horizontal="center" vertical="center"/>
    </xf>
    <xf numFmtId="176" fontId="115" fillId="55" borderId="0" xfId="0" applyNumberFormat="1" applyFont="1" applyFill="1" applyAlignment="1">
      <alignment horizontal="center" vertical="center"/>
    </xf>
    <xf numFmtId="3" fontId="115" fillId="55" borderId="0" xfId="0" applyNumberFormat="1" applyFont="1" applyFill="1" applyAlignment="1">
      <alignment horizontal="center"/>
    </xf>
    <xf numFmtId="0" fontId="119" fillId="55" borderId="0" xfId="0" applyFont="1" applyFill="1" applyAlignment="1">
      <alignment horizontal="center" vertical="center" wrapText="1"/>
    </xf>
    <xf numFmtId="9" fontId="115" fillId="55" borderId="0" xfId="376" applyFont="1" applyFill="1" applyAlignment="1">
      <alignment horizontal="center"/>
    </xf>
    <xf numFmtId="3" fontId="115" fillId="55" borderId="0" xfId="0" applyNumberFormat="1" applyFont="1" applyFill="1" applyAlignment="1">
      <alignment/>
    </xf>
    <xf numFmtId="176" fontId="119" fillId="55" borderId="0" xfId="0" applyNumberFormat="1" applyFont="1" applyFill="1" applyAlignment="1">
      <alignment horizontal="center"/>
    </xf>
    <xf numFmtId="181" fontId="115" fillId="55" borderId="0" xfId="299" applyNumberFormat="1" applyFont="1" applyFill="1" applyAlignment="1">
      <alignment horizontal="center"/>
    </xf>
    <xf numFmtId="9" fontId="119" fillId="55" borderId="0" xfId="0" applyNumberFormat="1" applyFont="1" applyFill="1" applyAlignment="1">
      <alignment horizontal="center"/>
    </xf>
    <xf numFmtId="43" fontId="115" fillId="55" borderId="0" xfId="299" applyFont="1" applyFill="1" applyAlignment="1">
      <alignment/>
    </xf>
    <xf numFmtId="9" fontId="115" fillId="55" borderId="0" xfId="376" applyFont="1" applyFill="1" applyAlignment="1">
      <alignment/>
    </xf>
    <xf numFmtId="176" fontId="115" fillId="55" borderId="0" xfId="376" applyNumberFormat="1" applyFont="1" applyFill="1" applyAlignment="1">
      <alignment/>
    </xf>
    <xf numFmtId="0" fontId="80" fillId="0" borderId="0" xfId="0" applyFont="1" applyAlignment="1">
      <alignment/>
    </xf>
    <xf numFmtId="0" fontId="25" fillId="55" borderId="0" xfId="356" applyFont="1" applyFill="1" applyAlignment="1">
      <alignment/>
      <protection/>
    </xf>
    <xf numFmtId="0" fontId="24" fillId="55" borderId="0" xfId="356" applyFont="1" applyFill="1" applyAlignment="1">
      <alignment/>
      <protection/>
    </xf>
    <xf numFmtId="0" fontId="119" fillId="55" borderId="0" xfId="0" applyFont="1" applyFill="1" applyAlignment="1">
      <alignment horizontal="center" wrapText="1"/>
    </xf>
    <xf numFmtId="4" fontId="115" fillId="55" borderId="0" xfId="0" applyNumberFormat="1" applyFont="1" applyFill="1" applyAlignment="1">
      <alignment horizontal="center"/>
    </xf>
    <xf numFmtId="0" fontId="80" fillId="55" borderId="0" xfId="0" applyFont="1" applyFill="1" applyAlignment="1">
      <alignment/>
    </xf>
    <xf numFmtId="0" fontId="119" fillId="55" borderId="0" xfId="0" applyFont="1" applyFill="1" applyAlignment="1">
      <alignment horizontal="center" vertical="center"/>
    </xf>
    <xf numFmtId="0" fontId="2" fillId="55" borderId="28" xfId="356" applyFont="1" applyFill="1" applyBorder="1">
      <alignment/>
      <protection/>
    </xf>
    <xf numFmtId="0" fontId="101" fillId="56" borderId="0" xfId="0" applyFont="1" applyFill="1" applyBorder="1" applyAlignment="1">
      <alignment horizontal="center"/>
    </xf>
    <xf numFmtId="0" fontId="101" fillId="56" borderId="39" xfId="0" applyFont="1" applyFill="1" applyBorder="1" applyAlignment="1">
      <alignment vertical="center"/>
    </xf>
    <xf numFmtId="0" fontId="101" fillId="56" borderId="37" xfId="0" applyFont="1" applyFill="1" applyBorder="1" applyAlignment="1">
      <alignment horizontal="center" vertical="center" wrapText="1"/>
    </xf>
    <xf numFmtId="0" fontId="101" fillId="56" borderId="23" xfId="0" applyFont="1" applyFill="1" applyBorder="1" applyAlignment="1">
      <alignment horizontal="center" vertical="center" wrapText="1"/>
    </xf>
    <xf numFmtId="0" fontId="101" fillId="56" borderId="38" xfId="0" applyFont="1" applyFill="1" applyBorder="1" applyAlignment="1">
      <alignment horizontal="center" vertical="center" wrapText="1"/>
    </xf>
    <xf numFmtId="0" fontId="119" fillId="56" borderId="0" xfId="0" applyFont="1" applyFill="1" applyBorder="1" applyAlignment="1">
      <alignment horizontal="center" vertical="center"/>
    </xf>
    <xf numFmtId="175" fontId="102" fillId="55" borderId="40" xfId="0" applyNumberFormat="1" applyFont="1" applyFill="1" applyBorder="1" applyAlignment="1">
      <alignment horizontal="left"/>
    </xf>
    <xf numFmtId="3" fontId="102" fillId="55" borderId="41" xfId="0" applyNumberFormat="1" applyFont="1" applyFill="1" applyBorder="1" applyAlignment="1">
      <alignment horizontal="center"/>
    </xf>
    <xf numFmtId="3" fontId="102" fillId="55" borderId="42" xfId="0" applyNumberFormat="1" applyFont="1" applyFill="1" applyBorder="1" applyAlignment="1">
      <alignment horizontal="center"/>
    </xf>
    <xf numFmtId="175" fontId="102" fillId="55" borderId="43" xfId="0" applyNumberFormat="1" applyFont="1" applyFill="1" applyBorder="1" applyAlignment="1">
      <alignment horizontal="left"/>
    </xf>
    <xf numFmtId="3" fontId="102" fillId="55" borderId="37" xfId="0" applyNumberFormat="1" applyFont="1" applyFill="1" applyBorder="1" applyAlignment="1">
      <alignment horizontal="center"/>
    </xf>
    <xf numFmtId="3" fontId="102" fillId="55" borderId="38" xfId="0" applyNumberFormat="1" applyFont="1" applyFill="1" applyBorder="1" applyAlignment="1">
      <alignment horizontal="center"/>
    </xf>
    <xf numFmtId="3" fontId="2" fillId="55" borderId="0" xfId="0" applyNumberFormat="1" applyFont="1" applyFill="1" applyAlignment="1">
      <alignment/>
    </xf>
    <xf numFmtId="3" fontId="119" fillId="55" borderId="0" xfId="0" applyNumberFormat="1" applyFont="1" applyFill="1" applyAlignment="1">
      <alignment horizontal="right"/>
    </xf>
    <xf numFmtId="0" fontId="119" fillId="55" borderId="0" xfId="0" applyFont="1" applyFill="1" applyAlignment="1">
      <alignment horizontal="right"/>
    </xf>
    <xf numFmtId="0" fontId="88" fillId="55" borderId="0" xfId="286" applyFill="1" applyBorder="1" applyAlignment="1" applyProtection="1">
      <alignment horizontal="right"/>
      <protection/>
    </xf>
    <xf numFmtId="0" fontId="22" fillId="55" borderId="39" xfId="0" applyFont="1" applyFill="1" applyBorder="1" applyAlignment="1">
      <alignment horizontal="center" vertical="center" wrapText="1"/>
    </xf>
    <xf numFmtId="0" fontId="22" fillId="55" borderId="39" xfId="0" applyFont="1" applyFill="1" applyBorder="1" applyAlignment="1">
      <alignment vertical="center" wrapText="1"/>
    </xf>
    <xf numFmtId="182" fontId="2" fillId="55" borderId="39" xfId="300" applyNumberFormat="1" applyFont="1" applyFill="1" applyBorder="1" applyAlignment="1">
      <alignment horizontal="center" vertical="center" wrapText="1"/>
    </xf>
    <xf numFmtId="164" fontId="2" fillId="55" borderId="39" xfId="330" applyNumberFormat="1" applyFont="1" applyFill="1" applyBorder="1" applyAlignment="1">
      <alignment horizontal="center" vertical="center" wrapText="1"/>
    </xf>
    <xf numFmtId="0" fontId="22" fillId="55" borderId="39" xfId="0" applyFont="1" applyFill="1" applyBorder="1" applyAlignment="1">
      <alignment vertical="center"/>
    </xf>
    <xf numFmtId="0" fontId="67" fillId="55" borderId="39" xfId="0" applyFont="1" applyFill="1" applyBorder="1" applyAlignment="1">
      <alignment horizontal="right" vertical="center" wrapText="1"/>
    </xf>
    <xf numFmtId="164" fontId="68" fillId="55" borderId="39" xfId="330" applyNumberFormat="1" applyFont="1" applyFill="1" applyBorder="1" applyAlignment="1">
      <alignment horizontal="right" vertical="center" wrapText="1"/>
    </xf>
    <xf numFmtId="0" fontId="67" fillId="55" borderId="39" xfId="0" applyFont="1" applyFill="1" applyBorder="1" applyAlignment="1">
      <alignment horizontal="right"/>
    </xf>
    <xf numFmtId="164" fontId="67" fillId="55" borderId="39" xfId="330" applyNumberFormat="1" applyFont="1" applyFill="1" applyBorder="1" applyAlignment="1">
      <alignment horizontal="right" vertical="center" wrapText="1"/>
    </xf>
    <xf numFmtId="0" fontId="22" fillId="55" borderId="0" xfId="0" applyFont="1" applyFill="1" applyBorder="1" applyAlignment="1">
      <alignment/>
    </xf>
    <xf numFmtId="164" fontId="68" fillId="55" borderId="0" xfId="330" applyNumberFormat="1" applyFont="1" applyFill="1" applyBorder="1" applyAlignment="1">
      <alignment vertical="center" wrapText="1"/>
    </xf>
    <xf numFmtId="3" fontId="22" fillId="55" borderId="39" xfId="0" applyNumberFormat="1" applyFont="1" applyFill="1" applyBorder="1" applyAlignment="1">
      <alignment horizontal="center"/>
    </xf>
    <xf numFmtId="3" fontId="22" fillId="55" borderId="39" xfId="299" applyNumberFormat="1" applyFont="1" applyFill="1" applyBorder="1" applyAlignment="1">
      <alignment horizontal="center" vertical="center"/>
    </xf>
    <xf numFmtId="0" fontId="2" fillId="55" borderId="0" xfId="0" applyFont="1" applyFill="1" applyBorder="1" applyAlignment="1">
      <alignment vertical="center"/>
    </xf>
    <xf numFmtId="0" fontId="102" fillId="55" borderId="0" xfId="0" applyFont="1" applyFill="1" applyBorder="1" applyAlignment="1">
      <alignment/>
    </xf>
    <xf numFmtId="3" fontId="22" fillId="55" borderId="0" xfId="299" applyNumberFormat="1" applyFont="1" applyFill="1" applyBorder="1" applyAlignment="1">
      <alignment horizontal="center" vertical="center"/>
    </xf>
    <xf numFmtId="164" fontId="2" fillId="55" borderId="0" xfId="330" applyNumberFormat="1" applyFont="1" applyFill="1" applyBorder="1" applyAlignment="1">
      <alignment horizontal="center" vertical="center" wrapText="1"/>
    </xf>
    <xf numFmtId="3" fontId="2" fillId="55" borderId="39" xfId="299" applyNumberFormat="1" applyFont="1" applyFill="1" applyBorder="1" applyAlignment="1">
      <alignment horizontal="center" vertical="center"/>
    </xf>
    <xf numFmtId="164" fontId="68" fillId="55" borderId="39" xfId="330" applyNumberFormat="1" applyFont="1" applyFill="1" applyBorder="1" applyAlignment="1">
      <alignment horizontal="center" vertical="center" wrapText="1"/>
    </xf>
    <xf numFmtId="0" fontId="22" fillId="55" borderId="39" xfId="0" applyFont="1" applyFill="1" applyBorder="1" applyAlignment="1">
      <alignment horizontal="left"/>
    </xf>
    <xf numFmtId="0" fontId="102" fillId="55" borderId="37" xfId="0" applyFont="1" applyFill="1" applyBorder="1" applyAlignment="1">
      <alignment horizontal="left" vertical="center" wrapText="1"/>
    </xf>
    <xf numFmtId="0" fontId="102" fillId="55" borderId="27" xfId="0" applyFont="1" applyFill="1" applyBorder="1" applyAlignment="1">
      <alignment horizontal="left" vertical="center" wrapText="1"/>
    </xf>
    <xf numFmtId="0" fontId="120" fillId="55" borderId="0" xfId="352" applyFont="1" applyFill="1" applyAlignment="1">
      <alignment horizontal="center"/>
      <protection/>
    </xf>
    <xf numFmtId="0" fontId="101" fillId="55" borderId="0" xfId="352" applyFont="1" applyFill="1" applyAlignment="1">
      <alignment horizontal="center" vertical="center"/>
      <protection/>
    </xf>
    <xf numFmtId="0" fontId="70" fillId="55" borderId="0" xfId="356" applyFont="1" applyFill="1" applyBorder="1" applyAlignment="1">
      <alignment horizontal="center" vertical="center"/>
      <protection/>
    </xf>
    <xf numFmtId="0" fontId="71" fillId="55" borderId="0" xfId="356" applyFont="1" applyFill="1">
      <alignment/>
      <protection/>
    </xf>
    <xf numFmtId="0" fontId="71" fillId="55" borderId="0" xfId="356" applyFont="1" applyFill="1" applyBorder="1">
      <alignment/>
      <protection/>
    </xf>
    <xf numFmtId="0" fontId="71" fillId="55" borderId="0" xfId="356" applyFont="1" applyFill="1" applyBorder="1" applyAlignment="1">
      <alignment horizontal="left" vertical="top" wrapText="1"/>
      <protection/>
    </xf>
    <xf numFmtId="16" fontId="102" fillId="55" borderId="0" xfId="0" applyNumberFormat="1" applyFont="1" applyFill="1" applyAlignment="1">
      <alignment/>
    </xf>
    <xf numFmtId="0" fontId="2" fillId="55" borderId="0" xfId="356" applyNumberFormat="1" applyFont="1" applyFill="1">
      <alignment/>
      <protection/>
    </xf>
    <xf numFmtId="164" fontId="121" fillId="55" borderId="39" xfId="330" applyNumberFormat="1" applyFont="1" applyFill="1" applyBorder="1" applyAlignment="1">
      <alignment horizontal="center" vertical="center" wrapText="1"/>
    </xf>
    <xf numFmtId="17" fontId="120" fillId="55" borderId="0" xfId="0" applyNumberFormat="1" applyFont="1" applyFill="1" applyAlignment="1" quotePrefix="1">
      <alignment horizontal="center"/>
    </xf>
    <xf numFmtId="0" fontId="120" fillId="55" borderId="0" xfId="0" applyFont="1" applyFill="1" applyAlignment="1">
      <alignment horizontal="center"/>
    </xf>
    <xf numFmtId="0" fontId="71" fillId="55" borderId="0" xfId="356" applyFont="1" applyFill="1" applyBorder="1" applyAlignment="1">
      <alignment horizontal="left" vertical="top" wrapText="1" indent="3"/>
      <protection/>
    </xf>
    <xf numFmtId="0" fontId="70" fillId="55" borderId="0" xfId="356" applyFont="1" applyFill="1" applyBorder="1" applyAlignment="1">
      <alignment horizontal="center" vertical="center"/>
      <protection/>
    </xf>
    <xf numFmtId="0" fontId="71" fillId="55" borderId="0" xfId="356" applyFont="1" applyFill="1" applyBorder="1" applyAlignment="1">
      <alignment horizontal="left" vertical="top" wrapText="1"/>
      <protection/>
    </xf>
    <xf numFmtId="0" fontId="22" fillId="55" borderId="0" xfId="366" applyFont="1" applyFill="1" applyBorder="1" applyAlignment="1" applyProtection="1">
      <alignment horizontal="center" vertical="center"/>
      <protection/>
    </xf>
    <xf numFmtId="0" fontId="22" fillId="55" borderId="24" xfId="356" applyFont="1" applyFill="1" applyBorder="1" applyAlignment="1">
      <alignment horizontal="center" vertical="center"/>
      <protection/>
    </xf>
    <xf numFmtId="0" fontId="22" fillId="55" borderId="25" xfId="356" applyFont="1" applyFill="1" applyBorder="1" applyAlignment="1">
      <alignment horizontal="center" vertical="center"/>
      <protection/>
    </xf>
    <xf numFmtId="0" fontId="22" fillId="55" borderId="26" xfId="356" applyFont="1" applyFill="1" applyBorder="1" applyAlignment="1">
      <alignment horizontal="center" vertical="center"/>
      <protection/>
    </xf>
    <xf numFmtId="0" fontId="2" fillId="55" borderId="27" xfId="360" applyFont="1" applyFill="1" applyBorder="1" applyAlignment="1">
      <alignment horizontal="left" vertical="top" wrapText="1"/>
      <protection/>
    </xf>
    <xf numFmtId="0" fontId="2" fillId="55" borderId="0" xfId="360" applyFont="1" applyFill="1" applyBorder="1" applyAlignment="1">
      <alignment horizontal="left" vertical="top" wrapText="1"/>
      <protection/>
    </xf>
    <xf numFmtId="0" fontId="2" fillId="55" borderId="28" xfId="360" applyFont="1" applyFill="1" applyBorder="1" applyAlignment="1">
      <alignment horizontal="left" vertical="top" wrapText="1"/>
      <protection/>
    </xf>
    <xf numFmtId="0" fontId="2" fillId="55" borderId="27" xfId="356" applyFont="1" applyFill="1" applyBorder="1" applyAlignment="1">
      <alignment horizontal="left" vertical="top" wrapText="1"/>
      <protection/>
    </xf>
    <xf numFmtId="0" fontId="2" fillId="55" borderId="0" xfId="356" applyFont="1" applyFill="1" applyBorder="1" applyAlignment="1">
      <alignment horizontal="left" vertical="top" wrapText="1"/>
      <protection/>
    </xf>
    <xf numFmtId="0" fontId="2" fillId="55" borderId="28" xfId="356" applyFont="1" applyFill="1" applyBorder="1" applyAlignment="1">
      <alignment horizontal="left" vertical="top" wrapText="1"/>
      <protection/>
    </xf>
    <xf numFmtId="0" fontId="2" fillId="55" borderId="37" xfId="356" applyFont="1" applyFill="1" applyBorder="1" applyAlignment="1">
      <alignment horizontal="left" vertical="top" wrapText="1"/>
      <protection/>
    </xf>
    <xf numFmtId="0" fontId="2" fillId="55" borderId="23" xfId="356" applyFont="1" applyFill="1" applyBorder="1" applyAlignment="1">
      <alignment horizontal="left" vertical="top" wrapText="1"/>
      <protection/>
    </xf>
    <xf numFmtId="0" fontId="2" fillId="55" borderId="38" xfId="356" applyFont="1" applyFill="1" applyBorder="1" applyAlignment="1">
      <alignment horizontal="left" vertical="top" wrapText="1"/>
      <protection/>
    </xf>
    <xf numFmtId="0" fontId="24" fillId="55" borderId="20" xfId="356" applyFont="1" applyFill="1" applyBorder="1" applyAlignment="1">
      <alignment horizontal="left" vertical="center" wrapText="1"/>
      <protection/>
    </xf>
    <xf numFmtId="0" fontId="22" fillId="55" borderId="21" xfId="356" applyFont="1" applyFill="1" applyBorder="1" applyAlignment="1">
      <alignment horizontal="center"/>
      <protection/>
    </xf>
    <xf numFmtId="0" fontId="22" fillId="55" borderId="20" xfId="356" applyFont="1" applyFill="1" applyBorder="1" applyAlignment="1">
      <alignment horizontal="left" vertical="center"/>
      <protection/>
    </xf>
    <xf numFmtId="0" fontId="22" fillId="55" borderId="19" xfId="356" applyFont="1" applyFill="1" applyBorder="1" applyAlignment="1">
      <alignment horizontal="left" vertical="center"/>
      <protection/>
    </xf>
    <xf numFmtId="0" fontId="22" fillId="55" borderId="0" xfId="356"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2" fillId="55" borderId="0" xfId="356" applyFont="1" applyFill="1" applyBorder="1" applyAlignment="1">
      <alignment horizontal="center" vertical="center"/>
      <protection/>
    </xf>
    <xf numFmtId="0" fontId="24" fillId="55" borderId="0" xfId="356" applyFont="1" applyFill="1" applyBorder="1" applyAlignment="1">
      <alignment vertical="center" wrapText="1"/>
      <protection/>
    </xf>
    <xf numFmtId="0" fontId="22" fillId="55" borderId="31" xfId="356" applyFont="1" applyFill="1" applyBorder="1" applyAlignment="1">
      <alignment horizontal="center" vertical="center"/>
      <protection/>
    </xf>
    <xf numFmtId="0" fontId="22" fillId="55" borderId="32" xfId="356" applyFont="1" applyFill="1" applyBorder="1" applyAlignment="1">
      <alignment horizontal="center" vertical="center"/>
      <protection/>
    </xf>
    <xf numFmtId="0" fontId="22" fillId="55" borderId="43" xfId="356" applyFont="1" applyFill="1" applyBorder="1" applyAlignment="1">
      <alignment horizontal="center" vertical="center"/>
      <protection/>
    </xf>
    <xf numFmtId="0" fontId="22" fillId="55" borderId="29" xfId="356" applyFont="1" applyFill="1" applyBorder="1" applyAlignment="1">
      <alignment horizontal="center"/>
      <protection/>
    </xf>
    <xf numFmtId="0" fontId="22" fillId="55" borderId="22" xfId="356" applyFont="1" applyFill="1" applyBorder="1" applyAlignment="1">
      <alignment horizontal="center"/>
      <protection/>
    </xf>
    <xf numFmtId="0" fontId="22" fillId="55" borderId="30" xfId="356" applyFont="1" applyFill="1" applyBorder="1" applyAlignment="1">
      <alignment horizontal="center"/>
      <protection/>
    </xf>
    <xf numFmtId="0" fontId="101" fillId="56" borderId="39" xfId="0" applyFont="1" applyFill="1" applyBorder="1" applyAlignment="1">
      <alignment horizontal="center"/>
    </xf>
    <xf numFmtId="0" fontId="24" fillId="55" borderId="0" xfId="356" applyFont="1" applyFill="1" applyAlignment="1">
      <alignment horizontal="left" wrapText="1"/>
      <protection/>
    </xf>
    <xf numFmtId="0" fontId="22" fillId="55" borderId="0" xfId="360" applyFont="1" applyFill="1" applyBorder="1" applyAlignment="1">
      <alignment horizontal="center"/>
      <protection/>
    </xf>
    <xf numFmtId="0" fontId="22" fillId="55" borderId="20" xfId="360" applyFont="1" applyFill="1" applyBorder="1" applyAlignment="1">
      <alignment horizontal="left" vertical="center" wrapText="1"/>
      <protection/>
    </xf>
    <xf numFmtId="0" fontId="22" fillId="55" borderId="19" xfId="360" applyFont="1" applyFill="1" applyBorder="1" applyAlignment="1">
      <alignment horizontal="left" vertical="center" wrapText="1"/>
      <protection/>
    </xf>
    <xf numFmtId="0" fontId="22" fillId="55" borderId="20" xfId="360" applyFont="1" applyFill="1" applyBorder="1" applyAlignment="1">
      <alignment horizontal="center" vertical="center" wrapText="1"/>
      <protection/>
    </xf>
    <xf numFmtId="0" fontId="22" fillId="55" borderId="19" xfId="360" applyFont="1" applyFill="1" applyBorder="1" applyAlignment="1">
      <alignment horizontal="center" vertical="center" wrapText="1"/>
      <protection/>
    </xf>
    <xf numFmtId="0" fontId="28" fillId="55" borderId="25" xfId="356" applyFont="1" applyFill="1" applyBorder="1" applyAlignment="1">
      <alignment horizontal="center" vertical="center" wrapText="1"/>
      <protection/>
    </xf>
    <xf numFmtId="0" fontId="28" fillId="55" borderId="23" xfId="356" applyFont="1" applyFill="1" applyBorder="1" applyAlignment="1">
      <alignment horizontal="center" vertical="center" wrapText="1"/>
      <protection/>
    </xf>
    <xf numFmtId="0" fontId="22" fillId="55" borderId="20" xfId="356" applyFont="1" applyFill="1" applyBorder="1" applyAlignment="1">
      <alignment horizontal="center" vertical="center" wrapText="1"/>
      <protection/>
    </xf>
    <xf numFmtId="0" fontId="22" fillId="55" borderId="19" xfId="356" applyFont="1" applyFill="1" applyBorder="1" applyAlignment="1">
      <alignment horizontal="center" vertical="center" wrapText="1"/>
      <protection/>
    </xf>
    <xf numFmtId="0" fontId="22" fillId="55" borderId="0" xfId="356" applyFont="1" applyFill="1" applyBorder="1" applyAlignment="1">
      <alignment horizontal="center" wrapText="1"/>
      <protection/>
    </xf>
    <xf numFmtId="0" fontId="102" fillId="55" borderId="0" xfId="0" applyFont="1" applyFill="1" applyBorder="1" applyAlignment="1">
      <alignment horizontal="left"/>
    </xf>
    <xf numFmtId="0" fontId="119" fillId="57" borderId="39" xfId="0" applyFont="1" applyFill="1" applyBorder="1" applyAlignment="1">
      <alignment horizontal="center" wrapText="1"/>
    </xf>
    <xf numFmtId="0" fontId="22" fillId="55" borderId="0" xfId="0" applyFont="1" applyFill="1" applyBorder="1" applyAlignment="1">
      <alignment horizontal="center" vertical="center" wrapText="1"/>
    </xf>
    <xf numFmtId="0" fontId="101" fillId="55" borderId="0" xfId="0" applyFont="1" applyFill="1" applyBorder="1" applyAlignment="1">
      <alignment horizontal="center" vertical="center"/>
    </xf>
    <xf numFmtId="172" fontId="22" fillId="55" borderId="31" xfId="299" applyNumberFormat="1" applyFont="1" applyFill="1" applyBorder="1" applyAlignment="1">
      <alignment horizontal="center" vertical="center"/>
    </xf>
    <xf numFmtId="172" fontId="22" fillId="55" borderId="43" xfId="299" applyNumberFormat="1" applyFont="1" applyFill="1" applyBorder="1" applyAlignment="1">
      <alignment horizontal="center" vertical="center"/>
    </xf>
    <xf numFmtId="0" fontId="22" fillId="55" borderId="29" xfId="0" applyFont="1" applyFill="1" applyBorder="1" applyAlignment="1">
      <alignment horizontal="center"/>
    </xf>
    <xf numFmtId="0" fontId="22" fillId="55" borderId="22" xfId="0" applyFont="1" applyFill="1" applyBorder="1" applyAlignment="1">
      <alignment horizontal="center"/>
    </xf>
    <xf numFmtId="0" fontId="22" fillId="55" borderId="30" xfId="0" applyFont="1" applyFill="1" applyBorder="1" applyAlignment="1">
      <alignment horizontal="center"/>
    </xf>
    <xf numFmtId="0" fontId="102" fillId="55" borderId="31" xfId="0" applyFont="1" applyFill="1" applyBorder="1" applyAlignment="1">
      <alignment horizontal="left" vertical="center" wrapText="1"/>
    </xf>
    <xf numFmtId="0" fontId="102" fillId="55" borderId="32" xfId="0" applyFont="1" applyFill="1" applyBorder="1" applyAlignment="1">
      <alignment horizontal="left" vertical="center" wrapText="1"/>
    </xf>
    <xf numFmtId="0" fontId="104" fillId="55" borderId="37" xfId="0" applyFont="1" applyFill="1" applyBorder="1" applyAlignment="1">
      <alignment horizontal="left"/>
    </xf>
    <xf numFmtId="0" fontId="104" fillId="55" borderId="23" xfId="0" applyFont="1" applyFill="1" applyBorder="1" applyAlignment="1">
      <alignment horizontal="left"/>
    </xf>
    <xf numFmtId="0" fontId="104" fillId="55" borderId="38" xfId="0" applyFont="1" applyFill="1" applyBorder="1" applyAlignment="1">
      <alignment horizontal="left"/>
    </xf>
    <xf numFmtId="0" fontId="102" fillId="55" borderId="43" xfId="0" applyFont="1" applyFill="1" applyBorder="1" applyAlignment="1">
      <alignment horizontal="left" vertical="center" wrapText="1"/>
    </xf>
    <xf numFmtId="0" fontId="101" fillId="55" borderId="29" xfId="0" applyFont="1" applyFill="1" applyBorder="1" applyAlignment="1">
      <alignment horizontal="center"/>
    </xf>
    <xf numFmtId="0" fontId="101" fillId="55" borderId="22" xfId="0" applyFont="1" applyFill="1" applyBorder="1" applyAlignment="1">
      <alignment horizontal="center"/>
    </xf>
    <xf numFmtId="0" fontId="101" fillId="55" borderId="30" xfId="0" applyFont="1" applyFill="1" applyBorder="1" applyAlignment="1">
      <alignment horizontal="center"/>
    </xf>
    <xf numFmtId="0" fontId="101" fillId="55" borderId="37" xfId="0" applyFont="1" applyFill="1" applyBorder="1" applyAlignment="1">
      <alignment horizontal="center"/>
    </xf>
    <xf numFmtId="0" fontId="101" fillId="55" borderId="23" xfId="0" applyFont="1" applyFill="1" applyBorder="1" applyAlignment="1">
      <alignment horizontal="center"/>
    </xf>
    <xf numFmtId="0" fontId="101" fillId="55" borderId="38" xfId="0" applyFont="1" applyFill="1" applyBorder="1" applyAlignment="1">
      <alignment horizontal="center"/>
    </xf>
    <xf numFmtId="0" fontId="101" fillId="55" borderId="32" xfId="0" applyFont="1" applyFill="1" applyBorder="1" applyAlignment="1">
      <alignment horizontal="left" vertical="center"/>
    </xf>
    <xf numFmtId="0" fontId="101" fillId="55" borderId="28" xfId="0" applyFont="1" applyFill="1" applyBorder="1" applyAlignment="1">
      <alignment horizontal="left" vertical="center"/>
    </xf>
    <xf numFmtId="0" fontId="101" fillId="55" borderId="31" xfId="0" applyFont="1" applyFill="1" applyBorder="1" applyAlignment="1">
      <alignment horizontal="center" vertical="center"/>
    </xf>
    <xf numFmtId="0" fontId="101" fillId="55" borderId="32" xfId="0" applyFont="1" applyFill="1" applyBorder="1" applyAlignment="1">
      <alignment horizontal="center" vertical="center"/>
    </xf>
    <xf numFmtId="0" fontId="102" fillId="55" borderId="39" xfId="0" applyFont="1" applyFill="1" applyBorder="1" applyAlignment="1">
      <alignment horizontal="left" vertical="center" wrapText="1"/>
    </xf>
    <xf numFmtId="0" fontId="102" fillId="55" borderId="39" xfId="0" applyFont="1" applyFill="1" applyBorder="1" applyAlignment="1">
      <alignment horizontal="center" vertical="center" wrapText="1"/>
    </xf>
  </cellXfs>
  <cellStyles count="442">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xfId="177"/>
    <cellStyle name="Buena 2 2" xfId="178"/>
    <cellStyle name="Buena 2 2 2" xfId="179"/>
    <cellStyle name="Buena 2 2 3" xfId="180"/>
    <cellStyle name="Buena 2 3" xfId="181"/>
    <cellStyle name="Buena 2 4" xfId="182"/>
    <cellStyle name="Buena 3 2" xfId="183"/>
    <cellStyle name="Buena 3 3" xfId="184"/>
    <cellStyle name="Buena 4"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0] 4"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2 3" xfId="346"/>
    <cellStyle name="Normal 2 3" xfId="347"/>
    <cellStyle name="Normal 2 4" xfId="348"/>
    <cellStyle name="Normal 2 4 2" xfId="349"/>
    <cellStyle name="Normal 2 5" xfId="350"/>
    <cellStyle name="Normal 3" xfId="351"/>
    <cellStyle name="Normal 3 2" xfId="352"/>
    <cellStyle name="Normal 3 3" xfId="353"/>
    <cellStyle name="Normal 3 4" xfId="354"/>
    <cellStyle name="Normal 3 5" xfId="355"/>
    <cellStyle name="Normal 4" xfId="356"/>
    <cellStyle name="Normal 4 2" xfId="357"/>
    <cellStyle name="Normal 4 2 2" xfId="358"/>
    <cellStyle name="Normal 4 3" xfId="359"/>
    <cellStyle name="Normal 4 4" xfId="360"/>
    <cellStyle name="Normal 5" xfId="361"/>
    <cellStyle name="Normal 5 2" xfId="362"/>
    <cellStyle name="Normal 5 2 2" xfId="363"/>
    <cellStyle name="Normal 5 2 2 2" xfId="364"/>
    <cellStyle name="Normal 9" xfId="365"/>
    <cellStyle name="Normal_indice" xfId="366"/>
    <cellStyle name="Notas" xfId="367"/>
    <cellStyle name="Notas 2 2" xfId="368"/>
    <cellStyle name="Notas 2 2 2" xfId="369"/>
    <cellStyle name="Notas 2 2 3" xfId="370"/>
    <cellStyle name="Notas 2 3" xfId="371"/>
    <cellStyle name="Notas 2 4" xfId="372"/>
    <cellStyle name="Notas 3 2" xfId="373"/>
    <cellStyle name="Notas 3 3" xfId="374"/>
    <cellStyle name="Notas 4" xfId="375"/>
    <cellStyle name="Percent" xfId="376"/>
    <cellStyle name="Porcentaje 2" xfId="377"/>
    <cellStyle name="Porcentaje 3" xfId="378"/>
    <cellStyle name="Porcentual 2" xfId="379"/>
    <cellStyle name="Porcentual 2 2" xfId="380"/>
    <cellStyle name="Porcentual 2 3" xfId="381"/>
    <cellStyle name="Porcentual 2 4" xfId="382"/>
    <cellStyle name="Porcentual 2 4 2" xfId="383"/>
    <cellStyle name="Porcentual 2 5" xfId="384"/>
    <cellStyle name="Salida" xfId="385"/>
    <cellStyle name="Salida 2 2" xfId="386"/>
    <cellStyle name="Salida 2 2 2" xfId="387"/>
    <cellStyle name="Salida 2 2 3" xfId="388"/>
    <cellStyle name="Salida 2 3" xfId="389"/>
    <cellStyle name="Salida 2 4" xfId="390"/>
    <cellStyle name="Salida 3 2" xfId="391"/>
    <cellStyle name="Salida 3 3" xfId="392"/>
    <cellStyle name="Salida 4" xfId="393"/>
    <cellStyle name="Texto de advertencia" xfId="394"/>
    <cellStyle name="Texto de advertencia 2 2" xfId="395"/>
    <cellStyle name="Texto de advertencia 2 2 2" xfId="396"/>
    <cellStyle name="Texto de advertencia 2 2 3" xfId="397"/>
    <cellStyle name="Texto de advertencia 2 3" xfId="398"/>
    <cellStyle name="Texto de advertencia 2 4" xfId="399"/>
    <cellStyle name="Texto de advertencia 3 2" xfId="400"/>
    <cellStyle name="Texto de advertencia 3 3" xfId="401"/>
    <cellStyle name="Texto de advertencia 4" xfId="402"/>
    <cellStyle name="Texto explicativo" xfId="403"/>
    <cellStyle name="Texto explicativo 2 2" xfId="404"/>
    <cellStyle name="Texto explicativo 2 2 2" xfId="405"/>
    <cellStyle name="Texto explicativo 2 2 3" xfId="406"/>
    <cellStyle name="Texto explicativo 2 3" xfId="407"/>
    <cellStyle name="Texto explicativo 2 4" xfId="408"/>
    <cellStyle name="Texto explicativo 3 2" xfId="409"/>
    <cellStyle name="Texto explicativo 3 3" xfId="410"/>
    <cellStyle name="Texto explicativo 4" xfId="411"/>
    <cellStyle name="Título" xfId="412"/>
    <cellStyle name="Título 1 2 2" xfId="413"/>
    <cellStyle name="Título 1 2 2 2" xfId="414"/>
    <cellStyle name="Título 1 2 2 3" xfId="415"/>
    <cellStyle name="Título 1 2 3" xfId="416"/>
    <cellStyle name="Título 1 2 4" xfId="417"/>
    <cellStyle name="Título 1 3 2" xfId="418"/>
    <cellStyle name="Título 1 3 3" xfId="419"/>
    <cellStyle name="Título 1 4" xfId="420"/>
    <cellStyle name="Título 2" xfId="421"/>
    <cellStyle name="Título 2 2 2" xfId="422"/>
    <cellStyle name="Título 2 2 2 2" xfId="423"/>
    <cellStyle name="Título 2 2 2 3" xfId="424"/>
    <cellStyle name="Título 2 2 3" xfId="425"/>
    <cellStyle name="Título 2 2 4" xfId="426"/>
    <cellStyle name="Título 2 3 2" xfId="427"/>
    <cellStyle name="Título 2 3 3" xfId="428"/>
    <cellStyle name="Título 2 4" xfId="429"/>
    <cellStyle name="Título 3" xfId="430"/>
    <cellStyle name="Título 3 2 2" xfId="431"/>
    <cellStyle name="Título 3 2 2 2" xfId="432"/>
    <cellStyle name="Título 3 2 2 3" xfId="433"/>
    <cellStyle name="Título 3 2 3" xfId="434"/>
    <cellStyle name="Título 3 2 4" xfId="435"/>
    <cellStyle name="Título 3 3 2" xfId="436"/>
    <cellStyle name="Título 3 3 3" xfId="437"/>
    <cellStyle name="Título 3 4" xfId="438"/>
    <cellStyle name="Título 4 2" xfId="439"/>
    <cellStyle name="Título 4 2 2" xfId="440"/>
    <cellStyle name="Título 4 2 3" xfId="441"/>
    <cellStyle name="Título 4 3" xfId="442"/>
    <cellStyle name="Título 4 4" xfId="443"/>
    <cellStyle name="Título 5 2" xfId="444"/>
    <cellStyle name="Título 5 3" xfId="445"/>
    <cellStyle name="Título 6" xfId="446"/>
    <cellStyle name="Total" xfId="447"/>
    <cellStyle name="Total 2 2" xfId="448"/>
    <cellStyle name="Total 2 2 2" xfId="449"/>
    <cellStyle name="Total 2 2 3" xfId="450"/>
    <cellStyle name="Total 2 3" xfId="451"/>
    <cellStyle name="Total 2 4" xfId="452"/>
    <cellStyle name="Total 3 2" xfId="453"/>
    <cellStyle name="Total 3 3" xfId="454"/>
    <cellStyle name="Total 4" xfId="455"/>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75"/>
        </c:manualLayout>
      </c:layout>
      <c:spPr>
        <a:noFill/>
        <a:ln w="3175">
          <a:noFill/>
        </a:ln>
      </c:spPr>
    </c:title>
    <c:plotArea>
      <c:layout>
        <c:manualLayout>
          <c:xMode val="edge"/>
          <c:yMode val="edge"/>
          <c:x val="0.048"/>
          <c:y val="0.08475"/>
          <c:w val="0.88825"/>
          <c:h val="0.8915"/>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64089852"/>
        <c:axId val="39937757"/>
      </c:lineChart>
      <c:catAx>
        <c:axId val="6408985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39937757"/>
        <c:crosses val="autoZero"/>
        <c:auto val="1"/>
        <c:lblOffset val="100"/>
        <c:tickLblSkip val="1"/>
        <c:noMultiLvlLbl val="0"/>
      </c:catAx>
      <c:valAx>
        <c:axId val="39937757"/>
        <c:scaling>
          <c:orientation val="minMax"/>
          <c:min val="15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175"/>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4089852"/>
        <c:crossesAt val="1"/>
        <c:crossBetween val="between"/>
        <c:dispUnits/>
      </c:valAx>
      <c:spPr>
        <a:noFill/>
        <a:ln>
          <a:noFill/>
        </a:ln>
      </c:spPr>
    </c:plotArea>
    <c:legend>
      <c:legendPos val="r"/>
      <c:layout>
        <c:manualLayout>
          <c:xMode val="edge"/>
          <c:yMode val="edge"/>
          <c:x val="0.222"/>
          <c:y val="0.90625"/>
          <c:w val="0.4215"/>
          <c:h val="0.09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125"/>
        </c:manualLayout>
      </c:layout>
      <c:spPr>
        <a:noFill/>
        <a:ln w="3175">
          <a:noFill/>
        </a:ln>
      </c:spPr>
    </c:title>
    <c:plotArea>
      <c:layout>
        <c:manualLayout>
          <c:xMode val="edge"/>
          <c:yMode val="edge"/>
          <c:x val="0.0415"/>
          <c:y val="0.07325"/>
          <c:w val="0.94575"/>
          <c:h val="0.846"/>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4991872"/>
        <c:axId val="44926849"/>
      </c:barChart>
      <c:catAx>
        <c:axId val="49918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4926849"/>
        <c:crosses val="autoZero"/>
        <c:auto val="1"/>
        <c:lblOffset val="100"/>
        <c:tickLblSkip val="1"/>
        <c:noMultiLvlLbl val="0"/>
      </c:catAx>
      <c:valAx>
        <c:axId val="44926849"/>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4991872"/>
        <c:crossesAt val="1"/>
        <c:crossBetween val="between"/>
        <c:dispUnits/>
      </c:valAx>
      <c:spPr>
        <a:noFill/>
        <a:ln>
          <a:noFill/>
        </a:ln>
      </c:spPr>
    </c:plotArea>
    <c:legend>
      <c:legendPos val="r"/>
      <c:layout>
        <c:manualLayout>
          <c:xMode val="edge"/>
          <c:yMode val="edge"/>
          <c:x val="0.38075"/>
          <c:y val="0.9275"/>
          <c:w val="0.2385"/>
          <c:h val="0.05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diciembre  de 2015 al 31 de mayo de 2016 (en $/50 kilos sin IVA)</a:t>
            </a:r>
          </a:p>
        </c:rich>
      </c:tx>
      <c:layout>
        <c:manualLayout>
          <c:xMode val="factor"/>
          <c:yMode val="factor"/>
          <c:x val="-0.00125"/>
          <c:y val="-0.012"/>
        </c:manualLayout>
      </c:layout>
      <c:spPr>
        <a:noFill/>
        <a:ln w="3175">
          <a:noFill/>
        </a:ln>
      </c:spPr>
    </c:title>
    <c:plotArea>
      <c:layout>
        <c:manualLayout>
          <c:xMode val="edge"/>
          <c:yMode val="edge"/>
          <c:x val="0.03625"/>
          <c:y val="0.129"/>
          <c:w val="0.96"/>
          <c:h val="0.821"/>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3"/>
            <c:dispEq val="0"/>
            <c:dispRSqr val="0"/>
          </c:trendline>
          <c:cat>
            <c:numRef>
              <c:f>'[2]serie de precios'!$A$978:$A$1104</c:f>
              <c:numCache>
                <c:ptCount val="127"/>
                <c:pt idx="0">
                  <c:v>42339</c:v>
                </c:pt>
                <c:pt idx="1">
                  <c:v>42340</c:v>
                </c:pt>
                <c:pt idx="2">
                  <c:v>42341</c:v>
                </c:pt>
                <c:pt idx="3">
                  <c:v>42342</c:v>
                </c:pt>
                <c:pt idx="4">
                  <c:v>42345</c:v>
                </c:pt>
                <c:pt idx="5">
                  <c:v>42347</c:v>
                </c:pt>
                <c:pt idx="6">
                  <c:v>42348</c:v>
                </c:pt>
                <c:pt idx="7">
                  <c:v>42349</c:v>
                </c:pt>
                <c:pt idx="8">
                  <c:v>42352</c:v>
                </c:pt>
                <c:pt idx="9">
                  <c:v>42353</c:v>
                </c:pt>
                <c:pt idx="10">
                  <c:v>42354</c:v>
                </c:pt>
                <c:pt idx="11">
                  <c:v>42355</c:v>
                </c:pt>
                <c:pt idx="12">
                  <c:v>42356</c:v>
                </c:pt>
                <c:pt idx="13">
                  <c:v>42359</c:v>
                </c:pt>
                <c:pt idx="14">
                  <c:v>42360</c:v>
                </c:pt>
                <c:pt idx="15">
                  <c:v>42361</c:v>
                </c:pt>
                <c:pt idx="16">
                  <c:v>42362</c:v>
                </c:pt>
                <c:pt idx="17">
                  <c:v>42366</c:v>
                </c:pt>
                <c:pt idx="18">
                  <c:v>42367</c:v>
                </c:pt>
                <c:pt idx="19">
                  <c:v>42368</c:v>
                </c:pt>
                <c:pt idx="20">
                  <c:v>42369</c:v>
                </c:pt>
                <c:pt idx="21">
                  <c:v>42373</c:v>
                </c:pt>
                <c:pt idx="22">
                  <c:v>42374</c:v>
                </c:pt>
                <c:pt idx="23">
                  <c:v>42375</c:v>
                </c:pt>
                <c:pt idx="24">
                  <c:v>42376</c:v>
                </c:pt>
                <c:pt idx="25">
                  <c:v>42377</c:v>
                </c:pt>
                <c:pt idx="26">
                  <c:v>42380</c:v>
                </c:pt>
                <c:pt idx="27">
                  <c:v>42381</c:v>
                </c:pt>
                <c:pt idx="28">
                  <c:v>42382</c:v>
                </c:pt>
                <c:pt idx="29">
                  <c:v>42383</c:v>
                </c:pt>
                <c:pt idx="30">
                  <c:v>42384</c:v>
                </c:pt>
                <c:pt idx="31">
                  <c:v>42387</c:v>
                </c:pt>
                <c:pt idx="32">
                  <c:v>42388</c:v>
                </c:pt>
                <c:pt idx="33">
                  <c:v>42389</c:v>
                </c:pt>
                <c:pt idx="34">
                  <c:v>42390</c:v>
                </c:pt>
                <c:pt idx="35">
                  <c:v>42391</c:v>
                </c:pt>
                <c:pt idx="36">
                  <c:v>42394</c:v>
                </c:pt>
                <c:pt idx="37">
                  <c:v>42395</c:v>
                </c:pt>
                <c:pt idx="38">
                  <c:v>42396</c:v>
                </c:pt>
                <c:pt idx="39">
                  <c:v>42397</c:v>
                </c:pt>
                <c:pt idx="40">
                  <c:v>42398</c:v>
                </c:pt>
                <c:pt idx="41">
                  <c:v>42401</c:v>
                </c:pt>
                <c:pt idx="42">
                  <c:v>42402</c:v>
                </c:pt>
                <c:pt idx="43">
                  <c:v>42403</c:v>
                </c:pt>
                <c:pt idx="44">
                  <c:v>42404</c:v>
                </c:pt>
                <c:pt idx="45">
                  <c:v>42405</c:v>
                </c:pt>
                <c:pt idx="46">
                  <c:v>42408</c:v>
                </c:pt>
                <c:pt idx="47">
                  <c:v>42409</c:v>
                </c:pt>
                <c:pt idx="48">
                  <c:v>42410</c:v>
                </c:pt>
                <c:pt idx="49">
                  <c:v>42411</c:v>
                </c:pt>
                <c:pt idx="50">
                  <c:v>42412</c:v>
                </c:pt>
                <c:pt idx="51">
                  <c:v>42415</c:v>
                </c:pt>
                <c:pt idx="52">
                  <c:v>42416</c:v>
                </c:pt>
                <c:pt idx="53">
                  <c:v>42417</c:v>
                </c:pt>
                <c:pt idx="54">
                  <c:v>42418</c:v>
                </c:pt>
                <c:pt idx="55">
                  <c:v>42419</c:v>
                </c:pt>
                <c:pt idx="56">
                  <c:v>42422</c:v>
                </c:pt>
                <c:pt idx="57">
                  <c:v>42423</c:v>
                </c:pt>
                <c:pt idx="58">
                  <c:v>42424</c:v>
                </c:pt>
                <c:pt idx="59">
                  <c:v>42425</c:v>
                </c:pt>
                <c:pt idx="60">
                  <c:v>42426</c:v>
                </c:pt>
                <c:pt idx="61">
                  <c:v>42429</c:v>
                </c:pt>
                <c:pt idx="62">
                  <c:v>42430</c:v>
                </c:pt>
                <c:pt idx="63">
                  <c:v>42431</c:v>
                </c:pt>
                <c:pt idx="64">
                  <c:v>42432</c:v>
                </c:pt>
                <c:pt idx="65">
                  <c:v>42433</c:v>
                </c:pt>
                <c:pt idx="66">
                  <c:v>42436</c:v>
                </c:pt>
                <c:pt idx="67">
                  <c:v>42437</c:v>
                </c:pt>
                <c:pt idx="68">
                  <c:v>42438</c:v>
                </c:pt>
                <c:pt idx="69">
                  <c:v>42439</c:v>
                </c:pt>
                <c:pt idx="70">
                  <c:v>42440</c:v>
                </c:pt>
                <c:pt idx="71">
                  <c:v>42443</c:v>
                </c:pt>
                <c:pt idx="72">
                  <c:v>42444</c:v>
                </c:pt>
                <c:pt idx="73">
                  <c:v>42445</c:v>
                </c:pt>
                <c:pt idx="74">
                  <c:v>42446</c:v>
                </c:pt>
                <c:pt idx="75">
                  <c:v>42447</c:v>
                </c:pt>
                <c:pt idx="76">
                  <c:v>42450</c:v>
                </c:pt>
                <c:pt idx="77">
                  <c:v>42451</c:v>
                </c:pt>
                <c:pt idx="78">
                  <c:v>42452</c:v>
                </c:pt>
                <c:pt idx="79">
                  <c:v>42453</c:v>
                </c:pt>
                <c:pt idx="80">
                  <c:v>42457</c:v>
                </c:pt>
                <c:pt idx="81">
                  <c:v>42458</c:v>
                </c:pt>
                <c:pt idx="82">
                  <c:v>42459</c:v>
                </c:pt>
                <c:pt idx="83">
                  <c:v>42460</c:v>
                </c:pt>
                <c:pt idx="84">
                  <c:v>42461</c:v>
                </c:pt>
                <c:pt idx="85">
                  <c:v>42464</c:v>
                </c:pt>
                <c:pt idx="86">
                  <c:v>42465</c:v>
                </c:pt>
                <c:pt idx="87">
                  <c:v>42466</c:v>
                </c:pt>
                <c:pt idx="88">
                  <c:v>42467</c:v>
                </c:pt>
                <c:pt idx="89">
                  <c:v>42468</c:v>
                </c:pt>
                <c:pt idx="90">
                  <c:v>42471</c:v>
                </c:pt>
                <c:pt idx="91">
                  <c:v>42472</c:v>
                </c:pt>
                <c:pt idx="92">
                  <c:v>42473</c:v>
                </c:pt>
                <c:pt idx="93">
                  <c:v>42474</c:v>
                </c:pt>
                <c:pt idx="94">
                  <c:v>42475</c:v>
                </c:pt>
                <c:pt idx="95">
                  <c:v>42478</c:v>
                </c:pt>
                <c:pt idx="96">
                  <c:v>42479</c:v>
                </c:pt>
                <c:pt idx="97">
                  <c:v>42480</c:v>
                </c:pt>
                <c:pt idx="98">
                  <c:v>42481</c:v>
                </c:pt>
                <c:pt idx="99">
                  <c:v>42482</c:v>
                </c:pt>
                <c:pt idx="100">
                  <c:v>42485</c:v>
                </c:pt>
                <c:pt idx="101">
                  <c:v>42486</c:v>
                </c:pt>
                <c:pt idx="102">
                  <c:v>42487</c:v>
                </c:pt>
                <c:pt idx="103">
                  <c:v>42488</c:v>
                </c:pt>
                <c:pt idx="104">
                  <c:v>42489</c:v>
                </c:pt>
                <c:pt idx="105">
                  <c:v>42492</c:v>
                </c:pt>
                <c:pt idx="106">
                  <c:v>42493</c:v>
                </c:pt>
                <c:pt idx="107">
                  <c:v>42494</c:v>
                </c:pt>
                <c:pt idx="108">
                  <c:v>42495</c:v>
                </c:pt>
                <c:pt idx="109">
                  <c:v>42496</c:v>
                </c:pt>
                <c:pt idx="110">
                  <c:v>42499</c:v>
                </c:pt>
                <c:pt idx="111">
                  <c:v>42500</c:v>
                </c:pt>
                <c:pt idx="112">
                  <c:v>42501</c:v>
                </c:pt>
                <c:pt idx="113">
                  <c:v>42502</c:v>
                </c:pt>
                <c:pt idx="114">
                  <c:v>42503</c:v>
                </c:pt>
                <c:pt idx="115">
                  <c:v>42506</c:v>
                </c:pt>
                <c:pt idx="116">
                  <c:v>42507</c:v>
                </c:pt>
                <c:pt idx="117">
                  <c:v>42508</c:v>
                </c:pt>
                <c:pt idx="118">
                  <c:v>42509</c:v>
                </c:pt>
                <c:pt idx="119">
                  <c:v>42510</c:v>
                </c:pt>
                <c:pt idx="120">
                  <c:v>42513</c:v>
                </c:pt>
                <c:pt idx="121">
                  <c:v>42514</c:v>
                </c:pt>
                <c:pt idx="122">
                  <c:v>42515</c:v>
                </c:pt>
                <c:pt idx="123">
                  <c:v>42516</c:v>
                </c:pt>
                <c:pt idx="124">
                  <c:v>42517</c:v>
                </c:pt>
                <c:pt idx="125">
                  <c:v>42520</c:v>
                </c:pt>
                <c:pt idx="126">
                  <c:v>42521</c:v>
                </c:pt>
              </c:numCache>
            </c:numRef>
          </c:cat>
          <c:val>
            <c:numRef>
              <c:f>'[2]serie de precios'!$M$978:$M$1104</c:f>
              <c:numCache>
                <c:ptCount val="127"/>
                <c:pt idx="0">
                  <c:v>18251.339999999997</c:v>
                </c:pt>
                <c:pt idx="1">
                  <c:v>17472.443636363638</c:v>
                </c:pt>
                <c:pt idx="2">
                  <c:v>16914.03583333333</c:v>
                </c:pt>
                <c:pt idx="3">
                  <c:v>16057.887142857142</c:v>
                </c:pt>
                <c:pt idx="4">
                  <c:v>16060.169</c:v>
                </c:pt>
                <c:pt idx="5">
                  <c:v>15709.552727272729</c:v>
                </c:pt>
                <c:pt idx="6">
                  <c:v>15385.946153846153</c:v>
                </c:pt>
                <c:pt idx="7">
                  <c:v>15101.181875</c:v>
                </c:pt>
                <c:pt idx="8">
                  <c:v>13895.862307692307</c:v>
                </c:pt>
                <c:pt idx="9">
                  <c:v>13775.983333333334</c:v>
                </c:pt>
                <c:pt idx="10">
                  <c:v>14372.727857142858</c:v>
                </c:pt>
                <c:pt idx="11">
                  <c:v>14170.474615384617</c:v>
                </c:pt>
                <c:pt idx="12">
                  <c:v>12840.81857142857</c:v>
                </c:pt>
                <c:pt idx="13">
                  <c:v>12615.497</c:v>
                </c:pt>
                <c:pt idx="14">
                  <c:v>12425.151875000001</c:v>
                </c:pt>
                <c:pt idx="15">
                  <c:v>12403.238571428568</c:v>
                </c:pt>
                <c:pt idx="16">
                  <c:v>12729.360909090907</c:v>
                </c:pt>
                <c:pt idx="17">
                  <c:v>12086.003636363637</c:v>
                </c:pt>
                <c:pt idx="18">
                  <c:v>12257.505625</c:v>
                </c:pt>
                <c:pt idx="19">
                  <c:v>12497.99625</c:v>
                </c:pt>
                <c:pt idx="20">
                  <c:v>12212.610000000002</c:v>
                </c:pt>
                <c:pt idx="21">
                  <c:v>12180.159285714284</c:v>
                </c:pt>
                <c:pt idx="22">
                  <c:v>11617.626875</c:v>
                </c:pt>
                <c:pt idx="23">
                  <c:v>11414.236875</c:v>
                </c:pt>
                <c:pt idx="24">
                  <c:v>11218.140666666668</c:v>
                </c:pt>
                <c:pt idx="25">
                  <c:v>11609.775789473686</c:v>
                </c:pt>
                <c:pt idx="26">
                  <c:v>11439.510625</c:v>
                </c:pt>
                <c:pt idx="27">
                  <c:v>10404.226842105261</c:v>
                </c:pt>
                <c:pt idx="28">
                  <c:v>10456.660666666665</c:v>
                </c:pt>
                <c:pt idx="29">
                  <c:v>10731.447647058823</c:v>
                </c:pt>
                <c:pt idx="30">
                  <c:v>10438.459545454545</c:v>
                </c:pt>
                <c:pt idx="31">
                  <c:v>10063.532</c:v>
                </c:pt>
                <c:pt idx="32">
                  <c:v>9638.412999999997</c:v>
                </c:pt>
                <c:pt idx="33">
                  <c:v>9456.29588235294</c:v>
                </c:pt>
                <c:pt idx="34">
                  <c:v>10041.209285714287</c:v>
                </c:pt>
                <c:pt idx="35">
                  <c:v>10007.79111111111</c:v>
                </c:pt>
                <c:pt idx="36">
                  <c:v>9845.467857142856</c:v>
                </c:pt>
                <c:pt idx="37">
                  <c:v>9269.9725</c:v>
                </c:pt>
                <c:pt idx="38">
                  <c:v>8424.063333333334</c:v>
                </c:pt>
                <c:pt idx="39">
                  <c:v>9536.824499999999</c:v>
                </c:pt>
                <c:pt idx="40">
                  <c:v>8876.89470588235</c:v>
                </c:pt>
                <c:pt idx="41">
                  <c:v>9574.328125</c:v>
                </c:pt>
                <c:pt idx="42">
                  <c:v>9074.86</c:v>
                </c:pt>
                <c:pt idx="43">
                  <c:v>9111.72</c:v>
                </c:pt>
                <c:pt idx="44">
                  <c:v>8965.5065</c:v>
                </c:pt>
                <c:pt idx="45">
                  <c:v>8863.6905</c:v>
                </c:pt>
                <c:pt idx="46">
                  <c:v>9253.124705882352</c:v>
                </c:pt>
                <c:pt idx="47">
                  <c:v>9723.587894736842</c:v>
                </c:pt>
                <c:pt idx="48">
                  <c:v>9090.588888888891</c:v>
                </c:pt>
                <c:pt idx="49">
                  <c:v>9540.092352941178</c:v>
                </c:pt>
                <c:pt idx="50">
                  <c:v>9367.851739130434</c:v>
                </c:pt>
                <c:pt idx="51">
                  <c:v>10153.766666666668</c:v>
                </c:pt>
                <c:pt idx="52">
                  <c:v>9520.782173913045</c:v>
                </c:pt>
                <c:pt idx="53">
                  <c:v>9303.99294117647</c:v>
                </c:pt>
                <c:pt idx="54">
                  <c:v>8591.172499999999</c:v>
                </c:pt>
                <c:pt idx="55">
                  <c:v>8926.4</c:v>
                </c:pt>
                <c:pt idx="56">
                  <c:v>9121.785714285714</c:v>
                </c:pt>
                <c:pt idx="57">
                  <c:v>9414.564</c:v>
                </c:pt>
                <c:pt idx="58">
                  <c:v>8715.043333333333</c:v>
                </c:pt>
                <c:pt idx="59">
                  <c:v>9465.087333333333</c:v>
                </c:pt>
                <c:pt idx="60">
                  <c:v>9236.0445</c:v>
                </c:pt>
                <c:pt idx="61">
                  <c:v>9694.070000000002</c:v>
                </c:pt>
                <c:pt idx="62">
                  <c:v>9269.893157894738</c:v>
                </c:pt>
                <c:pt idx="63">
                  <c:v>8454.470833333333</c:v>
                </c:pt>
                <c:pt idx="64">
                  <c:v>9719.987222222224</c:v>
                </c:pt>
                <c:pt idx="65">
                  <c:v>9318.6055</c:v>
                </c:pt>
                <c:pt idx="66">
                  <c:v>9066.910588235292</c:v>
                </c:pt>
                <c:pt idx="67">
                  <c:v>9402.8325</c:v>
                </c:pt>
                <c:pt idx="68">
                  <c:v>9008.069375</c:v>
                </c:pt>
                <c:pt idx="69">
                  <c:v>9002.69095238095</c:v>
                </c:pt>
                <c:pt idx="70">
                  <c:v>9124.971304347826</c:v>
                </c:pt>
                <c:pt idx="71">
                  <c:v>9722.250714285716</c:v>
                </c:pt>
                <c:pt idx="72">
                  <c:v>9411.235499999999</c:v>
                </c:pt>
                <c:pt idx="73">
                  <c:v>9758.918823529411</c:v>
                </c:pt>
                <c:pt idx="74">
                  <c:v>9090.559444444445</c:v>
                </c:pt>
                <c:pt idx="75">
                  <c:v>8596.26105263158</c:v>
                </c:pt>
                <c:pt idx="76">
                  <c:v>8808.82375</c:v>
                </c:pt>
                <c:pt idx="77">
                  <c:v>8448.876842105265</c:v>
                </c:pt>
                <c:pt idx="78">
                  <c:v>9031.187222222223</c:v>
                </c:pt>
                <c:pt idx="79">
                  <c:v>8641.191875</c:v>
                </c:pt>
                <c:pt idx="80">
                  <c:v>9760.25529411765</c:v>
                </c:pt>
                <c:pt idx="81">
                  <c:v>8720.71357142857</c:v>
                </c:pt>
                <c:pt idx="82">
                  <c:v>9053.317857142858</c:v>
                </c:pt>
                <c:pt idx="83">
                  <c:v>8600.51</c:v>
                </c:pt>
                <c:pt idx="84">
                  <c:v>8008.1431250000005</c:v>
                </c:pt>
                <c:pt idx="85">
                  <c:v>8498.52875</c:v>
                </c:pt>
                <c:pt idx="86">
                  <c:v>8387.544285714286</c:v>
                </c:pt>
                <c:pt idx="87">
                  <c:v>9106.6805</c:v>
                </c:pt>
                <c:pt idx="88">
                  <c:v>8440.13875</c:v>
                </c:pt>
                <c:pt idx="89">
                  <c:v>8573.282222222224</c:v>
                </c:pt>
                <c:pt idx="90">
                  <c:v>7895.500588235294</c:v>
                </c:pt>
                <c:pt idx="91">
                  <c:v>8806.655909090907</c:v>
                </c:pt>
                <c:pt idx="92">
                  <c:v>7950.10294117647</c:v>
                </c:pt>
                <c:pt idx="93">
                  <c:v>8704.224999999997</c:v>
                </c:pt>
                <c:pt idx="94">
                  <c:v>8169.5526315789475</c:v>
                </c:pt>
                <c:pt idx="95">
                  <c:v>8650.62625</c:v>
                </c:pt>
                <c:pt idx="96">
                  <c:v>8908.4128</c:v>
                </c:pt>
                <c:pt idx="97">
                  <c:v>8577.784375</c:v>
                </c:pt>
                <c:pt idx="98">
                  <c:v>9172.741578947369</c:v>
                </c:pt>
                <c:pt idx="99">
                  <c:v>8720.734</c:v>
                </c:pt>
                <c:pt idx="100">
                  <c:v>8747.585000000001</c:v>
                </c:pt>
                <c:pt idx="101">
                  <c:v>9182.859166666667</c:v>
                </c:pt>
                <c:pt idx="102">
                  <c:v>9240.321</c:v>
                </c:pt>
                <c:pt idx="103">
                  <c:v>8333.133157894737</c:v>
                </c:pt>
                <c:pt idx="104">
                  <c:v>9156.873636363634</c:v>
                </c:pt>
                <c:pt idx="105">
                  <c:v>8375.322142857143</c:v>
                </c:pt>
                <c:pt idx="106">
                  <c:v>9234.40705882353</c:v>
                </c:pt>
                <c:pt idx="107">
                  <c:v>8913.811176470588</c:v>
                </c:pt>
                <c:pt idx="108">
                  <c:v>9153.472777777779</c:v>
                </c:pt>
                <c:pt idx="109">
                  <c:v>8892.242352941175</c:v>
                </c:pt>
                <c:pt idx="110">
                  <c:v>9023.330500000002</c:v>
                </c:pt>
                <c:pt idx="111">
                  <c:v>8461.586666666666</c:v>
                </c:pt>
                <c:pt idx="112">
                  <c:v>8229.902142857141</c:v>
                </c:pt>
                <c:pt idx="113">
                  <c:v>8887.550714285715</c:v>
                </c:pt>
                <c:pt idx="114">
                  <c:v>8786.133529411765</c:v>
                </c:pt>
                <c:pt idx="115">
                  <c:v>9925.452857142855</c:v>
                </c:pt>
                <c:pt idx="116">
                  <c:v>11149.863913043479</c:v>
                </c:pt>
                <c:pt idx="117">
                  <c:v>11335.153750000003</c:v>
                </c:pt>
                <c:pt idx="118">
                  <c:v>12832.023125000002</c:v>
                </c:pt>
                <c:pt idx="119">
                  <c:v>12553.536666666669</c:v>
                </c:pt>
                <c:pt idx="120">
                  <c:v>13142.822631578947</c:v>
                </c:pt>
                <c:pt idx="121">
                  <c:v>13160.455652173918</c:v>
                </c:pt>
                <c:pt idx="122">
                  <c:v>13307.286315789474</c:v>
                </c:pt>
                <c:pt idx="123">
                  <c:v>12752.621764705884</c:v>
                </c:pt>
                <c:pt idx="124">
                  <c:v>12770.828800000001</c:v>
                </c:pt>
                <c:pt idx="125">
                  <c:v>12582.234444444444</c:v>
                </c:pt>
                <c:pt idx="126">
                  <c:v>12682.959166666666</c:v>
                </c:pt>
              </c:numCache>
            </c:numRef>
          </c:val>
          <c:smooth val="0"/>
        </c:ser>
        <c:marker val="1"/>
        <c:axId val="23895494"/>
        <c:axId val="13732855"/>
      </c:lineChart>
      <c:catAx>
        <c:axId val="23895494"/>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13732855"/>
        <c:crosses val="autoZero"/>
        <c:auto val="0"/>
        <c:lblOffset val="100"/>
        <c:tickLblSkip val="3"/>
        <c:noMultiLvlLbl val="0"/>
      </c:catAx>
      <c:valAx>
        <c:axId val="13732855"/>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2389549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20 de abril al 31 de mayo de 2016 
</a:t>
            </a:r>
            <a:r>
              <a:rPr lang="en-US" cap="none" sz="1000" b="1" i="0" u="none" baseline="0">
                <a:solidFill>
                  <a:srgbClr val="000000"/>
                </a:solidFill>
              </a:rPr>
              <a:t>(en $ por saco de 50 kilos, sin IVA)</a:t>
            </a:r>
          </a:p>
        </c:rich>
      </c:tx>
      <c:layout>
        <c:manualLayout>
          <c:xMode val="factor"/>
          <c:yMode val="factor"/>
          <c:x val="-0.05175"/>
          <c:y val="-0.013"/>
        </c:manualLayout>
      </c:layout>
      <c:spPr>
        <a:noFill/>
        <a:ln w="3175">
          <a:noFill/>
        </a:ln>
      </c:spPr>
    </c:title>
    <c:plotArea>
      <c:layout>
        <c:manualLayout>
          <c:xMode val="edge"/>
          <c:yMode val="edge"/>
          <c:x val="0.0165"/>
          <c:y val="0.10175"/>
          <c:w val="0.813"/>
          <c:h val="0.806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56486832"/>
        <c:axId val="38619441"/>
      </c:lineChart>
      <c:dateAx>
        <c:axId val="56486832"/>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38619441"/>
        <c:crosses val="autoZero"/>
        <c:auto val="0"/>
        <c:baseTimeUnit val="days"/>
        <c:majorUnit val="2"/>
        <c:majorTimeUnit val="days"/>
        <c:minorUnit val="1"/>
        <c:minorTimeUnit val="days"/>
        <c:noMultiLvlLbl val="0"/>
      </c:dateAx>
      <c:valAx>
        <c:axId val="38619441"/>
        <c:scaling>
          <c:orientation val="minMax"/>
          <c:min val="6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6486832"/>
        <c:crossesAt val="1"/>
        <c:crossBetween val="between"/>
        <c:dispUnits/>
      </c:valAx>
      <c:spPr>
        <a:noFill/>
        <a:ln>
          <a:noFill/>
        </a:ln>
      </c:spPr>
    </c:plotArea>
    <c:legend>
      <c:legendPos val="r"/>
      <c:layout>
        <c:manualLayout>
          <c:xMode val="edge"/>
          <c:yMode val="edge"/>
          <c:x val="0.84"/>
          <c:y val="0.05925"/>
          <c:w val="0.15925"/>
          <c:h val="0.938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3"/>
        </c:manualLayout>
      </c:layout>
      <c:spPr>
        <a:noFill/>
        <a:ln w="3175">
          <a:noFill/>
        </a:ln>
      </c:spPr>
    </c:title>
    <c:plotArea>
      <c:layout>
        <c:manualLayout>
          <c:xMode val="edge"/>
          <c:yMode val="edge"/>
          <c:x val="0.02725"/>
          <c:y val="0.06875"/>
          <c:w val="0.983"/>
          <c:h val="0.824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12030650"/>
        <c:axId val="41166987"/>
      </c:lineChart>
      <c:dateAx>
        <c:axId val="12030650"/>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1166987"/>
        <c:crosses val="autoZero"/>
        <c:auto val="0"/>
        <c:baseTimeUnit val="months"/>
        <c:majorUnit val="2"/>
        <c:majorTimeUnit val="months"/>
        <c:minorUnit val="1"/>
        <c:minorTimeUnit val="months"/>
        <c:noMultiLvlLbl val="0"/>
      </c:dateAx>
      <c:valAx>
        <c:axId val="41166987"/>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2030650"/>
        <c:crossesAt val="1"/>
        <c:crossBetween val="between"/>
        <c:dispUnits/>
      </c:valAx>
      <c:spPr>
        <a:noFill/>
        <a:ln>
          <a:noFill/>
        </a:ln>
      </c:spPr>
    </c:plotArea>
    <c:legend>
      <c:legendPos val="r"/>
      <c:layout>
        <c:manualLayout>
          <c:xMode val="edge"/>
          <c:yMode val="edge"/>
          <c:x val="0.315"/>
          <c:y val="0.89075"/>
          <c:w val="0.3702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11 de enero al 30 de mayo de 2016 ($/ kilo con IVA)</a:t>
            </a:r>
          </a:p>
        </c:rich>
      </c:tx>
      <c:layout>
        <c:manualLayout>
          <c:xMode val="factor"/>
          <c:yMode val="factor"/>
          <c:x val="-0.00125"/>
          <c:y val="-0.0135"/>
        </c:manualLayout>
      </c:layout>
      <c:spPr>
        <a:noFill/>
        <a:ln w="3175">
          <a:noFill/>
        </a:ln>
      </c:spPr>
    </c:title>
    <c:plotArea>
      <c:layout>
        <c:manualLayout>
          <c:xMode val="edge"/>
          <c:yMode val="edge"/>
          <c:x val="0.05625"/>
          <c:y val="0.093"/>
          <c:w val="0.94825"/>
          <c:h val="0.7782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34958564"/>
        <c:axId val="46191621"/>
      </c:lineChart>
      <c:dateAx>
        <c:axId val="34958564"/>
        <c:scaling>
          <c:orientation val="minMax"/>
        </c:scaling>
        <c:axPos val="b"/>
        <c:delete val="0"/>
        <c:numFmt formatCode="dd/mm" sourceLinked="0"/>
        <c:majorTickMark val="out"/>
        <c:minorTickMark val="none"/>
        <c:tickLblPos val="nextTo"/>
        <c:spPr>
          <a:ln w="3175">
            <a:solidFill>
              <a:srgbClr val="C0C0C0"/>
            </a:solidFill>
          </a:ln>
        </c:spPr>
        <c:crossAx val="46191621"/>
        <c:crosses val="autoZero"/>
        <c:auto val="0"/>
        <c:baseTimeUnit val="days"/>
        <c:majorUnit val="14"/>
        <c:majorTimeUnit val="days"/>
        <c:minorUnit val="1"/>
        <c:minorTimeUnit val="days"/>
        <c:noMultiLvlLbl val="0"/>
      </c:dateAx>
      <c:valAx>
        <c:axId val="46191621"/>
        <c:scaling>
          <c:orientation val="minMax"/>
          <c:max val="1800"/>
          <c:min val="7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34958564"/>
        <c:crossesAt val="1"/>
        <c:crossBetween val="between"/>
        <c:dispUnits/>
      </c:valAx>
      <c:spPr>
        <a:noFill/>
        <a:ln>
          <a:noFill/>
        </a:ln>
      </c:spPr>
    </c:plotArea>
    <c:legend>
      <c:legendPos val="r"/>
      <c:layout>
        <c:manualLayout>
          <c:xMode val="edge"/>
          <c:yMode val="edge"/>
          <c:x val="0.162"/>
          <c:y val="0.9245"/>
          <c:w val="0.73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11 de enero al 30 de mayo de 2016 ($/ kilo con IVA)</a:t>
            </a:r>
          </a:p>
        </c:rich>
      </c:tx>
      <c:layout>
        <c:manualLayout>
          <c:xMode val="factor"/>
          <c:yMode val="factor"/>
          <c:x val="-0.00275"/>
          <c:y val="-0.0135"/>
        </c:manualLayout>
      </c:layout>
      <c:spPr>
        <a:noFill/>
        <a:ln w="3175">
          <a:noFill/>
        </a:ln>
      </c:spPr>
    </c:title>
    <c:plotArea>
      <c:layout>
        <c:manualLayout>
          <c:xMode val="edge"/>
          <c:yMode val="edge"/>
          <c:x val="0.02975"/>
          <c:y val="0.0935"/>
          <c:w val="0.9765"/>
          <c:h val="0.7807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13071406"/>
        <c:axId val="50533791"/>
      </c:lineChart>
      <c:dateAx>
        <c:axId val="13071406"/>
        <c:scaling>
          <c:orientation val="minMax"/>
        </c:scaling>
        <c:axPos val="b"/>
        <c:delete val="0"/>
        <c:numFmt formatCode="dd/mm" sourceLinked="0"/>
        <c:majorTickMark val="out"/>
        <c:minorTickMark val="none"/>
        <c:tickLblPos val="nextTo"/>
        <c:spPr>
          <a:ln w="3175">
            <a:solidFill>
              <a:srgbClr val="C0C0C0"/>
            </a:solidFill>
          </a:ln>
        </c:spPr>
        <c:crossAx val="50533791"/>
        <c:crosses val="autoZero"/>
        <c:auto val="0"/>
        <c:baseTimeUnit val="days"/>
        <c:majorUnit val="14"/>
        <c:majorTimeUnit val="days"/>
        <c:minorUnit val="1"/>
        <c:minorTimeUnit val="days"/>
        <c:noMultiLvlLbl val="0"/>
      </c:dateAx>
      <c:valAx>
        <c:axId val="50533791"/>
        <c:scaling>
          <c:orientation val="minMax"/>
          <c:max val="1800"/>
          <c:min val="3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13071406"/>
        <c:crossesAt val="1"/>
        <c:crossBetween val="between"/>
        <c:dispUnits/>
      </c:valAx>
      <c:spPr>
        <a:noFill/>
        <a:ln>
          <a:noFill/>
        </a:ln>
      </c:spPr>
    </c:plotArea>
    <c:legend>
      <c:legendPos val="r"/>
      <c:layout>
        <c:manualLayout>
          <c:xMode val="edge"/>
          <c:yMode val="edge"/>
          <c:x val="0.153"/>
          <c:y val="0.9205"/>
          <c:w val="0.712"/>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175"/>
          <c:y val="-0.01075"/>
        </c:manualLayout>
      </c:layout>
      <c:spPr>
        <a:noFill/>
        <a:ln w="3175">
          <a:noFill/>
        </a:ln>
      </c:spPr>
    </c:title>
    <c:plotArea>
      <c:layout>
        <c:manualLayout>
          <c:xMode val="edge"/>
          <c:yMode val="edge"/>
          <c:x val="0.04025"/>
          <c:y val="0.06725"/>
          <c:w val="0.927"/>
          <c:h val="0.863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rend'!$C$7:$C$22</c:f>
              <c:strCache/>
            </c:strRef>
          </c:cat>
          <c:val>
            <c:numRef>
              <c:f>'sup, prod y rend'!$D$7:$D$22</c:f>
              <c:numCache/>
            </c:numRef>
          </c:val>
          <c:smooth val="0"/>
        </c:ser>
        <c:marker val="1"/>
        <c:axId val="52150936"/>
        <c:axId val="66705241"/>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rend'!$C$7:$C$22</c:f>
              <c:strCache/>
            </c:strRef>
          </c:cat>
          <c:val>
            <c:numRef>
              <c:f>'sup, prod y rend'!$E$7:$E$22</c:f>
              <c:numCache/>
            </c:numRef>
          </c:val>
          <c:smooth val="0"/>
        </c:ser>
        <c:marker val="1"/>
        <c:axId val="63476258"/>
        <c:axId val="34415411"/>
      </c:lineChart>
      <c:catAx>
        <c:axId val="5215093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66705241"/>
        <c:crosses val="autoZero"/>
        <c:auto val="1"/>
        <c:lblOffset val="100"/>
        <c:tickLblSkip val="1"/>
        <c:noMultiLvlLbl val="0"/>
      </c:catAx>
      <c:valAx>
        <c:axId val="66705241"/>
        <c:scaling>
          <c:orientation val="minMax"/>
          <c:min val="40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17"/>
              <c:y val="-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52150936"/>
        <c:crossesAt val="1"/>
        <c:crossBetween val="between"/>
        <c:dispUnits/>
      </c:valAx>
      <c:catAx>
        <c:axId val="63476258"/>
        <c:scaling>
          <c:orientation val="minMax"/>
        </c:scaling>
        <c:axPos val="b"/>
        <c:delete val="1"/>
        <c:majorTickMark val="out"/>
        <c:minorTickMark val="none"/>
        <c:tickLblPos val="nextTo"/>
        <c:crossAx val="34415411"/>
        <c:crosses val="autoZero"/>
        <c:auto val="1"/>
        <c:lblOffset val="100"/>
        <c:tickLblSkip val="1"/>
        <c:noMultiLvlLbl val="0"/>
      </c:catAx>
      <c:valAx>
        <c:axId val="34415411"/>
        <c:scaling>
          <c:orientation val="minMax"/>
          <c:min val="8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375"/>
              <c:y val="0.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63476258"/>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175"/>
          <c:y val="0.92925"/>
          <c:w val="0.626"/>
          <c:h val="0.065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1"/>
        </c:manualLayout>
      </c:layout>
      <c:spPr>
        <a:noFill/>
        <a:ln w="3175">
          <a:noFill/>
        </a:ln>
      </c:spPr>
    </c:title>
    <c:plotArea>
      <c:layout>
        <c:manualLayout>
          <c:xMode val="edge"/>
          <c:yMode val="edge"/>
          <c:x val="0.043"/>
          <c:y val="0.07175"/>
          <c:w val="0.94025"/>
          <c:h val="0.8537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41303244"/>
        <c:axId val="36184877"/>
      </c:barChart>
      <c:catAx>
        <c:axId val="413032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6184877"/>
        <c:crosses val="autoZero"/>
        <c:auto val="1"/>
        <c:lblOffset val="100"/>
        <c:tickLblSkip val="1"/>
        <c:noMultiLvlLbl val="0"/>
      </c:catAx>
      <c:valAx>
        <c:axId val="36184877"/>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1303244"/>
        <c:crossesAt val="1"/>
        <c:crossBetween val="between"/>
        <c:dispUnits/>
      </c:valAx>
      <c:spPr>
        <a:noFill/>
        <a:ln>
          <a:noFill/>
        </a:ln>
      </c:spPr>
    </c:plotArea>
    <c:legend>
      <c:legendPos val="r"/>
      <c:layout>
        <c:manualLayout>
          <c:xMode val="edge"/>
          <c:yMode val="edge"/>
          <c:x val="0.38175"/>
          <c:y val="0.9285"/>
          <c:w val="0.24175"/>
          <c:h val="0.0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3"/>
        </c:manualLayout>
      </c:layout>
      <c:spPr>
        <a:noFill/>
        <a:ln w="3175">
          <a:noFill/>
        </a:ln>
      </c:spPr>
    </c:title>
    <c:plotArea>
      <c:layout>
        <c:manualLayout>
          <c:xMode val="edge"/>
          <c:yMode val="edge"/>
          <c:x val="0.04525"/>
          <c:y val="0.0705"/>
          <c:w val="0.93975"/>
          <c:h val="0.8517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57228438"/>
        <c:axId val="45293895"/>
      </c:barChart>
      <c:catAx>
        <c:axId val="572284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5293895"/>
        <c:crosses val="autoZero"/>
        <c:auto val="1"/>
        <c:lblOffset val="100"/>
        <c:tickLblSkip val="1"/>
        <c:noMultiLvlLbl val="0"/>
      </c:catAx>
      <c:valAx>
        <c:axId val="45293895"/>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7228438"/>
        <c:crossesAt val="1"/>
        <c:crossBetween val="between"/>
        <c:dispUnits/>
      </c:valAx>
      <c:spPr>
        <a:noFill/>
        <a:ln>
          <a:noFill/>
        </a:ln>
      </c:spPr>
    </c:plotArea>
    <c:legend>
      <c:legendPos val="r"/>
      <c:layout>
        <c:manualLayout>
          <c:xMode val="edge"/>
          <c:yMode val="edge"/>
          <c:x val="0.37925"/>
          <c:y val="0.93275"/>
          <c:w val="0.24575"/>
          <c:h val="0.054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6</xdr:col>
      <xdr:colOff>914400</xdr:colOff>
      <xdr:row>46</xdr:row>
      <xdr:rowOff>114300</xdr:rowOff>
    </xdr:to>
    <xdr:graphicFrame>
      <xdr:nvGraphicFramePr>
        <xdr:cNvPr id="1" name="Gráfico 1"/>
        <xdr:cNvGraphicFramePr/>
      </xdr:nvGraphicFramePr>
      <xdr:xfrm>
        <a:off x="114300" y="3895725"/>
        <a:ext cx="5867400"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9525</xdr:rowOff>
    </xdr:from>
    <xdr:to>
      <xdr:col>11</xdr:col>
      <xdr:colOff>676275</xdr:colOff>
      <xdr:row>45</xdr:row>
      <xdr:rowOff>0</xdr:rowOff>
    </xdr:to>
    <xdr:graphicFrame>
      <xdr:nvGraphicFramePr>
        <xdr:cNvPr id="1" name="Gráfico 1"/>
        <xdr:cNvGraphicFramePr/>
      </xdr:nvGraphicFramePr>
      <xdr:xfrm>
        <a:off x="76200" y="3648075"/>
        <a:ext cx="8791575" cy="40671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11</xdr:col>
      <xdr:colOff>676275</xdr:colOff>
      <xdr:row>47</xdr:row>
      <xdr:rowOff>133350</xdr:rowOff>
    </xdr:to>
    <xdr:graphicFrame>
      <xdr:nvGraphicFramePr>
        <xdr:cNvPr id="1" name="Gráfico 1"/>
        <xdr:cNvGraphicFramePr/>
      </xdr:nvGraphicFramePr>
      <xdr:xfrm>
        <a:off x="114300" y="3981450"/>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19050</xdr:rowOff>
    </xdr:from>
    <xdr:to>
      <xdr:col>11</xdr:col>
      <xdr:colOff>666750</xdr:colOff>
      <xdr:row>45</xdr:row>
      <xdr:rowOff>142875</xdr:rowOff>
    </xdr:to>
    <xdr:graphicFrame>
      <xdr:nvGraphicFramePr>
        <xdr:cNvPr id="1" name="Gráfico 2"/>
        <xdr:cNvGraphicFramePr/>
      </xdr:nvGraphicFramePr>
      <xdr:xfrm>
        <a:off x="114300" y="3914775"/>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58125"/>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85725</xdr:rowOff>
    </xdr:from>
    <xdr:to>
      <xdr:col>3</xdr:col>
      <xdr:colOff>257175</xdr:colOff>
      <xdr:row>17</xdr:row>
      <xdr:rowOff>85725</xdr:rowOff>
    </xdr:to>
    <xdr:sp>
      <xdr:nvSpPr>
        <xdr:cNvPr id="4" name="Conector recto 10"/>
        <xdr:cNvSpPr>
          <a:spLocks/>
        </xdr:cNvSpPr>
      </xdr:nvSpPr>
      <xdr:spPr>
        <a:xfrm flipV="1">
          <a:off x="3771900" y="2552700"/>
          <a:ext cx="2638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33</xdr:row>
      <xdr:rowOff>104775</xdr:rowOff>
    </xdr:from>
    <xdr:to>
      <xdr:col>3</xdr:col>
      <xdr:colOff>209550</xdr:colOff>
      <xdr:row>33</xdr:row>
      <xdr:rowOff>104775</xdr:rowOff>
    </xdr:to>
    <xdr:sp>
      <xdr:nvSpPr>
        <xdr:cNvPr id="5" name="Conector recto 26"/>
        <xdr:cNvSpPr>
          <a:spLocks/>
        </xdr:cNvSpPr>
      </xdr:nvSpPr>
      <xdr:spPr>
        <a:xfrm flipV="1">
          <a:off x="3905250" y="5048250"/>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34</xdr:row>
      <xdr:rowOff>104775</xdr:rowOff>
    </xdr:from>
    <xdr:to>
      <xdr:col>3</xdr:col>
      <xdr:colOff>200025</xdr:colOff>
      <xdr:row>34</xdr:row>
      <xdr:rowOff>104775</xdr:rowOff>
    </xdr:to>
    <xdr:sp>
      <xdr:nvSpPr>
        <xdr:cNvPr id="6" name="Conector recto 27"/>
        <xdr:cNvSpPr>
          <a:spLocks/>
        </xdr:cNvSpPr>
      </xdr:nvSpPr>
      <xdr:spPr>
        <a:xfrm flipV="1">
          <a:off x="5400675" y="521017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35</xdr:row>
      <xdr:rowOff>85725</xdr:rowOff>
    </xdr:from>
    <xdr:to>
      <xdr:col>3</xdr:col>
      <xdr:colOff>209550</xdr:colOff>
      <xdr:row>35</xdr:row>
      <xdr:rowOff>85725</xdr:rowOff>
    </xdr:to>
    <xdr:sp>
      <xdr:nvSpPr>
        <xdr:cNvPr id="7" name="Conector recto 28"/>
        <xdr:cNvSpPr>
          <a:spLocks/>
        </xdr:cNvSpPr>
      </xdr:nvSpPr>
      <xdr:spPr>
        <a:xfrm flipV="1">
          <a:off x="5467350" y="535305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36</xdr:row>
      <xdr:rowOff>104775</xdr:rowOff>
    </xdr:from>
    <xdr:to>
      <xdr:col>3</xdr:col>
      <xdr:colOff>209550</xdr:colOff>
      <xdr:row>36</xdr:row>
      <xdr:rowOff>104775</xdr:rowOff>
    </xdr:to>
    <xdr:sp>
      <xdr:nvSpPr>
        <xdr:cNvPr id="8" name="Conector recto 29"/>
        <xdr:cNvSpPr>
          <a:spLocks/>
        </xdr:cNvSpPr>
      </xdr:nvSpPr>
      <xdr:spPr>
        <a:xfrm flipV="1">
          <a:off x="5581650" y="553402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32</xdr:row>
      <xdr:rowOff>114300</xdr:rowOff>
    </xdr:from>
    <xdr:to>
      <xdr:col>3</xdr:col>
      <xdr:colOff>209550</xdr:colOff>
      <xdr:row>32</xdr:row>
      <xdr:rowOff>114300</xdr:rowOff>
    </xdr:to>
    <xdr:sp>
      <xdr:nvSpPr>
        <xdr:cNvPr id="9" name="Conector recto 30"/>
        <xdr:cNvSpPr>
          <a:spLocks/>
        </xdr:cNvSpPr>
      </xdr:nvSpPr>
      <xdr:spPr>
        <a:xfrm flipV="1">
          <a:off x="4743450" y="4895850"/>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31</xdr:row>
      <xdr:rowOff>133350</xdr:rowOff>
    </xdr:from>
    <xdr:to>
      <xdr:col>3</xdr:col>
      <xdr:colOff>219075</xdr:colOff>
      <xdr:row>31</xdr:row>
      <xdr:rowOff>133350</xdr:rowOff>
    </xdr:to>
    <xdr:sp>
      <xdr:nvSpPr>
        <xdr:cNvPr id="10" name="Conector recto 31"/>
        <xdr:cNvSpPr>
          <a:spLocks/>
        </xdr:cNvSpPr>
      </xdr:nvSpPr>
      <xdr:spPr>
        <a:xfrm flipV="1">
          <a:off x="5334000" y="4752975"/>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30</xdr:row>
      <xdr:rowOff>114300</xdr:rowOff>
    </xdr:from>
    <xdr:to>
      <xdr:col>3</xdr:col>
      <xdr:colOff>247650</xdr:colOff>
      <xdr:row>30</xdr:row>
      <xdr:rowOff>114300</xdr:rowOff>
    </xdr:to>
    <xdr:sp>
      <xdr:nvSpPr>
        <xdr:cNvPr id="11" name="Conector recto 33"/>
        <xdr:cNvSpPr>
          <a:spLocks/>
        </xdr:cNvSpPr>
      </xdr:nvSpPr>
      <xdr:spPr>
        <a:xfrm flipV="1">
          <a:off x="5448300" y="45720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29</xdr:row>
      <xdr:rowOff>95250</xdr:rowOff>
    </xdr:from>
    <xdr:to>
      <xdr:col>3</xdr:col>
      <xdr:colOff>238125</xdr:colOff>
      <xdr:row>29</xdr:row>
      <xdr:rowOff>95250</xdr:rowOff>
    </xdr:to>
    <xdr:sp>
      <xdr:nvSpPr>
        <xdr:cNvPr id="12" name="Conector recto 34"/>
        <xdr:cNvSpPr>
          <a:spLocks/>
        </xdr:cNvSpPr>
      </xdr:nvSpPr>
      <xdr:spPr>
        <a:xfrm flipV="1">
          <a:off x="5057775" y="43910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28</xdr:row>
      <xdr:rowOff>114300</xdr:rowOff>
    </xdr:from>
    <xdr:to>
      <xdr:col>3</xdr:col>
      <xdr:colOff>238125</xdr:colOff>
      <xdr:row>28</xdr:row>
      <xdr:rowOff>114300</xdr:rowOff>
    </xdr:to>
    <xdr:sp>
      <xdr:nvSpPr>
        <xdr:cNvPr id="13" name="Conector recto 35"/>
        <xdr:cNvSpPr>
          <a:spLocks/>
        </xdr:cNvSpPr>
      </xdr:nvSpPr>
      <xdr:spPr>
        <a:xfrm flipV="1">
          <a:off x="4695825" y="4248150"/>
          <a:ext cx="1695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27</xdr:row>
      <xdr:rowOff>104775</xdr:rowOff>
    </xdr:from>
    <xdr:to>
      <xdr:col>3</xdr:col>
      <xdr:colOff>209550</xdr:colOff>
      <xdr:row>27</xdr:row>
      <xdr:rowOff>104775</xdr:rowOff>
    </xdr:to>
    <xdr:sp>
      <xdr:nvSpPr>
        <xdr:cNvPr id="14" name="Conector recto 36"/>
        <xdr:cNvSpPr>
          <a:spLocks/>
        </xdr:cNvSpPr>
      </xdr:nvSpPr>
      <xdr:spPr>
        <a:xfrm flipV="1">
          <a:off x="4886325" y="40767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8</xdr:row>
      <xdr:rowOff>104775</xdr:rowOff>
    </xdr:from>
    <xdr:to>
      <xdr:col>3</xdr:col>
      <xdr:colOff>247650</xdr:colOff>
      <xdr:row>8</xdr:row>
      <xdr:rowOff>104775</xdr:rowOff>
    </xdr:to>
    <xdr:sp>
      <xdr:nvSpPr>
        <xdr:cNvPr id="15" name="Conector recto 37"/>
        <xdr:cNvSpPr>
          <a:spLocks/>
        </xdr:cNvSpPr>
      </xdr:nvSpPr>
      <xdr:spPr>
        <a:xfrm>
          <a:off x="3714750" y="1238250"/>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12</xdr:row>
      <xdr:rowOff>104775</xdr:rowOff>
    </xdr:from>
    <xdr:to>
      <xdr:col>3</xdr:col>
      <xdr:colOff>247650</xdr:colOff>
      <xdr:row>12</xdr:row>
      <xdr:rowOff>104775</xdr:rowOff>
    </xdr:to>
    <xdr:sp>
      <xdr:nvSpPr>
        <xdr:cNvPr id="16" name="Conector recto 38"/>
        <xdr:cNvSpPr>
          <a:spLocks/>
        </xdr:cNvSpPr>
      </xdr:nvSpPr>
      <xdr:spPr>
        <a:xfrm flipV="1">
          <a:off x="4886325" y="176212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114300</xdr:rowOff>
    </xdr:from>
    <xdr:to>
      <xdr:col>3</xdr:col>
      <xdr:colOff>247650</xdr:colOff>
      <xdr:row>13</xdr:row>
      <xdr:rowOff>114300</xdr:rowOff>
    </xdr:to>
    <xdr:sp>
      <xdr:nvSpPr>
        <xdr:cNvPr id="17" name="Conector recto 39"/>
        <xdr:cNvSpPr>
          <a:spLocks/>
        </xdr:cNvSpPr>
      </xdr:nvSpPr>
      <xdr:spPr>
        <a:xfrm flipV="1">
          <a:off x="5172075" y="19335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95250</xdr:rowOff>
    </xdr:from>
    <xdr:to>
      <xdr:col>3</xdr:col>
      <xdr:colOff>247650</xdr:colOff>
      <xdr:row>14</xdr:row>
      <xdr:rowOff>95250</xdr:rowOff>
    </xdr:to>
    <xdr:sp>
      <xdr:nvSpPr>
        <xdr:cNvPr id="18" name="Conector recto 40"/>
        <xdr:cNvSpPr>
          <a:spLocks/>
        </xdr:cNvSpPr>
      </xdr:nvSpPr>
      <xdr:spPr>
        <a:xfrm flipV="1">
          <a:off x="5172075" y="207645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85725</xdr:rowOff>
    </xdr:from>
    <xdr:to>
      <xdr:col>3</xdr:col>
      <xdr:colOff>257175</xdr:colOff>
      <xdr:row>15</xdr:row>
      <xdr:rowOff>85725</xdr:rowOff>
    </xdr:to>
    <xdr:sp>
      <xdr:nvSpPr>
        <xdr:cNvPr id="19" name="Conector recto 41"/>
        <xdr:cNvSpPr>
          <a:spLocks/>
        </xdr:cNvSpPr>
      </xdr:nvSpPr>
      <xdr:spPr>
        <a:xfrm flipV="1">
          <a:off x="5467350" y="2228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16</xdr:row>
      <xdr:rowOff>104775</xdr:rowOff>
    </xdr:from>
    <xdr:to>
      <xdr:col>3</xdr:col>
      <xdr:colOff>247650</xdr:colOff>
      <xdr:row>16</xdr:row>
      <xdr:rowOff>104775</xdr:rowOff>
    </xdr:to>
    <xdr:sp>
      <xdr:nvSpPr>
        <xdr:cNvPr id="20" name="Conector recto 42"/>
        <xdr:cNvSpPr>
          <a:spLocks/>
        </xdr:cNvSpPr>
      </xdr:nvSpPr>
      <xdr:spPr>
        <a:xfrm flipV="1">
          <a:off x="5686425" y="2409825"/>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18</xdr:row>
      <xdr:rowOff>104775</xdr:rowOff>
    </xdr:from>
    <xdr:to>
      <xdr:col>3</xdr:col>
      <xdr:colOff>219075</xdr:colOff>
      <xdr:row>18</xdr:row>
      <xdr:rowOff>104775</xdr:rowOff>
    </xdr:to>
    <xdr:sp>
      <xdr:nvSpPr>
        <xdr:cNvPr id="21" name="Conector recto 43"/>
        <xdr:cNvSpPr>
          <a:spLocks/>
        </xdr:cNvSpPr>
      </xdr:nvSpPr>
      <xdr:spPr>
        <a:xfrm flipV="1">
          <a:off x="5400675" y="2733675"/>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19</xdr:row>
      <xdr:rowOff>104775</xdr:rowOff>
    </xdr:from>
    <xdr:to>
      <xdr:col>3</xdr:col>
      <xdr:colOff>209550</xdr:colOff>
      <xdr:row>19</xdr:row>
      <xdr:rowOff>104775</xdr:rowOff>
    </xdr:to>
    <xdr:sp>
      <xdr:nvSpPr>
        <xdr:cNvPr id="22" name="Conector recto 44"/>
        <xdr:cNvSpPr>
          <a:spLocks/>
        </xdr:cNvSpPr>
      </xdr:nvSpPr>
      <xdr:spPr>
        <a:xfrm flipV="1">
          <a:off x="5467350" y="289560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20</xdr:row>
      <xdr:rowOff>85725</xdr:rowOff>
    </xdr:from>
    <xdr:to>
      <xdr:col>3</xdr:col>
      <xdr:colOff>209550</xdr:colOff>
      <xdr:row>20</xdr:row>
      <xdr:rowOff>85725</xdr:rowOff>
    </xdr:to>
    <xdr:sp>
      <xdr:nvSpPr>
        <xdr:cNvPr id="23" name="Conector recto 45"/>
        <xdr:cNvSpPr>
          <a:spLocks/>
        </xdr:cNvSpPr>
      </xdr:nvSpPr>
      <xdr:spPr>
        <a:xfrm flipV="1">
          <a:off x="5581650" y="303847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22</xdr:row>
      <xdr:rowOff>85725</xdr:rowOff>
    </xdr:from>
    <xdr:to>
      <xdr:col>3</xdr:col>
      <xdr:colOff>190500</xdr:colOff>
      <xdr:row>22</xdr:row>
      <xdr:rowOff>85725</xdr:rowOff>
    </xdr:to>
    <xdr:sp>
      <xdr:nvSpPr>
        <xdr:cNvPr id="24" name="Conector recto 48"/>
        <xdr:cNvSpPr>
          <a:spLocks/>
        </xdr:cNvSpPr>
      </xdr:nvSpPr>
      <xdr:spPr>
        <a:xfrm flipV="1">
          <a:off x="5953125" y="3390900"/>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23</xdr:row>
      <xdr:rowOff>114300</xdr:rowOff>
    </xdr:from>
    <xdr:to>
      <xdr:col>3</xdr:col>
      <xdr:colOff>180975</xdr:colOff>
      <xdr:row>23</xdr:row>
      <xdr:rowOff>114300</xdr:rowOff>
    </xdr:to>
    <xdr:sp>
      <xdr:nvSpPr>
        <xdr:cNvPr id="25" name="Conector recto 49"/>
        <xdr:cNvSpPr>
          <a:spLocks/>
        </xdr:cNvSpPr>
      </xdr:nvSpPr>
      <xdr:spPr>
        <a:xfrm flipV="1">
          <a:off x="5905500" y="3581400"/>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21</xdr:row>
      <xdr:rowOff>114300</xdr:rowOff>
    </xdr:from>
    <xdr:to>
      <xdr:col>3</xdr:col>
      <xdr:colOff>190500</xdr:colOff>
      <xdr:row>21</xdr:row>
      <xdr:rowOff>114300</xdr:rowOff>
    </xdr:to>
    <xdr:sp>
      <xdr:nvSpPr>
        <xdr:cNvPr id="26" name="Conector recto 32"/>
        <xdr:cNvSpPr>
          <a:spLocks/>
        </xdr:cNvSpPr>
      </xdr:nvSpPr>
      <xdr:spPr>
        <a:xfrm flipV="1">
          <a:off x="4400550" y="3228975"/>
          <a:ext cx="1943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9525</xdr:rowOff>
    </xdr:from>
    <xdr:to>
      <xdr:col>7</xdr:col>
      <xdr:colOff>152400</xdr:colOff>
      <xdr:row>40</xdr:row>
      <xdr:rowOff>123825</xdr:rowOff>
    </xdr:to>
    <xdr:graphicFrame>
      <xdr:nvGraphicFramePr>
        <xdr:cNvPr id="1" name="Gráfico 2"/>
        <xdr:cNvGraphicFramePr/>
      </xdr:nvGraphicFramePr>
      <xdr:xfrm>
        <a:off x="38100" y="4962525"/>
        <a:ext cx="6391275"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1724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36</xdr:row>
      <xdr:rowOff>9525</xdr:rowOff>
    </xdr:from>
    <xdr:to>
      <xdr:col>12</xdr:col>
      <xdr:colOff>219075</xdr:colOff>
      <xdr:row>56</xdr:row>
      <xdr:rowOff>76200</xdr:rowOff>
    </xdr:to>
    <xdr:graphicFrame>
      <xdr:nvGraphicFramePr>
        <xdr:cNvPr id="1" name="Gráfico 2"/>
        <xdr:cNvGraphicFramePr/>
      </xdr:nvGraphicFramePr>
      <xdr:xfrm>
        <a:off x="85725" y="6677025"/>
        <a:ext cx="8382000" cy="3724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13</xdr:col>
      <xdr:colOff>9525</xdr:colOff>
      <xdr:row>60</xdr:row>
      <xdr:rowOff>9525</xdr:rowOff>
    </xdr:to>
    <xdr:graphicFrame>
      <xdr:nvGraphicFramePr>
        <xdr:cNvPr id="1" name="Gráfico 1"/>
        <xdr:cNvGraphicFramePr/>
      </xdr:nvGraphicFramePr>
      <xdr:xfrm>
        <a:off x="76200" y="6172200"/>
        <a:ext cx="10201275" cy="42957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81175" cy="257175"/>
    <xdr:sp>
      <xdr:nvSpPr>
        <xdr:cNvPr id="2" name="1 CuadroTexto"/>
        <xdr:cNvSpPr txBox="1">
          <a:spLocks noChangeArrowheads="1"/>
        </xdr:cNvSpPr>
      </xdr:nvSpPr>
      <xdr:spPr>
        <a:xfrm>
          <a:off x="85725" y="10125075"/>
          <a:ext cx="1781175"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0.94675</cdr:y>
    </cdr:from>
    <cdr:to>
      <cdr:x>0.245</cdr:x>
      <cdr:y>1</cdr:y>
    </cdr:to>
    <cdr:sp>
      <cdr:nvSpPr>
        <cdr:cNvPr id="1" name="1 CuadroTexto"/>
        <cdr:cNvSpPr txBox="1">
          <a:spLocks noChangeArrowheads="1"/>
        </cdr:cNvSpPr>
      </cdr:nvSpPr>
      <cdr:spPr>
        <a:xfrm>
          <a:off x="0" y="3543300"/>
          <a:ext cx="2047875"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22</xdr:row>
      <xdr:rowOff>47625</xdr:rowOff>
    </xdr:from>
    <xdr:to>
      <xdr:col>10</xdr:col>
      <xdr:colOff>47625</xdr:colOff>
      <xdr:row>45</xdr:row>
      <xdr:rowOff>66675</xdr:rowOff>
    </xdr:to>
    <xdr:graphicFrame>
      <xdr:nvGraphicFramePr>
        <xdr:cNvPr id="1" name="Gráfico 1"/>
        <xdr:cNvGraphicFramePr/>
      </xdr:nvGraphicFramePr>
      <xdr:xfrm>
        <a:off x="142875" y="3686175"/>
        <a:ext cx="8343900"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28</xdr:row>
      <xdr:rowOff>9525</xdr:rowOff>
    </xdr:from>
    <xdr:to>
      <xdr:col>10</xdr:col>
      <xdr:colOff>19050</xdr:colOff>
      <xdr:row>58</xdr:row>
      <xdr:rowOff>190500</xdr:rowOff>
    </xdr:to>
    <xdr:graphicFrame>
      <xdr:nvGraphicFramePr>
        <xdr:cNvPr id="1" name="Gráfico 1"/>
        <xdr:cNvGraphicFramePr/>
      </xdr:nvGraphicFramePr>
      <xdr:xfrm>
        <a:off x="657225" y="4648200"/>
        <a:ext cx="7200900" cy="56102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9525</xdr:rowOff>
    </xdr:from>
    <xdr:to>
      <xdr:col>18</xdr:col>
      <xdr:colOff>57150</xdr:colOff>
      <xdr:row>58</xdr:row>
      <xdr:rowOff>180975</xdr:rowOff>
    </xdr:to>
    <xdr:graphicFrame>
      <xdr:nvGraphicFramePr>
        <xdr:cNvPr id="2" name="Gráfico 4"/>
        <xdr:cNvGraphicFramePr/>
      </xdr:nvGraphicFramePr>
      <xdr:xfrm>
        <a:off x="7867650" y="4648200"/>
        <a:ext cx="6867525" cy="56007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6%20B%20Papa\papa%20diari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heetName val="din por mercado"/>
      <sheetName val="dinamica por volumen"/>
      <sheetName val="Hoja5"/>
      <sheetName val="Hoja7"/>
      <sheetName val="MERCADOS"/>
    </sheetNames>
    <sheetDataSet>
      <sheetData sheetId="5">
        <row r="978">
          <cell r="A978">
            <v>42339</v>
          </cell>
          <cell r="M978">
            <v>18251.339999999997</v>
          </cell>
        </row>
        <row r="979">
          <cell r="A979">
            <v>42340</v>
          </cell>
          <cell r="M979">
            <v>17472.443636363638</v>
          </cell>
        </row>
        <row r="980">
          <cell r="A980">
            <v>42341</v>
          </cell>
          <cell r="M980">
            <v>16914.03583333333</v>
          </cell>
        </row>
        <row r="981">
          <cell r="A981">
            <v>42342</v>
          </cell>
          <cell r="M981">
            <v>16057.887142857142</v>
          </cell>
        </row>
        <row r="982">
          <cell r="A982">
            <v>42345</v>
          </cell>
          <cell r="M982">
            <v>16060.169</v>
          </cell>
        </row>
        <row r="983">
          <cell r="A983">
            <v>42347</v>
          </cell>
          <cell r="M983">
            <v>15709.552727272729</v>
          </cell>
        </row>
        <row r="984">
          <cell r="A984">
            <v>42348</v>
          </cell>
          <cell r="M984">
            <v>15385.946153846153</v>
          </cell>
        </row>
        <row r="985">
          <cell r="A985">
            <v>42349</v>
          </cell>
          <cell r="M985">
            <v>15101.181875</v>
          </cell>
        </row>
        <row r="986">
          <cell r="A986">
            <v>42352</v>
          </cell>
          <cell r="M986">
            <v>13895.862307692307</v>
          </cell>
        </row>
        <row r="987">
          <cell r="A987">
            <v>42353</v>
          </cell>
          <cell r="M987">
            <v>13775.983333333334</v>
          </cell>
        </row>
        <row r="988">
          <cell r="A988">
            <v>42354</v>
          </cell>
          <cell r="M988">
            <v>14372.727857142858</v>
          </cell>
        </row>
        <row r="989">
          <cell r="A989">
            <v>42355</v>
          </cell>
          <cell r="M989">
            <v>14170.474615384617</v>
          </cell>
        </row>
        <row r="990">
          <cell r="A990">
            <v>42356</v>
          </cell>
          <cell r="M990">
            <v>12840.81857142857</v>
          </cell>
        </row>
        <row r="991">
          <cell r="A991">
            <v>42359</v>
          </cell>
          <cell r="M991">
            <v>12615.497</v>
          </cell>
        </row>
        <row r="992">
          <cell r="A992">
            <v>42360</v>
          </cell>
          <cell r="M992">
            <v>12425.151875000001</v>
          </cell>
        </row>
        <row r="993">
          <cell r="A993">
            <v>42361</v>
          </cell>
          <cell r="M993">
            <v>12403.238571428568</v>
          </cell>
        </row>
        <row r="994">
          <cell r="A994">
            <v>42362</v>
          </cell>
          <cell r="M994">
            <v>12729.360909090907</v>
          </cell>
        </row>
        <row r="995">
          <cell r="A995">
            <v>42366</v>
          </cell>
          <cell r="M995">
            <v>12086.003636363637</v>
          </cell>
        </row>
        <row r="996">
          <cell r="A996">
            <v>42367</v>
          </cell>
          <cell r="M996">
            <v>12257.505625</v>
          </cell>
        </row>
        <row r="997">
          <cell r="A997">
            <v>42368</v>
          </cell>
          <cell r="M997">
            <v>12497.99625</v>
          </cell>
        </row>
        <row r="998">
          <cell r="A998">
            <v>42369</v>
          </cell>
          <cell r="M998">
            <v>12212.610000000002</v>
          </cell>
        </row>
        <row r="999">
          <cell r="A999">
            <v>42373</v>
          </cell>
          <cell r="M999">
            <v>12180.159285714284</v>
          </cell>
        </row>
        <row r="1000">
          <cell r="A1000">
            <v>42374</v>
          </cell>
          <cell r="M1000">
            <v>11617.626875</v>
          </cell>
        </row>
        <row r="1001">
          <cell r="A1001">
            <v>42375</v>
          </cell>
          <cell r="M1001">
            <v>11414.236875</v>
          </cell>
        </row>
        <row r="1002">
          <cell r="A1002">
            <v>42376</v>
          </cell>
          <cell r="M1002">
            <v>11218.140666666668</v>
          </cell>
        </row>
        <row r="1003">
          <cell r="A1003">
            <v>42377</v>
          </cell>
          <cell r="M1003">
            <v>11609.775789473686</v>
          </cell>
        </row>
        <row r="1004">
          <cell r="A1004">
            <v>42380</v>
          </cell>
          <cell r="M1004">
            <v>11439.510625</v>
          </cell>
        </row>
        <row r="1005">
          <cell r="A1005">
            <v>42381</v>
          </cell>
          <cell r="M1005">
            <v>10404.226842105261</v>
          </cell>
        </row>
        <row r="1006">
          <cell r="A1006">
            <v>42382</v>
          </cell>
          <cell r="M1006">
            <v>10456.660666666665</v>
          </cell>
        </row>
        <row r="1007">
          <cell r="A1007">
            <v>42383</v>
          </cell>
          <cell r="M1007">
            <v>10731.447647058823</v>
          </cell>
        </row>
        <row r="1008">
          <cell r="A1008">
            <v>42384</v>
          </cell>
          <cell r="M1008">
            <v>10438.459545454545</v>
          </cell>
        </row>
        <row r="1009">
          <cell r="A1009">
            <v>42387</v>
          </cell>
          <cell r="M1009">
            <v>10063.532</v>
          </cell>
        </row>
        <row r="1010">
          <cell r="A1010">
            <v>42388</v>
          </cell>
          <cell r="M1010">
            <v>9638.412999999997</v>
          </cell>
        </row>
        <row r="1011">
          <cell r="A1011">
            <v>42389</v>
          </cell>
          <cell r="M1011">
            <v>9456.29588235294</v>
          </cell>
        </row>
        <row r="1012">
          <cell r="A1012">
            <v>42390</v>
          </cell>
          <cell r="M1012">
            <v>10041.209285714287</v>
          </cell>
        </row>
        <row r="1013">
          <cell r="A1013">
            <v>42391</v>
          </cell>
          <cell r="M1013">
            <v>10007.79111111111</v>
          </cell>
        </row>
        <row r="1014">
          <cell r="A1014">
            <v>42394</v>
          </cell>
          <cell r="M1014">
            <v>9845.467857142856</v>
          </cell>
        </row>
        <row r="1015">
          <cell r="A1015">
            <v>42395</v>
          </cell>
          <cell r="M1015">
            <v>9269.9725</v>
          </cell>
        </row>
        <row r="1016">
          <cell r="A1016">
            <v>42396</v>
          </cell>
          <cell r="M1016">
            <v>8424.063333333334</v>
          </cell>
        </row>
        <row r="1017">
          <cell r="A1017">
            <v>42397</v>
          </cell>
          <cell r="M1017">
            <v>9536.824499999999</v>
          </cell>
        </row>
        <row r="1018">
          <cell r="A1018">
            <v>42398</v>
          </cell>
          <cell r="M1018">
            <v>8876.89470588235</v>
          </cell>
        </row>
        <row r="1019">
          <cell r="A1019">
            <v>42401</v>
          </cell>
          <cell r="M1019">
            <v>9574.328125</v>
          </cell>
        </row>
        <row r="1020">
          <cell r="A1020">
            <v>42402</v>
          </cell>
          <cell r="M1020">
            <v>9074.86</v>
          </cell>
        </row>
        <row r="1021">
          <cell r="A1021">
            <v>42403</v>
          </cell>
          <cell r="M1021">
            <v>9111.72</v>
          </cell>
        </row>
        <row r="1022">
          <cell r="A1022">
            <v>42404</v>
          </cell>
          <cell r="M1022">
            <v>8965.5065</v>
          </cell>
        </row>
        <row r="1023">
          <cell r="A1023">
            <v>42405</v>
          </cell>
          <cell r="M1023">
            <v>8863.6905</v>
          </cell>
        </row>
        <row r="1024">
          <cell r="A1024">
            <v>42408</v>
          </cell>
          <cell r="M1024">
            <v>9253.124705882352</v>
          </cell>
        </row>
        <row r="1025">
          <cell r="A1025">
            <v>42409</v>
          </cell>
          <cell r="M1025">
            <v>9723.587894736842</v>
          </cell>
        </row>
        <row r="1026">
          <cell r="A1026">
            <v>42410</v>
          </cell>
          <cell r="M1026">
            <v>9090.588888888891</v>
          </cell>
        </row>
        <row r="1027">
          <cell r="A1027">
            <v>42411</v>
          </cell>
          <cell r="M1027">
            <v>9540.092352941178</v>
          </cell>
        </row>
        <row r="1028">
          <cell r="A1028">
            <v>42412</v>
          </cell>
          <cell r="M1028">
            <v>9367.851739130434</v>
          </cell>
        </row>
        <row r="1029">
          <cell r="A1029">
            <v>42415</v>
          </cell>
          <cell r="M1029">
            <v>10153.766666666668</v>
          </cell>
        </row>
        <row r="1030">
          <cell r="A1030">
            <v>42416</v>
          </cell>
          <cell r="M1030">
            <v>9520.782173913045</v>
          </cell>
        </row>
        <row r="1031">
          <cell r="A1031">
            <v>42417</v>
          </cell>
          <cell r="M1031">
            <v>9303.99294117647</v>
          </cell>
        </row>
        <row r="1032">
          <cell r="A1032">
            <v>42418</v>
          </cell>
          <cell r="M1032">
            <v>8591.172499999999</v>
          </cell>
        </row>
        <row r="1033">
          <cell r="A1033">
            <v>42419</v>
          </cell>
          <cell r="M1033">
            <v>8926.4</v>
          </cell>
        </row>
        <row r="1034">
          <cell r="A1034">
            <v>42422</v>
          </cell>
          <cell r="M1034">
            <v>9121.785714285714</v>
          </cell>
        </row>
        <row r="1035">
          <cell r="A1035">
            <v>42423</v>
          </cell>
          <cell r="M1035">
            <v>9414.564</v>
          </cell>
        </row>
        <row r="1036">
          <cell r="A1036">
            <v>42424</v>
          </cell>
          <cell r="M1036">
            <v>8715.043333333333</v>
          </cell>
        </row>
        <row r="1037">
          <cell r="A1037">
            <v>42425</v>
          </cell>
          <cell r="M1037">
            <v>9465.087333333333</v>
          </cell>
        </row>
        <row r="1038">
          <cell r="A1038">
            <v>42426</v>
          </cell>
          <cell r="M1038">
            <v>9236.0445</v>
          </cell>
        </row>
        <row r="1039">
          <cell r="A1039">
            <v>42429</v>
          </cell>
          <cell r="M1039">
            <v>9694.070000000002</v>
          </cell>
        </row>
        <row r="1040">
          <cell r="A1040">
            <v>42430</v>
          </cell>
          <cell r="M1040">
            <v>9269.893157894738</v>
          </cell>
        </row>
        <row r="1041">
          <cell r="A1041">
            <v>42431</v>
          </cell>
          <cell r="M1041">
            <v>8454.470833333333</v>
          </cell>
        </row>
        <row r="1042">
          <cell r="A1042">
            <v>42432</v>
          </cell>
          <cell r="M1042">
            <v>9719.987222222224</v>
          </cell>
        </row>
        <row r="1043">
          <cell r="A1043">
            <v>42433</v>
          </cell>
          <cell r="M1043">
            <v>9318.6055</v>
          </cell>
        </row>
        <row r="1044">
          <cell r="A1044">
            <v>42436</v>
          </cell>
          <cell r="M1044">
            <v>9066.910588235292</v>
          </cell>
        </row>
        <row r="1045">
          <cell r="A1045">
            <v>42437</v>
          </cell>
          <cell r="M1045">
            <v>9402.8325</v>
          </cell>
        </row>
        <row r="1046">
          <cell r="A1046">
            <v>42438</v>
          </cell>
          <cell r="M1046">
            <v>9008.069375</v>
          </cell>
        </row>
        <row r="1047">
          <cell r="A1047">
            <v>42439</v>
          </cell>
          <cell r="M1047">
            <v>9002.69095238095</v>
          </cell>
        </row>
        <row r="1048">
          <cell r="A1048">
            <v>42440</v>
          </cell>
          <cell r="M1048">
            <v>9124.971304347826</v>
          </cell>
        </row>
        <row r="1049">
          <cell r="A1049">
            <v>42443</v>
          </cell>
          <cell r="M1049">
            <v>9722.250714285716</v>
          </cell>
        </row>
        <row r="1050">
          <cell r="A1050">
            <v>42444</v>
          </cell>
          <cell r="M1050">
            <v>9411.235499999999</v>
          </cell>
        </row>
        <row r="1051">
          <cell r="A1051">
            <v>42445</v>
          </cell>
          <cell r="M1051">
            <v>9758.918823529411</v>
          </cell>
        </row>
        <row r="1052">
          <cell r="A1052">
            <v>42446</v>
          </cell>
          <cell r="M1052">
            <v>9090.559444444445</v>
          </cell>
        </row>
        <row r="1053">
          <cell r="A1053">
            <v>42447</v>
          </cell>
          <cell r="M1053">
            <v>8596.26105263158</v>
          </cell>
        </row>
        <row r="1054">
          <cell r="A1054">
            <v>42450</v>
          </cell>
          <cell r="M1054">
            <v>8808.82375</v>
          </cell>
        </row>
        <row r="1055">
          <cell r="A1055">
            <v>42451</v>
          </cell>
          <cell r="M1055">
            <v>8448.876842105265</v>
          </cell>
        </row>
        <row r="1056">
          <cell r="A1056">
            <v>42452</v>
          </cell>
          <cell r="M1056">
            <v>9031.187222222223</v>
          </cell>
        </row>
        <row r="1057">
          <cell r="A1057">
            <v>42453</v>
          </cell>
          <cell r="M1057">
            <v>8641.191875</v>
          </cell>
        </row>
        <row r="1058">
          <cell r="A1058">
            <v>42457</v>
          </cell>
          <cell r="M1058">
            <v>9760.25529411765</v>
          </cell>
        </row>
        <row r="1059">
          <cell r="A1059">
            <v>42458</v>
          </cell>
          <cell r="M1059">
            <v>8720.71357142857</v>
          </cell>
        </row>
        <row r="1060">
          <cell r="A1060">
            <v>42459</v>
          </cell>
          <cell r="M1060">
            <v>9053.317857142858</v>
          </cell>
        </row>
        <row r="1061">
          <cell r="A1061">
            <v>42460</v>
          </cell>
          <cell r="M1061">
            <v>8600.51</v>
          </cell>
        </row>
        <row r="1062">
          <cell r="A1062">
            <v>42461</v>
          </cell>
          <cell r="M1062">
            <v>8008.1431250000005</v>
          </cell>
        </row>
        <row r="1063">
          <cell r="A1063">
            <v>42464</v>
          </cell>
          <cell r="M1063">
            <v>8498.52875</v>
          </cell>
        </row>
        <row r="1064">
          <cell r="A1064">
            <v>42465</v>
          </cell>
          <cell r="M1064">
            <v>8387.544285714286</v>
          </cell>
        </row>
        <row r="1065">
          <cell r="A1065">
            <v>42466</v>
          </cell>
          <cell r="M1065">
            <v>9106.6805</v>
          </cell>
        </row>
        <row r="1066">
          <cell r="A1066">
            <v>42467</v>
          </cell>
          <cell r="M1066">
            <v>8440.13875</v>
          </cell>
        </row>
        <row r="1067">
          <cell r="A1067">
            <v>42468</v>
          </cell>
          <cell r="M1067">
            <v>8573.282222222224</v>
          </cell>
        </row>
        <row r="1068">
          <cell r="A1068">
            <v>42471</v>
          </cell>
          <cell r="M1068">
            <v>7895.500588235294</v>
          </cell>
        </row>
        <row r="1069">
          <cell r="A1069">
            <v>42472</v>
          </cell>
          <cell r="M1069">
            <v>8806.655909090907</v>
          </cell>
        </row>
        <row r="1070">
          <cell r="A1070">
            <v>42473</v>
          </cell>
          <cell r="M1070">
            <v>7950.10294117647</v>
          </cell>
        </row>
        <row r="1071">
          <cell r="A1071">
            <v>42474</v>
          </cell>
          <cell r="M1071">
            <v>8704.224999999997</v>
          </cell>
        </row>
        <row r="1072">
          <cell r="A1072">
            <v>42475</v>
          </cell>
          <cell r="M1072">
            <v>8169.5526315789475</v>
          </cell>
        </row>
        <row r="1073">
          <cell r="A1073">
            <v>42478</v>
          </cell>
          <cell r="M1073">
            <v>8650.62625</v>
          </cell>
        </row>
        <row r="1074">
          <cell r="A1074">
            <v>42479</v>
          </cell>
          <cell r="M1074">
            <v>8908.4128</v>
          </cell>
        </row>
        <row r="1075">
          <cell r="A1075">
            <v>42480</v>
          </cell>
          <cell r="M1075">
            <v>8577.784375</v>
          </cell>
        </row>
        <row r="1076">
          <cell r="A1076">
            <v>42481</v>
          </cell>
          <cell r="M1076">
            <v>9172.741578947369</v>
          </cell>
        </row>
        <row r="1077">
          <cell r="A1077">
            <v>42482</v>
          </cell>
          <cell r="M1077">
            <v>8720.734</v>
          </cell>
        </row>
        <row r="1078">
          <cell r="A1078">
            <v>42485</v>
          </cell>
          <cell r="M1078">
            <v>8747.585000000001</v>
          </cell>
        </row>
        <row r="1079">
          <cell r="A1079">
            <v>42486</v>
          </cell>
          <cell r="M1079">
            <v>9182.859166666667</v>
          </cell>
        </row>
        <row r="1080">
          <cell r="A1080">
            <v>42487</v>
          </cell>
          <cell r="M1080">
            <v>9240.321</v>
          </cell>
        </row>
        <row r="1081">
          <cell r="A1081">
            <v>42488</v>
          </cell>
          <cell r="M1081">
            <v>8333.133157894737</v>
          </cell>
        </row>
        <row r="1082">
          <cell r="A1082">
            <v>42489</v>
          </cell>
          <cell r="M1082">
            <v>9156.873636363634</v>
          </cell>
        </row>
        <row r="1083">
          <cell r="A1083">
            <v>42492</v>
          </cell>
          <cell r="M1083">
            <v>8375.322142857143</v>
          </cell>
        </row>
        <row r="1084">
          <cell r="A1084">
            <v>42493</v>
          </cell>
          <cell r="M1084">
            <v>9234.40705882353</v>
          </cell>
        </row>
        <row r="1085">
          <cell r="A1085">
            <v>42494</v>
          </cell>
          <cell r="M1085">
            <v>8913.811176470588</v>
          </cell>
        </row>
        <row r="1086">
          <cell r="A1086">
            <v>42495</v>
          </cell>
          <cell r="M1086">
            <v>9153.472777777779</v>
          </cell>
        </row>
        <row r="1087">
          <cell r="A1087">
            <v>42496</v>
          </cell>
          <cell r="M1087">
            <v>8892.242352941175</v>
          </cell>
        </row>
        <row r="1088">
          <cell r="A1088">
            <v>42499</v>
          </cell>
          <cell r="M1088">
            <v>9023.330500000002</v>
          </cell>
        </row>
        <row r="1089">
          <cell r="A1089">
            <v>42500</v>
          </cell>
          <cell r="M1089">
            <v>8461.586666666666</v>
          </cell>
        </row>
        <row r="1090">
          <cell r="A1090">
            <v>42501</v>
          </cell>
          <cell r="M1090">
            <v>8229.902142857141</v>
          </cell>
        </row>
        <row r="1091">
          <cell r="A1091">
            <v>42502</v>
          </cell>
          <cell r="M1091">
            <v>8887.550714285715</v>
          </cell>
        </row>
        <row r="1092">
          <cell r="A1092">
            <v>42503</v>
          </cell>
          <cell r="M1092">
            <v>8786.133529411765</v>
          </cell>
        </row>
        <row r="1093">
          <cell r="A1093">
            <v>42506</v>
          </cell>
          <cell r="M1093">
            <v>9925.452857142855</v>
          </cell>
        </row>
        <row r="1094">
          <cell r="A1094">
            <v>42507</v>
          </cell>
          <cell r="M1094">
            <v>11149.863913043479</v>
          </cell>
        </row>
        <row r="1095">
          <cell r="A1095">
            <v>42508</v>
          </cell>
          <cell r="M1095">
            <v>11335.153750000003</v>
          </cell>
        </row>
        <row r="1096">
          <cell r="A1096">
            <v>42509</v>
          </cell>
          <cell r="M1096">
            <v>12832.023125000002</v>
          </cell>
        </row>
        <row r="1097">
          <cell r="A1097">
            <v>42510</v>
          </cell>
          <cell r="M1097">
            <v>12553.536666666669</v>
          </cell>
        </row>
        <row r="1098">
          <cell r="A1098">
            <v>42513</v>
          </cell>
          <cell r="M1098">
            <v>13142.822631578947</v>
          </cell>
        </row>
        <row r="1099">
          <cell r="A1099">
            <v>42514</v>
          </cell>
          <cell r="M1099">
            <v>13160.455652173918</v>
          </cell>
        </row>
        <row r="1100">
          <cell r="A1100">
            <v>42515</v>
          </cell>
          <cell r="M1100">
            <v>13307.286315789474</v>
          </cell>
        </row>
        <row r="1101">
          <cell r="A1101">
            <v>42516</v>
          </cell>
          <cell r="M1101">
            <v>12752.621764705884</v>
          </cell>
        </row>
        <row r="1102">
          <cell r="A1102">
            <v>42517</v>
          </cell>
          <cell r="M1102">
            <v>12770.828800000001</v>
          </cell>
        </row>
        <row r="1103">
          <cell r="A1103">
            <v>42520</v>
          </cell>
          <cell r="M1103">
            <v>12582.234444444444</v>
          </cell>
        </row>
        <row r="1104">
          <cell r="A1104">
            <v>42521</v>
          </cell>
          <cell r="M1104">
            <v>12682.959166666666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rie de preci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A1" sqref="A1"/>
    </sheetView>
  </sheetViews>
  <sheetFormatPr defaultColWidth="10.8515625" defaultRowHeight="15"/>
  <cols>
    <col min="1" max="27" width="10.8515625" style="85" customWidth="1"/>
    <col min="28" max="16384" width="10.8515625" style="85" customWidth="1"/>
  </cols>
  <sheetData>
    <row r="1" ht="15">
      <c r="A1" s="88"/>
    </row>
    <row r="13" spans="6:10" ht="25.5">
      <c r="F13" s="89"/>
      <c r="G13" s="89"/>
      <c r="H13" s="90"/>
      <c r="I13" s="90"/>
      <c r="J13" s="90"/>
    </row>
    <row r="14" spans="5:7" ht="15">
      <c r="E14" s="86"/>
      <c r="F14" s="86"/>
      <c r="G14" s="86"/>
    </row>
    <row r="15" spans="5:10" ht="15.75">
      <c r="E15" s="91"/>
      <c r="F15" s="92"/>
      <c r="G15" s="92"/>
      <c r="H15" s="93"/>
      <c r="I15" s="93"/>
      <c r="J15" s="93"/>
    </row>
    <row r="20" ht="25.5">
      <c r="D20" s="89" t="s">
        <v>112</v>
      </c>
    </row>
    <row r="39" spans="4:6" ht="15.75">
      <c r="D39" s="301"/>
      <c r="E39" s="302"/>
      <c r="F39" s="302"/>
    </row>
    <row r="42" ht="15.75">
      <c r="E42" s="187" t="s">
        <v>227</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E48"/>
  <sheetViews>
    <sheetView zoomScale="80" zoomScaleNormal="80" zoomScalePageLayoutView="60" workbookViewId="0" topLeftCell="A1">
      <selection activeCell="A1" sqref="A1"/>
    </sheetView>
  </sheetViews>
  <sheetFormatPr defaultColWidth="10.8515625" defaultRowHeight="15"/>
  <cols>
    <col min="1" max="1" width="1.7109375" style="39" customWidth="1"/>
    <col min="2" max="2" width="12.140625" style="39" customWidth="1"/>
    <col min="3" max="3" width="11.8515625" style="39" customWidth="1"/>
    <col min="4" max="4" width="13.7109375" style="39" customWidth="1"/>
    <col min="5" max="5" width="14.421875" style="39" customWidth="1"/>
    <col min="6" max="7" width="12.00390625" style="39" customWidth="1"/>
    <col min="8" max="8" width="12.7109375" style="39" customWidth="1"/>
    <col min="9" max="9" width="14.00390625" style="39" customWidth="1"/>
    <col min="10" max="10" width="13.00390625" style="39" customWidth="1"/>
    <col min="11" max="11" width="12.00390625" style="39" customWidth="1"/>
    <col min="12" max="12" width="13.8515625" style="39" customWidth="1"/>
    <col min="13" max="13" width="13.421875" style="39" customWidth="1"/>
    <col min="14" max="14" width="12.28125" style="39" customWidth="1"/>
    <col min="15" max="15" width="12.00390625" style="39" customWidth="1"/>
    <col min="16" max="18" width="13.00390625" style="39" customWidth="1"/>
    <col min="19" max="19" width="2.140625" style="39" customWidth="1"/>
    <col min="20" max="20" width="10.8515625" style="39" customWidth="1"/>
    <col min="21" max="21" width="10.8515625" style="197" customWidth="1"/>
    <col min="22" max="22" width="10.8515625" style="230" hidden="1" customWidth="1"/>
    <col min="23" max="23" width="9.28125" style="230" hidden="1" customWidth="1"/>
    <col min="24" max="24" width="13.00390625" style="230" hidden="1" customWidth="1"/>
    <col min="25" max="25" width="13.140625" style="230" hidden="1" customWidth="1"/>
    <col min="26" max="26" width="7.140625" style="230" hidden="1" customWidth="1"/>
    <col min="27" max="27" width="8.140625" style="230" hidden="1" customWidth="1"/>
    <col min="28" max="28" width="9.28125" style="230" hidden="1" customWidth="1"/>
    <col min="29" max="29" width="15.7109375" style="230" hidden="1" customWidth="1"/>
    <col min="30" max="30" width="13.140625" style="230" hidden="1" customWidth="1"/>
    <col min="31" max="31" width="10.8515625" style="197" customWidth="1"/>
    <col min="32" max="16384" width="10.8515625" style="39" customWidth="1"/>
  </cols>
  <sheetData>
    <row r="1" ht="8.25" customHeight="1"/>
    <row r="2" spans="2:20" ht="12.75">
      <c r="B2" s="323" t="s">
        <v>61</v>
      </c>
      <c r="C2" s="323"/>
      <c r="D2" s="323"/>
      <c r="E2" s="323"/>
      <c r="F2" s="323"/>
      <c r="G2" s="323"/>
      <c r="H2" s="323"/>
      <c r="I2" s="323"/>
      <c r="J2" s="323"/>
      <c r="K2" s="323"/>
      <c r="L2" s="323"/>
      <c r="M2" s="323"/>
      <c r="N2" s="323"/>
      <c r="O2" s="323"/>
      <c r="P2" s="323"/>
      <c r="Q2" s="323"/>
      <c r="R2" s="323"/>
      <c r="S2" s="226"/>
      <c r="T2" s="52" t="s">
        <v>158</v>
      </c>
    </row>
    <row r="3" spans="2:19" ht="12.75">
      <c r="B3" s="323" t="s">
        <v>154</v>
      </c>
      <c r="C3" s="323"/>
      <c r="D3" s="323"/>
      <c r="E3" s="323"/>
      <c r="F3" s="323"/>
      <c r="G3" s="323"/>
      <c r="H3" s="323"/>
      <c r="I3" s="323"/>
      <c r="J3" s="323"/>
      <c r="K3" s="323"/>
      <c r="L3" s="323"/>
      <c r="M3" s="323"/>
      <c r="N3" s="323"/>
      <c r="O3" s="323"/>
      <c r="P3" s="323"/>
      <c r="Q3" s="323"/>
      <c r="R3" s="323"/>
      <c r="S3" s="226"/>
    </row>
    <row r="4" spans="2:19" ht="12.75">
      <c r="B4" s="323" t="s">
        <v>110</v>
      </c>
      <c r="C4" s="323"/>
      <c r="D4" s="323"/>
      <c r="E4" s="323"/>
      <c r="F4" s="323"/>
      <c r="G4" s="323"/>
      <c r="H4" s="323"/>
      <c r="I4" s="323"/>
      <c r="J4" s="323"/>
      <c r="K4" s="323"/>
      <c r="L4" s="323"/>
      <c r="M4" s="323"/>
      <c r="N4" s="323"/>
      <c r="O4" s="323"/>
      <c r="P4" s="323"/>
      <c r="Q4" s="323"/>
      <c r="R4" s="323"/>
      <c r="S4" s="226"/>
    </row>
    <row r="5" spans="3:20" ht="12.75">
      <c r="C5" s="334" t="s">
        <v>142</v>
      </c>
      <c r="D5" s="334"/>
      <c r="E5" s="334"/>
      <c r="F5" s="334"/>
      <c r="G5" s="334"/>
      <c r="H5" s="334"/>
      <c r="I5" s="334"/>
      <c r="J5" s="334"/>
      <c r="K5" s="334" t="s">
        <v>141</v>
      </c>
      <c r="L5" s="334"/>
      <c r="M5" s="334"/>
      <c r="N5" s="334"/>
      <c r="O5" s="334"/>
      <c r="P5" s="334"/>
      <c r="Q5" s="334"/>
      <c r="R5" s="334"/>
      <c r="S5" s="254"/>
      <c r="T5" s="229"/>
    </row>
    <row r="6" spans="2:30" ht="25.5">
      <c r="B6" s="255" t="s">
        <v>144</v>
      </c>
      <c r="C6" s="256" t="s">
        <v>171</v>
      </c>
      <c r="D6" s="257" t="s">
        <v>24</v>
      </c>
      <c r="E6" s="257" t="s">
        <v>23</v>
      </c>
      <c r="F6" s="257" t="s">
        <v>143</v>
      </c>
      <c r="G6" s="257" t="s">
        <v>20</v>
      </c>
      <c r="H6" s="257" t="s">
        <v>19</v>
      </c>
      <c r="I6" s="257" t="s">
        <v>18</v>
      </c>
      <c r="J6" s="258" t="s">
        <v>16</v>
      </c>
      <c r="K6" s="256" t="s">
        <v>171</v>
      </c>
      <c r="L6" s="257" t="s">
        <v>24</v>
      </c>
      <c r="M6" s="257" t="s">
        <v>23</v>
      </c>
      <c r="N6" s="257" t="s">
        <v>143</v>
      </c>
      <c r="O6" s="257" t="s">
        <v>20</v>
      </c>
      <c r="P6" s="257" t="s">
        <v>19</v>
      </c>
      <c r="Q6" s="257" t="s">
        <v>18</v>
      </c>
      <c r="R6" s="258" t="s">
        <v>16</v>
      </c>
      <c r="S6" s="141"/>
      <c r="T6" s="229"/>
      <c r="W6" s="259" t="s">
        <v>171</v>
      </c>
      <c r="X6" s="259" t="s">
        <v>24</v>
      </c>
      <c r="Y6" s="259" t="s">
        <v>23</v>
      </c>
      <c r="Z6" s="259" t="s">
        <v>143</v>
      </c>
      <c r="AA6" s="259" t="s">
        <v>20</v>
      </c>
      <c r="AB6" s="259" t="s">
        <v>19</v>
      </c>
      <c r="AC6" s="259" t="s">
        <v>18</v>
      </c>
      <c r="AD6" s="259" t="s">
        <v>16</v>
      </c>
    </row>
    <row r="7" spans="2:31" ht="12.75">
      <c r="B7" s="260">
        <v>42380</v>
      </c>
      <c r="C7" s="261">
        <v>1539</v>
      </c>
      <c r="D7" s="114">
        <v>1559</v>
      </c>
      <c r="E7" s="114">
        <v>1413</v>
      </c>
      <c r="F7" s="114">
        <v>1460</v>
      </c>
      <c r="G7" s="114">
        <v>1426</v>
      </c>
      <c r="H7" s="114">
        <v>1365</v>
      </c>
      <c r="I7" s="114">
        <v>1430</v>
      </c>
      <c r="J7" s="262">
        <v>1336</v>
      </c>
      <c r="K7" s="261">
        <v>640</v>
      </c>
      <c r="L7" s="114">
        <v>577</v>
      </c>
      <c r="M7" s="114">
        <v>400</v>
      </c>
      <c r="N7" s="114">
        <v>464</v>
      </c>
      <c r="O7" s="114">
        <v>433</v>
      </c>
      <c r="P7" s="114">
        <v>390</v>
      </c>
      <c r="Q7" s="114">
        <v>419</v>
      </c>
      <c r="R7" s="262"/>
      <c r="S7" s="142"/>
      <c r="T7" s="229"/>
      <c r="W7" s="238">
        <f>+IF(K7="","",((C7-K7)/K7))</f>
        <v>1.4046875</v>
      </c>
      <c r="X7" s="238">
        <f aca="true" t="shared" si="0" ref="X7:AD22">+IF(L7="","",((D7-L7)/L7))</f>
        <v>1.7019064124783363</v>
      </c>
      <c r="Y7" s="238">
        <f t="shared" si="0"/>
        <v>2.5325</v>
      </c>
      <c r="Z7" s="238">
        <f t="shared" si="0"/>
        <v>2.146551724137931</v>
      </c>
      <c r="AA7" s="238">
        <f t="shared" si="0"/>
        <v>2.2933025404157044</v>
      </c>
      <c r="AB7" s="238">
        <f t="shared" si="0"/>
        <v>2.5</v>
      </c>
      <c r="AC7" s="238">
        <f t="shared" si="0"/>
        <v>2.412887828162291</v>
      </c>
      <c r="AD7" s="238">
        <f t="shared" si="0"/>
      </c>
      <c r="AE7" s="227"/>
    </row>
    <row r="8" spans="2:31" ht="12.75">
      <c r="B8" s="260">
        <v>42387</v>
      </c>
      <c r="C8" s="261">
        <v>1325</v>
      </c>
      <c r="D8" s="114">
        <v>1508</v>
      </c>
      <c r="E8" s="114">
        <v>1265</v>
      </c>
      <c r="F8" s="114">
        <v>1383</v>
      </c>
      <c r="G8" s="114">
        <v>1335</v>
      </c>
      <c r="H8" s="114">
        <v>1200</v>
      </c>
      <c r="I8" s="114">
        <v>1341</v>
      </c>
      <c r="J8" s="262">
        <v>1226</v>
      </c>
      <c r="K8" s="261">
        <v>575</v>
      </c>
      <c r="L8" s="114">
        <v>608</v>
      </c>
      <c r="M8" s="114">
        <v>384</v>
      </c>
      <c r="N8" s="114">
        <v>467</v>
      </c>
      <c r="O8" s="114">
        <v>442</v>
      </c>
      <c r="P8" s="114">
        <v>381</v>
      </c>
      <c r="Q8" s="114">
        <v>425</v>
      </c>
      <c r="R8" s="262">
        <v>350</v>
      </c>
      <c r="S8" s="142"/>
      <c r="T8" s="229"/>
      <c r="W8" s="238">
        <f aca="true" t="shared" si="1" ref="W8:W27">+IF(K8="","",((C8-K8)/K8))</f>
        <v>1.3043478260869565</v>
      </c>
      <c r="X8" s="238">
        <f t="shared" si="0"/>
        <v>1.480263157894737</v>
      </c>
      <c r="Y8" s="238">
        <f t="shared" si="0"/>
        <v>2.2942708333333335</v>
      </c>
      <c r="Z8" s="238">
        <f t="shared" si="0"/>
        <v>1.9614561027837258</v>
      </c>
      <c r="AA8" s="238">
        <f t="shared" si="0"/>
        <v>2.020361990950226</v>
      </c>
      <c r="AB8" s="238">
        <f t="shared" si="0"/>
        <v>2.1496062992125986</v>
      </c>
      <c r="AC8" s="238">
        <f t="shared" si="0"/>
        <v>2.155294117647059</v>
      </c>
      <c r="AD8" s="238">
        <f t="shared" si="0"/>
        <v>2.5028571428571427</v>
      </c>
      <c r="AE8" s="227"/>
    </row>
    <row r="9" spans="2:30" ht="12.75">
      <c r="B9" s="260">
        <v>42394</v>
      </c>
      <c r="C9" s="261">
        <v>1072</v>
      </c>
      <c r="D9" s="114">
        <v>1461</v>
      </c>
      <c r="E9" s="114">
        <v>1202</v>
      </c>
      <c r="F9" s="114">
        <v>1277</v>
      </c>
      <c r="G9" s="114">
        <v>1205</v>
      </c>
      <c r="H9" s="114">
        <v>1124</v>
      </c>
      <c r="I9" s="114">
        <v>1272</v>
      </c>
      <c r="J9" s="262">
        <v>1138</v>
      </c>
      <c r="K9" s="261">
        <v>600</v>
      </c>
      <c r="L9" s="114">
        <v>583</v>
      </c>
      <c r="M9" s="114">
        <v>375</v>
      </c>
      <c r="N9" s="114">
        <v>478</v>
      </c>
      <c r="O9" s="114">
        <v>437</v>
      </c>
      <c r="P9" s="114">
        <v>341</v>
      </c>
      <c r="Q9" s="114">
        <v>413</v>
      </c>
      <c r="R9" s="262">
        <v>388</v>
      </c>
      <c r="S9" s="142"/>
      <c r="T9" s="229"/>
      <c r="W9" s="238">
        <f t="shared" si="1"/>
        <v>0.7866666666666666</v>
      </c>
      <c r="X9" s="238">
        <f t="shared" si="0"/>
        <v>1.5060034305317325</v>
      </c>
      <c r="Y9" s="238">
        <f t="shared" si="0"/>
        <v>2.2053333333333334</v>
      </c>
      <c r="Z9" s="238">
        <f t="shared" si="0"/>
        <v>1.6715481171548117</v>
      </c>
      <c r="AA9" s="238">
        <f t="shared" si="0"/>
        <v>1.757437070938215</v>
      </c>
      <c r="AB9" s="238">
        <f t="shared" si="0"/>
        <v>2.2961876832844577</v>
      </c>
      <c r="AC9" s="238">
        <f t="shared" si="0"/>
        <v>2.079903147699758</v>
      </c>
      <c r="AD9" s="238">
        <f t="shared" si="0"/>
        <v>1.9329896907216495</v>
      </c>
    </row>
    <row r="10" spans="2:30" ht="12.75">
      <c r="B10" s="260">
        <v>42401</v>
      </c>
      <c r="C10" s="261">
        <v>1324</v>
      </c>
      <c r="D10" s="114">
        <v>1485</v>
      </c>
      <c r="E10" s="114">
        <v>1349</v>
      </c>
      <c r="F10" s="114">
        <v>1396</v>
      </c>
      <c r="G10" s="114">
        <v>1366</v>
      </c>
      <c r="H10" s="114">
        <v>1280</v>
      </c>
      <c r="I10" s="114">
        <v>1379</v>
      </c>
      <c r="J10" s="262">
        <v>1381</v>
      </c>
      <c r="K10" s="261">
        <v>560</v>
      </c>
      <c r="L10" s="114">
        <v>500</v>
      </c>
      <c r="M10" s="114">
        <v>341</v>
      </c>
      <c r="N10" s="114">
        <v>439</v>
      </c>
      <c r="O10" s="114">
        <v>433</v>
      </c>
      <c r="P10" s="114">
        <v>364</v>
      </c>
      <c r="Q10" s="114">
        <v>373</v>
      </c>
      <c r="R10" s="262">
        <v>363</v>
      </c>
      <c r="S10" s="142"/>
      <c r="T10" s="229"/>
      <c r="W10" s="238">
        <f t="shared" si="1"/>
        <v>1.3642857142857143</v>
      </c>
      <c r="X10" s="238">
        <f t="shared" si="0"/>
        <v>1.97</v>
      </c>
      <c r="Y10" s="238">
        <f t="shared" si="0"/>
        <v>2.9560117302052786</v>
      </c>
      <c r="Z10" s="238">
        <f t="shared" si="0"/>
        <v>2.1799544419134396</v>
      </c>
      <c r="AA10" s="238">
        <f t="shared" si="0"/>
        <v>2.1547344110854505</v>
      </c>
      <c r="AB10" s="238">
        <f t="shared" si="0"/>
        <v>2.5164835164835164</v>
      </c>
      <c r="AC10" s="238">
        <f t="shared" si="0"/>
        <v>2.6970509383378016</v>
      </c>
      <c r="AD10" s="238">
        <f t="shared" si="0"/>
        <v>2.8044077134986227</v>
      </c>
    </row>
    <row r="11" spans="2:30" ht="12.75">
      <c r="B11" s="260">
        <v>42408</v>
      </c>
      <c r="C11" s="261">
        <v>1337</v>
      </c>
      <c r="D11" s="114">
        <v>1385</v>
      </c>
      <c r="E11" s="114">
        <v>1358</v>
      </c>
      <c r="F11" s="114">
        <v>1338</v>
      </c>
      <c r="G11" s="114">
        <v>1377.5</v>
      </c>
      <c r="H11" s="114">
        <v>1222</v>
      </c>
      <c r="I11" s="114">
        <v>1344</v>
      </c>
      <c r="J11" s="262">
        <v>1207</v>
      </c>
      <c r="K11" s="261">
        <v>545</v>
      </c>
      <c r="L11" s="114">
        <v>493</v>
      </c>
      <c r="M11" s="114">
        <v>375</v>
      </c>
      <c r="N11" s="114">
        <v>434</v>
      </c>
      <c r="O11" s="114">
        <v>422</v>
      </c>
      <c r="P11" s="114">
        <v>338</v>
      </c>
      <c r="Q11" s="114">
        <v>394</v>
      </c>
      <c r="R11" s="262">
        <v>425</v>
      </c>
      <c r="S11" s="142"/>
      <c r="T11" s="229"/>
      <c r="W11" s="238">
        <f t="shared" si="1"/>
        <v>1.453211009174312</v>
      </c>
      <c r="X11" s="238">
        <f t="shared" si="0"/>
        <v>1.8093306288032454</v>
      </c>
      <c r="Y11" s="238">
        <f t="shared" si="0"/>
        <v>2.6213333333333333</v>
      </c>
      <c r="Z11" s="238">
        <f t="shared" si="0"/>
        <v>2.0829493087557602</v>
      </c>
      <c r="AA11" s="238">
        <f t="shared" si="0"/>
        <v>2.264218009478673</v>
      </c>
      <c r="AB11" s="238">
        <f t="shared" si="0"/>
        <v>2.6153846153846154</v>
      </c>
      <c r="AC11" s="238">
        <f t="shared" si="0"/>
        <v>2.4111675126903553</v>
      </c>
      <c r="AD11" s="238">
        <f t="shared" si="0"/>
        <v>1.84</v>
      </c>
    </row>
    <row r="12" spans="2:30" ht="12.75">
      <c r="B12" s="260">
        <v>42415</v>
      </c>
      <c r="C12" s="261">
        <v>1247</v>
      </c>
      <c r="D12" s="114">
        <v>1387</v>
      </c>
      <c r="E12" s="114">
        <v>1352</v>
      </c>
      <c r="F12" s="114">
        <v>1333</v>
      </c>
      <c r="G12" s="114">
        <v>1396</v>
      </c>
      <c r="H12" s="114">
        <v>1298</v>
      </c>
      <c r="I12" s="114">
        <v>1366</v>
      </c>
      <c r="J12" s="262">
        <v>1266</v>
      </c>
      <c r="K12" s="261">
        <v>600</v>
      </c>
      <c r="L12" s="114">
        <v>515</v>
      </c>
      <c r="M12" s="114">
        <v>325</v>
      </c>
      <c r="N12" s="114">
        <v>448</v>
      </c>
      <c r="O12" s="114">
        <v>433</v>
      </c>
      <c r="P12" s="114">
        <v>344</v>
      </c>
      <c r="Q12" s="114">
        <v>341</v>
      </c>
      <c r="R12" s="262">
        <v>400</v>
      </c>
      <c r="S12" s="142"/>
      <c r="T12" s="229"/>
      <c r="W12" s="238">
        <f t="shared" si="1"/>
        <v>1.0783333333333334</v>
      </c>
      <c r="X12" s="238">
        <f t="shared" si="0"/>
        <v>1.6932038834951457</v>
      </c>
      <c r="Y12" s="238">
        <f t="shared" si="0"/>
        <v>3.16</v>
      </c>
      <c r="Z12" s="238">
        <f t="shared" si="0"/>
        <v>1.9754464285714286</v>
      </c>
      <c r="AA12" s="238">
        <f t="shared" si="0"/>
        <v>2.224018475750577</v>
      </c>
      <c r="AB12" s="238">
        <f t="shared" si="0"/>
        <v>2.7732558139534884</v>
      </c>
      <c r="AC12" s="238">
        <f t="shared" si="0"/>
        <v>3.005865102639296</v>
      </c>
      <c r="AD12" s="238">
        <f t="shared" si="0"/>
        <v>2.165</v>
      </c>
    </row>
    <row r="13" spans="2:30" ht="12.75">
      <c r="B13" s="260">
        <v>42422</v>
      </c>
      <c r="C13" s="261">
        <v>1349</v>
      </c>
      <c r="D13" s="114">
        <v>1330</v>
      </c>
      <c r="E13" s="114">
        <v>1343</v>
      </c>
      <c r="F13" s="114">
        <v>1371</v>
      </c>
      <c r="G13" s="114">
        <v>1380</v>
      </c>
      <c r="H13" s="114">
        <v>1270</v>
      </c>
      <c r="I13" s="114">
        <v>1364</v>
      </c>
      <c r="J13" s="262">
        <v>1272</v>
      </c>
      <c r="K13" s="261">
        <v>550</v>
      </c>
      <c r="L13" s="114">
        <v>519</v>
      </c>
      <c r="M13" s="114">
        <v>338</v>
      </c>
      <c r="N13" s="114">
        <v>450</v>
      </c>
      <c r="O13" s="114">
        <v>450</v>
      </c>
      <c r="P13" s="114">
        <v>332</v>
      </c>
      <c r="Q13" s="114">
        <v>344</v>
      </c>
      <c r="R13" s="262">
        <v>388</v>
      </c>
      <c r="S13" s="142"/>
      <c r="T13" s="229"/>
      <c r="W13" s="238">
        <f t="shared" si="1"/>
        <v>1.4527272727272726</v>
      </c>
      <c r="X13" s="238">
        <f t="shared" si="0"/>
        <v>1.5626204238921002</v>
      </c>
      <c r="Y13" s="238">
        <f t="shared" si="0"/>
        <v>2.973372781065089</v>
      </c>
      <c r="Z13" s="238">
        <f t="shared" si="0"/>
        <v>2.046666666666667</v>
      </c>
      <c r="AA13" s="238">
        <f t="shared" si="0"/>
        <v>2.066666666666667</v>
      </c>
      <c r="AB13" s="238">
        <f t="shared" si="0"/>
        <v>2.825301204819277</v>
      </c>
      <c r="AC13" s="238">
        <f t="shared" si="0"/>
        <v>2.9651162790697674</v>
      </c>
      <c r="AD13" s="238">
        <f t="shared" si="0"/>
        <v>2.2783505154639174</v>
      </c>
    </row>
    <row r="14" spans="2:30" ht="12.75">
      <c r="B14" s="260">
        <v>42429</v>
      </c>
      <c r="C14" s="261">
        <v>1026</v>
      </c>
      <c r="D14" s="114">
        <v>1309</v>
      </c>
      <c r="E14" s="114">
        <v>1265</v>
      </c>
      <c r="F14" s="114">
        <v>1201</v>
      </c>
      <c r="G14" s="114">
        <v>1279</v>
      </c>
      <c r="H14" s="114">
        <v>1135</v>
      </c>
      <c r="I14" s="114">
        <v>1205</v>
      </c>
      <c r="J14" s="262">
        <v>1194</v>
      </c>
      <c r="K14" s="261">
        <v>520</v>
      </c>
      <c r="L14" s="114">
        <v>533</v>
      </c>
      <c r="M14" s="114">
        <v>371</v>
      </c>
      <c r="N14" s="114">
        <v>441</v>
      </c>
      <c r="O14" s="114">
        <v>444</v>
      </c>
      <c r="P14" s="114">
        <v>387</v>
      </c>
      <c r="Q14" s="114">
        <v>354</v>
      </c>
      <c r="R14" s="262">
        <v>325</v>
      </c>
      <c r="S14" s="142"/>
      <c r="T14" s="229"/>
      <c r="W14" s="238">
        <f t="shared" si="1"/>
        <v>0.9730769230769231</v>
      </c>
      <c r="X14" s="238">
        <f t="shared" si="0"/>
        <v>1.4559099437148217</v>
      </c>
      <c r="Y14" s="238">
        <f t="shared" si="0"/>
        <v>2.4097035040431267</v>
      </c>
      <c r="Z14" s="238">
        <f t="shared" si="0"/>
        <v>1.7233560090702948</v>
      </c>
      <c r="AA14" s="238">
        <f t="shared" si="0"/>
        <v>1.8806306306306306</v>
      </c>
      <c r="AB14" s="238">
        <f t="shared" si="0"/>
        <v>1.9328165374677002</v>
      </c>
      <c r="AC14" s="238">
        <f t="shared" si="0"/>
        <v>2.403954802259887</v>
      </c>
      <c r="AD14" s="238">
        <f t="shared" si="0"/>
        <v>2.6738461538461538</v>
      </c>
    </row>
    <row r="15" spans="2:30" ht="12.75">
      <c r="B15" s="260">
        <v>42436</v>
      </c>
      <c r="C15" s="261">
        <v>1231</v>
      </c>
      <c r="D15" s="114">
        <v>1308</v>
      </c>
      <c r="E15" s="114">
        <v>1275</v>
      </c>
      <c r="F15" s="114">
        <v>1259</v>
      </c>
      <c r="G15" s="114">
        <v>1264</v>
      </c>
      <c r="H15" s="114">
        <v>1240</v>
      </c>
      <c r="I15" s="114">
        <v>1178</v>
      </c>
      <c r="J15" s="262">
        <v>1146</v>
      </c>
      <c r="K15" s="261">
        <v>513</v>
      </c>
      <c r="L15" s="114">
        <v>513</v>
      </c>
      <c r="M15" s="114">
        <v>313</v>
      </c>
      <c r="N15" s="114">
        <v>415</v>
      </c>
      <c r="O15" s="114">
        <v>438</v>
      </c>
      <c r="P15" s="114">
        <v>365</v>
      </c>
      <c r="Q15" s="114">
        <v>358</v>
      </c>
      <c r="R15" s="262">
        <v>350</v>
      </c>
      <c r="S15" s="142"/>
      <c r="T15" s="229"/>
      <c r="W15" s="238">
        <f t="shared" si="1"/>
        <v>1.3996101364522417</v>
      </c>
      <c r="X15" s="238">
        <f t="shared" si="0"/>
        <v>1.5497076023391814</v>
      </c>
      <c r="Y15" s="238">
        <f t="shared" si="0"/>
        <v>3.073482428115016</v>
      </c>
      <c r="Z15" s="238">
        <f t="shared" si="0"/>
        <v>2.0337349397590363</v>
      </c>
      <c r="AA15" s="238">
        <f t="shared" si="0"/>
        <v>1.8858447488584476</v>
      </c>
      <c r="AB15" s="238">
        <f t="shared" si="0"/>
        <v>2.3972602739726026</v>
      </c>
      <c r="AC15" s="238">
        <f t="shared" si="0"/>
        <v>2.2905027932960893</v>
      </c>
      <c r="AD15" s="238">
        <f t="shared" si="0"/>
        <v>2.2742857142857145</v>
      </c>
    </row>
    <row r="16" spans="2:30" ht="12.75">
      <c r="B16" s="260">
        <v>42443</v>
      </c>
      <c r="C16" s="261">
        <v>823</v>
      </c>
      <c r="D16" s="114">
        <v>1329</v>
      </c>
      <c r="E16" s="114">
        <v>932</v>
      </c>
      <c r="F16" s="114">
        <v>1088</v>
      </c>
      <c r="G16" s="114">
        <v>1007</v>
      </c>
      <c r="H16" s="114">
        <v>901</v>
      </c>
      <c r="I16" s="114">
        <v>1120</v>
      </c>
      <c r="J16" s="262">
        <v>856</v>
      </c>
      <c r="K16" s="261">
        <v>533</v>
      </c>
      <c r="L16" s="114">
        <v>499</v>
      </c>
      <c r="M16" s="114">
        <v>344</v>
      </c>
      <c r="N16" s="114">
        <v>437</v>
      </c>
      <c r="O16" s="114">
        <v>436</v>
      </c>
      <c r="P16" s="114">
        <v>368</v>
      </c>
      <c r="Q16" s="114">
        <v>356</v>
      </c>
      <c r="R16" s="262">
        <v>350</v>
      </c>
      <c r="S16" s="142"/>
      <c r="T16" s="229"/>
      <c r="W16" s="238">
        <f t="shared" si="1"/>
        <v>0.5440900562851783</v>
      </c>
      <c r="X16" s="238">
        <f t="shared" si="0"/>
        <v>1.6633266533066133</v>
      </c>
      <c r="Y16" s="238">
        <f t="shared" si="0"/>
        <v>1.7093023255813953</v>
      </c>
      <c r="Z16" s="238">
        <f t="shared" si="0"/>
        <v>1.4897025171624714</v>
      </c>
      <c r="AA16" s="238">
        <f t="shared" si="0"/>
        <v>1.3096330275229358</v>
      </c>
      <c r="AB16" s="238">
        <f t="shared" si="0"/>
        <v>1.4483695652173914</v>
      </c>
      <c r="AC16" s="238">
        <f t="shared" si="0"/>
        <v>2.146067415730337</v>
      </c>
      <c r="AD16" s="238">
        <f t="shared" si="0"/>
        <v>1.4457142857142857</v>
      </c>
    </row>
    <row r="17" spans="2:30" ht="12.75">
      <c r="B17" s="260">
        <v>42450</v>
      </c>
      <c r="C17" s="261">
        <v>1093</v>
      </c>
      <c r="D17" s="114">
        <v>1327</v>
      </c>
      <c r="E17" s="114">
        <v>1116</v>
      </c>
      <c r="F17" s="114">
        <v>1223</v>
      </c>
      <c r="G17" s="114">
        <v>1204</v>
      </c>
      <c r="H17" s="114">
        <v>1096</v>
      </c>
      <c r="I17" s="114">
        <v>1186</v>
      </c>
      <c r="J17" s="262">
        <v>1156</v>
      </c>
      <c r="K17" s="261">
        <v>488</v>
      </c>
      <c r="L17" s="114">
        <v>468</v>
      </c>
      <c r="M17" s="114">
        <v>338</v>
      </c>
      <c r="N17" s="114">
        <v>430</v>
      </c>
      <c r="O17" s="114">
        <v>429</v>
      </c>
      <c r="P17" s="114">
        <v>372</v>
      </c>
      <c r="Q17" s="114">
        <v>310</v>
      </c>
      <c r="R17" s="262">
        <v>350</v>
      </c>
      <c r="S17" s="142"/>
      <c r="T17" s="229"/>
      <c r="W17" s="238">
        <f t="shared" si="1"/>
        <v>1.2397540983606556</v>
      </c>
      <c r="X17" s="238">
        <f t="shared" si="0"/>
        <v>1.8354700854700854</v>
      </c>
      <c r="Y17" s="238">
        <f t="shared" si="0"/>
        <v>2.301775147928994</v>
      </c>
      <c r="Z17" s="238">
        <f t="shared" si="0"/>
        <v>1.844186046511628</v>
      </c>
      <c r="AA17" s="238">
        <f t="shared" si="0"/>
        <v>1.8065268065268065</v>
      </c>
      <c r="AB17" s="238">
        <f t="shared" si="0"/>
        <v>1.946236559139785</v>
      </c>
      <c r="AC17" s="238">
        <f t="shared" si="0"/>
        <v>2.825806451612903</v>
      </c>
      <c r="AD17" s="238">
        <f t="shared" si="0"/>
        <v>2.302857142857143</v>
      </c>
    </row>
    <row r="18" spans="2:30" ht="12.75">
      <c r="B18" s="260">
        <v>42457</v>
      </c>
      <c r="C18" s="261">
        <v>1095</v>
      </c>
      <c r="D18" s="114">
        <v>1302</v>
      </c>
      <c r="E18" s="114">
        <v>1120</v>
      </c>
      <c r="F18" s="114">
        <v>1211</v>
      </c>
      <c r="G18" s="114">
        <v>1108</v>
      </c>
      <c r="H18" s="114">
        <v>1034</v>
      </c>
      <c r="I18" s="114">
        <v>1131</v>
      </c>
      <c r="J18" s="262">
        <v>947</v>
      </c>
      <c r="K18" s="261">
        <v>500</v>
      </c>
      <c r="L18" s="114">
        <v>452</v>
      </c>
      <c r="M18" s="114">
        <v>375</v>
      </c>
      <c r="N18" s="114">
        <v>450</v>
      </c>
      <c r="O18" s="114">
        <v>438</v>
      </c>
      <c r="P18" s="114">
        <v>359</v>
      </c>
      <c r="Q18" s="114">
        <v>367</v>
      </c>
      <c r="R18" s="262">
        <v>375</v>
      </c>
      <c r="S18" s="142"/>
      <c r="T18" s="229"/>
      <c r="W18" s="238">
        <f t="shared" si="1"/>
        <v>1.19</v>
      </c>
      <c r="X18" s="238">
        <f t="shared" si="0"/>
        <v>1.8805309734513274</v>
      </c>
      <c r="Y18" s="238">
        <f t="shared" si="0"/>
        <v>1.9866666666666666</v>
      </c>
      <c r="Z18" s="238">
        <f t="shared" si="0"/>
        <v>1.691111111111111</v>
      </c>
      <c r="AA18" s="238">
        <f t="shared" si="0"/>
        <v>1.5296803652968036</v>
      </c>
      <c r="AB18" s="238">
        <f t="shared" si="0"/>
        <v>1.8802228412256268</v>
      </c>
      <c r="AC18" s="238">
        <f t="shared" si="0"/>
        <v>2.0817438692098094</v>
      </c>
      <c r="AD18" s="238">
        <f t="shared" si="0"/>
        <v>1.5253333333333334</v>
      </c>
    </row>
    <row r="19" spans="2:30" ht="12.75">
      <c r="B19" s="260">
        <v>42464</v>
      </c>
      <c r="C19" s="261">
        <v>1078</v>
      </c>
      <c r="D19" s="114">
        <v>1075</v>
      </c>
      <c r="E19" s="114">
        <v>1108</v>
      </c>
      <c r="F19" s="114">
        <v>1108</v>
      </c>
      <c r="G19" s="114">
        <v>1045.5</v>
      </c>
      <c r="H19" s="114">
        <v>1102.5</v>
      </c>
      <c r="I19" s="114">
        <v>1064</v>
      </c>
      <c r="J19" s="262">
        <v>1020</v>
      </c>
      <c r="K19" s="261">
        <v>488</v>
      </c>
      <c r="L19" s="114">
        <v>479</v>
      </c>
      <c r="M19" s="114">
        <v>366</v>
      </c>
      <c r="N19" s="114">
        <v>366</v>
      </c>
      <c r="O19" s="114">
        <v>447</v>
      </c>
      <c r="P19" s="114">
        <v>337</v>
      </c>
      <c r="Q19" s="114">
        <v>338</v>
      </c>
      <c r="R19" s="262">
        <v>350</v>
      </c>
      <c r="S19" s="142"/>
      <c r="T19" s="229"/>
      <c r="W19" s="238">
        <f t="shared" si="1"/>
        <v>1.209016393442623</v>
      </c>
      <c r="X19" s="238">
        <f t="shared" si="0"/>
        <v>1.244258872651357</v>
      </c>
      <c r="Y19" s="238">
        <f t="shared" si="0"/>
        <v>2.0273224043715845</v>
      </c>
      <c r="Z19" s="238">
        <f t="shared" si="0"/>
        <v>2.0273224043715845</v>
      </c>
      <c r="AA19" s="238">
        <f t="shared" si="0"/>
        <v>1.3389261744966443</v>
      </c>
      <c r="AB19" s="238">
        <f t="shared" si="0"/>
        <v>2.271513353115727</v>
      </c>
      <c r="AC19" s="238">
        <f t="shared" si="0"/>
        <v>2.1479289940828403</v>
      </c>
      <c r="AD19" s="238">
        <f t="shared" si="0"/>
        <v>1.9142857142857144</v>
      </c>
    </row>
    <row r="20" spans="2:30" ht="12.75">
      <c r="B20" s="260">
        <v>42471</v>
      </c>
      <c r="C20" s="261">
        <v>728</v>
      </c>
      <c r="D20" s="114">
        <v>1114</v>
      </c>
      <c r="E20" s="114">
        <v>877</v>
      </c>
      <c r="F20" s="114">
        <v>877</v>
      </c>
      <c r="G20" s="114">
        <v>985</v>
      </c>
      <c r="H20" s="114">
        <v>1097</v>
      </c>
      <c r="I20" s="114">
        <v>1024</v>
      </c>
      <c r="J20" s="262">
        <v>1047</v>
      </c>
      <c r="K20" s="261">
        <v>482</v>
      </c>
      <c r="L20" s="114">
        <v>472</v>
      </c>
      <c r="M20" s="114">
        <v>375</v>
      </c>
      <c r="N20" s="114">
        <v>375</v>
      </c>
      <c r="O20" s="114">
        <v>444</v>
      </c>
      <c r="P20" s="114">
        <v>328</v>
      </c>
      <c r="Q20" s="114">
        <v>354</v>
      </c>
      <c r="R20" s="262">
        <v>325</v>
      </c>
      <c r="S20" s="142"/>
      <c r="T20" s="229"/>
      <c r="W20" s="238">
        <f t="shared" si="1"/>
        <v>0.5103734439834025</v>
      </c>
      <c r="X20" s="238">
        <f t="shared" si="0"/>
        <v>1.3601694915254237</v>
      </c>
      <c r="Y20" s="238">
        <f t="shared" si="0"/>
        <v>1.3386666666666667</v>
      </c>
      <c r="Z20" s="238">
        <f t="shared" si="0"/>
        <v>1.3386666666666667</v>
      </c>
      <c r="AA20" s="238">
        <f t="shared" si="0"/>
        <v>1.2184684684684686</v>
      </c>
      <c r="AB20" s="238">
        <f t="shared" si="0"/>
        <v>2.3445121951219514</v>
      </c>
      <c r="AC20" s="238">
        <f t="shared" si="0"/>
        <v>1.8926553672316384</v>
      </c>
      <c r="AD20" s="238">
        <f t="shared" si="0"/>
        <v>2.2215384615384615</v>
      </c>
    </row>
    <row r="21" spans="2:30" ht="12.75">
      <c r="B21" s="260">
        <v>42478</v>
      </c>
      <c r="C21" s="261">
        <v>1027</v>
      </c>
      <c r="D21" s="114">
        <v>1175</v>
      </c>
      <c r="E21" s="114">
        <v>1049</v>
      </c>
      <c r="F21" s="114">
        <v>1049</v>
      </c>
      <c r="G21" s="114">
        <v>1075</v>
      </c>
      <c r="H21" s="114">
        <v>1039</v>
      </c>
      <c r="I21" s="114">
        <v>1016</v>
      </c>
      <c r="J21" s="262">
        <v>973</v>
      </c>
      <c r="K21" s="261">
        <v>513</v>
      </c>
      <c r="L21" s="114">
        <v>463</v>
      </c>
      <c r="M21" s="114">
        <v>373</v>
      </c>
      <c r="N21" s="114">
        <v>373</v>
      </c>
      <c r="O21" s="114">
        <v>461</v>
      </c>
      <c r="P21" s="114">
        <v>326</v>
      </c>
      <c r="Q21" s="114">
        <v>363</v>
      </c>
      <c r="R21" s="262">
        <v>338</v>
      </c>
      <c r="S21" s="142"/>
      <c r="T21" s="229"/>
      <c r="W21" s="238">
        <f t="shared" si="1"/>
        <v>1.0019493177387915</v>
      </c>
      <c r="X21" s="238">
        <f t="shared" si="0"/>
        <v>1.5377969762419006</v>
      </c>
      <c r="Y21" s="238">
        <f t="shared" si="0"/>
        <v>1.8123324396782843</v>
      </c>
      <c r="Z21" s="238">
        <f t="shared" si="0"/>
        <v>1.8123324396782843</v>
      </c>
      <c r="AA21" s="238">
        <f t="shared" si="0"/>
        <v>1.331887201735358</v>
      </c>
      <c r="AB21" s="238">
        <f t="shared" si="0"/>
        <v>2.187116564417178</v>
      </c>
      <c r="AC21" s="238">
        <f t="shared" si="0"/>
        <v>1.7988980716253444</v>
      </c>
      <c r="AD21" s="238">
        <f t="shared" si="0"/>
        <v>1.878698224852071</v>
      </c>
    </row>
    <row r="22" spans="2:30" ht="12.75">
      <c r="B22" s="260">
        <v>42485</v>
      </c>
      <c r="C22" s="261">
        <v>1035</v>
      </c>
      <c r="D22" s="114">
        <v>1100</v>
      </c>
      <c r="E22" s="114">
        <v>1088</v>
      </c>
      <c r="F22" s="114">
        <v>1088</v>
      </c>
      <c r="G22" s="114">
        <v>1015</v>
      </c>
      <c r="H22" s="114">
        <v>1000</v>
      </c>
      <c r="I22" s="114">
        <v>1039</v>
      </c>
      <c r="J22" s="262">
        <v>948</v>
      </c>
      <c r="K22" s="261">
        <v>493</v>
      </c>
      <c r="L22" s="114">
        <v>489</v>
      </c>
      <c r="M22" s="114">
        <v>361</v>
      </c>
      <c r="N22" s="114">
        <v>361</v>
      </c>
      <c r="O22" s="114">
        <v>438</v>
      </c>
      <c r="P22" s="114">
        <v>335</v>
      </c>
      <c r="Q22" s="114">
        <v>316</v>
      </c>
      <c r="R22" s="262">
        <v>375</v>
      </c>
      <c r="S22" s="142"/>
      <c r="T22" s="229"/>
      <c r="W22" s="238">
        <f t="shared" si="1"/>
        <v>1.0993914807302232</v>
      </c>
      <c r="X22" s="238">
        <f t="shared" si="0"/>
        <v>1.2494887525562373</v>
      </c>
      <c r="Y22" s="238">
        <f t="shared" si="0"/>
        <v>2.0138504155124655</v>
      </c>
      <c r="Z22" s="238">
        <f t="shared" si="0"/>
        <v>2.0138504155124655</v>
      </c>
      <c r="AA22" s="238">
        <f t="shared" si="0"/>
        <v>1.317351598173516</v>
      </c>
      <c r="AB22" s="238">
        <f t="shared" si="0"/>
        <v>1.9850746268656716</v>
      </c>
      <c r="AC22" s="238">
        <f t="shared" si="0"/>
        <v>2.287974683544304</v>
      </c>
      <c r="AD22" s="238">
        <f t="shared" si="0"/>
        <v>1.528</v>
      </c>
    </row>
    <row r="23" spans="2:30" ht="12.75">
      <c r="B23" s="260">
        <v>42492</v>
      </c>
      <c r="C23" s="261">
        <v>1023</v>
      </c>
      <c r="D23" s="114">
        <v>1068</v>
      </c>
      <c r="E23" s="114">
        <v>1094</v>
      </c>
      <c r="F23" s="114">
        <v>1094</v>
      </c>
      <c r="G23" s="114">
        <v>968</v>
      </c>
      <c r="H23" s="114">
        <v>983</v>
      </c>
      <c r="I23" s="114">
        <v>1013</v>
      </c>
      <c r="J23" s="262">
        <v>1033</v>
      </c>
      <c r="K23" s="261">
        <v>483</v>
      </c>
      <c r="L23" s="114">
        <v>471</v>
      </c>
      <c r="M23" s="114">
        <v>349</v>
      </c>
      <c r="N23" s="114">
        <v>349</v>
      </c>
      <c r="O23" s="114">
        <v>433</v>
      </c>
      <c r="P23" s="114">
        <v>288</v>
      </c>
      <c r="Q23" s="114">
        <v>294</v>
      </c>
      <c r="R23" s="262">
        <v>325</v>
      </c>
      <c r="S23" s="142"/>
      <c r="T23" s="229"/>
      <c r="W23" s="238">
        <f t="shared" si="1"/>
        <v>1.1180124223602483</v>
      </c>
      <c r="X23" s="238">
        <f aca="true" t="shared" si="2" ref="X23:AD27">+IF(L23="","",((D23-L23)/L23))</f>
        <v>1.267515923566879</v>
      </c>
      <c r="Y23" s="238">
        <f t="shared" si="2"/>
        <v>2.134670487106017</v>
      </c>
      <c r="Z23" s="238">
        <f t="shared" si="2"/>
        <v>2.134670487106017</v>
      </c>
      <c r="AA23" s="238">
        <f t="shared" si="2"/>
        <v>1.2355658198614319</v>
      </c>
      <c r="AB23" s="238">
        <f t="shared" si="2"/>
        <v>2.4131944444444446</v>
      </c>
      <c r="AC23" s="238">
        <f t="shared" si="2"/>
        <v>2.445578231292517</v>
      </c>
      <c r="AD23" s="238">
        <f t="shared" si="2"/>
        <v>2.1784615384615384</v>
      </c>
    </row>
    <row r="24" spans="2:30" ht="12.75">
      <c r="B24" s="260">
        <v>42499</v>
      </c>
      <c r="C24" s="261">
        <v>1064</v>
      </c>
      <c r="D24" s="114">
        <v>1054</v>
      </c>
      <c r="E24" s="114">
        <v>1094</v>
      </c>
      <c r="F24" s="114">
        <v>1094</v>
      </c>
      <c r="G24" s="114">
        <v>971</v>
      </c>
      <c r="H24" s="114">
        <v>1029</v>
      </c>
      <c r="I24" s="114">
        <v>1059</v>
      </c>
      <c r="J24" s="262">
        <v>1031</v>
      </c>
      <c r="K24" s="261">
        <v>483</v>
      </c>
      <c r="L24" s="114">
        <v>451</v>
      </c>
      <c r="M24" s="114">
        <v>338</v>
      </c>
      <c r="N24" s="114">
        <v>338</v>
      </c>
      <c r="O24" s="114">
        <v>438</v>
      </c>
      <c r="P24" s="114">
        <v>310</v>
      </c>
      <c r="Q24" s="114">
        <v>346</v>
      </c>
      <c r="R24" s="262">
        <v>300</v>
      </c>
      <c r="S24" s="142"/>
      <c r="T24" s="229"/>
      <c r="W24" s="238">
        <f t="shared" si="1"/>
        <v>1.2028985507246377</v>
      </c>
      <c r="X24" s="238">
        <f t="shared" si="2"/>
        <v>1.3370288248337028</v>
      </c>
      <c r="Y24" s="238">
        <f t="shared" si="2"/>
        <v>2.2366863905325443</v>
      </c>
      <c r="Z24" s="238">
        <f t="shared" si="2"/>
        <v>2.2366863905325443</v>
      </c>
      <c r="AA24" s="238">
        <f t="shared" si="2"/>
        <v>1.2168949771689497</v>
      </c>
      <c r="AB24" s="238">
        <f t="shared" si="2"/>
        <v>2.3193548387096774</v>
      </c>
      <c r="AC24" s="238">
        <f t="shared" si="2"/>
        <v>2.060693641618497</v>
      </c>
      <c r="AD24" s="238">
        <f t="shared" si="2"/>
        <v>2.4366666666666665</v>
      </c>
    </row>
    <row r="25" spans="2:30" ht="12.75">
      <c r="B25" s="260">
        <v>42506</v>
      </c>
      <c r="C25" s="261">
        <v>940</v>
      </c>
      <c r="D25" s="114">
        <v>1163</v>
      </c>
      <c r="E25" s="114">
        <v>1052</v>
      </c>
      <c r="F25" s="114">
        <v>1065</v>
      </c>
      <c r="G25" s="114">
        <v>941</v>
      </c>
      <c r="H25" s="114">
        <v>909</v>
      </c>
      <c r="I25" s="114">
        <v>1005</v>
      </c>
      <c r="J25" s="262">
        <v>873</v>
      </c>
      <c r="K25" s="261">
        <v>550</v>
      </c>
      <c r="L25" s="114">
        <v>547</v>
      </c>
      <c r="M25" s="114">
        <v>390</v>
      </c>
      <c r="N25" s="114">
        <v>473</v>
      </c>
      <c r="O25" s="114">
        <v>530</v>
      </c>
      <c r="P25" s="114">
        <v>364</v>
      </c>
      <c r="Q25" s="114">
        <v>329</v>
      </c>
      <c r="R25" s="262">
        <v>350</v>
      </c>
      <c r="S25" s="142"/>
      <c r="T25" s="229"/>
      <c r="W25" s="238">
        <f t="shared" si="1"/>
        <v>0.7090909090909091</v>
      </c>
      <c r="X25" s="238">
        <f t="shared" si="2"/>
        <v>1.1261425959780622</v>
      </c>
      <c r="Y25" s="238">
        <f t="shared" si="2"/>
        <v>1.6974358974358974</v>
      </c>
      <c r="Z25" s="238">
        <f t="shared" si="2"/>
        <v>1.251585623678647</v>
      </c>
      <c r="AA25" s="238">
        <f t="shared" si="2"/>
        <v>0.7754716981132076</v>
      </c>
      <c r="AB25" s="238">
        <f t="shared" si="2"/>
        <v>1.4972527472527473</v>
      </c>
      <c r="AC25" s="238">
        <f t="shared" si="2"/>
        <v>2.054711246200608</v>
      </c>
      <c r="AD25" s="238">
        <f t="shared" si="2"/>
        <v>1.4942857142857142</v>
      </c>
    </row>
    <row r="26" spans="2:31" ht="12.75">
      <c r="B26" s="260">
        <v>42513</v>
      </c>
      <c r="C26" s="261">
        <v>988</v>
      </c>
      <c r="D26" s="114">
        <v>994</v>
      </c>
      <c r="E26" s="114">
        <v>1015</v>
      </c>
      <c r="F26" s="114">
        <v>1038</v>
      </c>
      <c r="G26" s="114">
        <v>938</v>
      </c>
      <c r="H26" s="114">
        <v>1002</v>
      </c>
      <c r="I26" s="114">
        <v>953</v>
      </c>
      <c r="J26" s="262">
        <v>961</v>
      </c>
      <c r="K26" s="261">
        <v>546</v>
      </c>
      <c r="L26" s="114">
        <v>552</v>
      </c>
      <c r="M26" s="114">
        <v>494</v>
      </c>
      <c r="N26" s="114">
        <v>514</v>
      </c>
      <c r="O26" s="114">
        <v>521</v>
      </c>
      <c r="P26" s="114">
        <v>369</v>
      </c>
      <c r="Q26" s="114">
        <v>383</v>
      </c>
      <c r="R26" s="262">
        <v>400</v>
      </c>
      <c r="S26" s="142"/>
      <c r="T26" s="229"/>
      <c r="U26" s="227"/>
      <c r="V26" s="239"/>
      <c r="W26" s="238">
        <f t="shared" si="1"/>
        <v>0.8095238095238095</v>
      </c>
      <c r="X26" s="238">
        <f t="shared" si="2"/>
        <v>0.8007246376811594</v>
      </c>
      <c r="Y26" s="238">
        <f t="shared" si="2"/>
        <v>1.0546558704453441</v>
      </c>
      <c r="Z26" s="238">
        <f t="shared" si="2"/>
        <v>1.0194552529182879</v>
      </c>
      <c r="AA26" s="238">
        <f t="shared" si="2"/>
        <v>0.800383877159309</v>
      </c>
      <c r="AB26" s="238">
        <f t="shared" si="2"/>
        <v>1.7154471544715446</v>
      </c>
      <c r="AC26" s="238">
        <f t="shared" si="2"/>
        <v>1.4882506527415145</v>
      </c>
      <c r="AD26" s="238">
        <f t="shared" si="2"/>
        <v>1.4025</v>
      </c>
      <c r="AE26" s="227"/>
    </row>
    <row r="27" spans="2:31" ht="12.75">
      <c r="B27" s="263">
        <v>42520</v>
      </c>
      <c r="C27" s="264">
        <v>1020</v>
      </c>
      <c r="D27" s="36">
        <v>1054</v>
      </c>
      <c r="E27" s="36">
        <v>1048</v>
      </c>
      <c r="F27" s="36">
        <v>1081</v>
      </c>
      <c r="G27" s="36">
        <v>956</v>
      </c>
      <c r="H27" s="36">
        <v>1001</v>
      </c>
      <c r="I27" s="36">
        <v>1174</v>
      </c>
      <c r="J27" s="265">
        <v>976</v>
      </c>
      <c r="K27" s="264">
        <v>638</v>
      </c>
      <c r="L27" s="36">
        <v>558</v>
      </c>
      <c r="M27" s="36">
        <v>513</v>
      </c>
      <c r="N27" s="36">
        <v>530</v>
      </c>
      <c r="O27" s="36">
        <v>538</v>
      </c>
      <c r="P27" s="36">
        <v>364</v>
      </c>
      <c r="Q27" s="36">
        <v>375</v>
      </c>
      <c r="R27" s="265">
        <v>400</v>
      </c>
      <c r="S27" s="142"/>
      <c r="T27" s="266"/>
      <c r="U27" s="227"/>
      <c r="V27" s="239"/>
      <c r="W27" s="238">
        <f t="shared" si="1"/>
        <v>0.5987460815047022</v>
      </c>
      <c r="X27" s="238">
        <f t="shared" si="2"/>
        <v>0.8888888888888888</v>
      </c>
      <c r="Y27" s="238">
        <f t="shared" si="2"/>
        <v>1.0428849902534114</v>
      </c>
      <c r="Z27" s="238">
        <f t="shared" si="2"/>
        <v>1.039622641509434</v>
      </c>
      <c r="AA27" s="238">
        <f t="shared" si="2"/>
        <v>0.7769516728624535</v>
      </c>
      <c r="AB27" s="238">
        <f t="shared" si="2"/>
        <v>1.75</v>
      </c>
      <c r="AC27" s="238">
        <f t="shared" si="2"/>
        <v>2.1306666666666665</v>
      </c>
      <c r="AD27" s="238">
        <f t="shared" si="2"/>
        <v>1.44</v>
      </c>
      <c r="AE27" s="227"/>
    </row>
    <row r="28" spans="2:31" ht="12.75">
      <c r="B28" s="39" t="s">
        <v>225</v>
      </c>
      <c r="P28" s="48"/>
      <c r="Q28" s="48"/>
      <c r="T28" s="266"/>
      <c r="U28" s="227"/>
      <c r="AE28" s="227"/>
    </row>
    <row r="29" spans="20:31" ht="12.75">
      <c r="T29" s="229"/>
      <c r="V29" s="267" t="s">
        <v>197</v>
      </c>
      <c r="W29" s="242">
        <f aca="true" t="shared" si="3" ref="W29:AD29">+_xlfn.STDEV.S(W7:W27)</f>
        <v>0.3035774087299857</v>
      </c>
      <c r="X29" s="242">
        <f t="shared" si="3"/>
        <v>0.30849787214479085</v>
      </c>
      <c r="Y29" s="242">
        <f t="shared" si="3"/>
        <v>0.6057740864023572</v>
      </c>
      <c r="Z29" s="242">
        <f t="shared" si="3"/>
        <v>0.3708294025946533</v>
      </c>
      <c r="AA29" s="242">
        <f t="shared" si="3"/>
        <v>0.4982427026812839</v>
      </c>
      <c r="AB29" s="242">
        <f t="shared" si="3"/>
        <v>0.3866648179730809</v>
      </c>
      <c r="AC29" s="242">
        <f t="shared" si="3"/>
        <v>0.3745168958178362</v>
      </c>
      <c r="AD29" s="242">
        <f t="shared" si="3"/>
        <v>0.43698839375725024</v>
      </c>
      <c r="AE29" s="227"/>
    </row>
    <row r="30" spans="20:31" ht="12.75">
      <c r="T30" s="229"/>
      <c r="V30" s="268" t="s">
        <v>198</v>
      </c>
      <c r="W30" s="242">
        <f aca="true" t="shared" si="4" ref="W30:AD30">+AVERAGE(W7:W27)</f>
        <v>1.069037759311838</v>
      </c>
      <c r="X30" s="242">
        <f t="shared" si="4"/>
        <v>1.4723946742524257</v>
      </c>
      <c r="Y30" s="242">
        <f t="shared" si="4"/>
        <v>2.1705836974098944</v>
      </c>
      <c r="Z30" s="242">
        <f t="shared" si="4"/>
        <v>1.7962312255034398</v>
      </c>
      <c r="AA30" s="242">
        <f t="shared" si="4"/>
        <v>1.5811883920076417</v>
      </c>
      <c r="AB30" s="242">
        <f t="shared" si="4"/>
        <v>2.179266230217143</v>
      </c>
      <c r="AC30" s="242">
        <f t="shared" si="4"/>
        <v>2.2753675149218706</v>
      </c>
      <c r="AD30" s="242">
        <f t="shared" si="4"/>
        <v>2.0120039006334065</v>
      </c>
      <c r="AE30" s="227"/>
    </row>
    <row r="31" ht="12.75">
      <c r="T31" s="229"/>
    </row>
    <row r="32" spans="20:30" ht="12.75">
      <c r="T32" s="229"/>
      <c r="V32" s="268" t="s">
        <v>212</v>
      </c>
      <c r="W32" s="243">
        <f aca="true" t="shared" si="5" ref="W32:AD32">+AVERAGE(C7:C27)/AVERAGE(K7:K27)-1</f>
        <v>1.067610619469027</v>
      </c>
      <c r="X32" s="243">
        <f t="shared" si="5"/>
        <v>1.4657419474958107</v>
      </c>
      <c r="Y32" s="243">
        <f t="shared" si="5"/>
        <v>2.1149527940801227</v>
      </c>
      <c r="Z32" s="243">
        <f t="shared" si="5"/>
        <v>1.771700620017715</v>
      </c>
      <c r="AA32" s="243">
        <f t="shared" si="5"/>
        <v>1.5558249868212966</v>
      </c>
      <c r="AB32" s="243">
        <f t="shared" si="5"/>
        <v>2.1686362401521326</v>
      </c>
      <c r="AC32" s="243">
        <f t="shared" si="5"/>
        <v>2.2657574152542375</v>
      </c>
      <c r="AD32" s="243">
        <f t="shared" si="5"/>
        <v>2.02924878267344</v>
      </c>
    </row>
    <row r="33" ht="12.75">
      <c r="T33" s="229"/>
    </row>
    <row r="34" spans="20:30" ht="12.75">
      <c r="T34" s="229"/>
      <c r="V34" s="268" t="s">
        <v>222</v>
      </c>
      <c r="W34" s="239">
        <f>+AVERAGE(C7:C27)</f>
        <v>1112.5714285714287</v>
      </c>
      <c r="X34" s="239">
        <f aca="true" t="shared" si="6" ref="X34:AD34">+AVERAGE(D7:D27)</f>
        <v>1261.2857142857142</v>
      </c>
      <c r="Y34" s="239">
        <f t="shared" si="6"/>
        <v>1162.6190476190477</v>
      </c>
      <c r="Z34" s="239">
        <f t="shared" si="6"/>
        <v>1192.095238095238</v>
      </c>
      <c r="AA34" s="239">
        <f t="shared" si="6"/>
        <v>1154.3809523809523</v>
      </c>
      <c r="AB34" s="239">
        <f t="shared" si="6"/>
        <v>1110.8333333333333</v>
      </c>
      <c r="AC34" s="239">
        <f t="shared" si="6"/>
        <v>1174.4285714285713</v>
      </c>
      <c r="AD34" s="239">
        <f t="shared" si="6"/>
        <v>1094.6190476190477</v>
      </c>
    </row>
    <row r="35" spans="20:30" ht="12.75">
      <c r="T35" s="229"/>
      <c r="V35" s="268" t="s">
        <v>223</v>
      </c>
      <c r="W35" s="239">
        <f>+AVERAGE(K7:K27)</f>
        <v>538.0952380952381</v>
      </c>
      <c r="X35" s="239">
        <f aca="true" t="shared" si="7" ref="X35:AD35">+AVERAGE(L7:L27)</f>
        <v>511.5238095238095</v>
      </c>
      <c r="Y35" s="239">
        <f t="shared" si="7"/>
        <v>373.23809523809524</v>
      </c>
      <c r="Z35" s="239">
        <f t="shared" si="7"/>
        <v>430.0952380952381</v>
      </c>
      <c r="AA35" s="239">
        <f t="shared" si="7"/>
        <v>451.6666666666667</v>
      </c>
      <c r="AB35" s="239">
        <f t="shared" si="7"/>
        <v>350.57142857142856</v>
      </c>
      <c r="AC35" s="239">
        <f t="shared" si="7"/>
        <v>359.6190476190476</v>
      </c>
      <c r="AD35" s="239">
        <f t="shared" si="7"/>
        <v>361.35</v>
      </c>
    </row>
    <row r="36" ht="12.75">
      <c r="T36" s="229"/>
    </row>
    <row r="37" ht="12.75">
      <c r="T37" s="229"/>
    </row>
    <row r="48" ht="12.75">
      <c r="C48" s="39" t="s">
        <v>225</v>
      </c>
    </row>
  </sheetData>
  <sheetProtection/>
  <mergeCells count="5">
    <mergeCell ref="B2:R2"/>
    <mergeCell ref="B3:R3"/>
    <mergeCell ref="B4:R4"/>
    <mergeCell ref="C5:J5"/>
    <mergeCell ref="K5:R5"/>
  </mergeCells>
  <conditionalFormatting sqref="W34:AD34">
    <cfRule type="colorScale" priority="3" dxfId="0">
      <colorScale>
        <cfvo type="min" val="0"/>
        <cfvo type="percentile" val="50"/>
        <cfvo type="max"/>
        <color rgb="FFF8696B"/>
        <color rgb="FFFFEB84"/>
        <color rgb="FF63BE7B"/>
      </colorScale>
    </cfRule>
  </conditionalFormatting>
  <conditionalFormatting sqref="W35:AD35">
    <cfRule type="colorScale" priority="2" dxfId="0">
      <colorScale>
        <cfvo type="min" val="0"/>
        <cfvo type="percentile" val="50"/>
        <cfvo type="max"/>
        <color rgb="FFF8696B"/>
        <color rgb="FFFFEB84"/>
        <color rgb="FF63BE7B"/>
      </colorScale>
    </cfRule>
  </conditionalFormatting>
  <conditionalFormatting sqref="W32:AD32">
    <cfRule type="colorScale" priority="1" dxfId="0">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48"/>
  <sheetViews>
    <sheetView zoomScale="80" zoomScaleNormal="80" zoomScaleSheetLayoutView="80" zoomScalePageLayoutView="60" workbookViewId="0" topLeftCell="A1">
      <selection activeCell="I35" sqref="I35"/>
    </sheetView>
  </sheetViews>
  <sheetFormatPr defaultColWidth="14.421875" defaultRowHeight="15"/>
  <cols>
    <col min="1" max="1" width="1.421875" style="22" customWidth="1"/>
    <col min="2" max="2" width="14.421875" style="22" customWidth="1"/>
    <col min="3" max="3" width="14.00390625" style="22" customWidth="1"/>
    <col min="4" max="4" width="13.421875" style="22" customWidth="1"/>
    <col min="5" max="5" width="14.421875" style="22" customWidth="1"/>
    <col min="6" max="6" width="18.28125" style="22" customWidth="1"/>
    <col min="7" max="8" width="14.421875" style="22" customWidth="1"/>
    <col min="9" max="9" width="10.421875" style="200" customWidth="1"/>
    <col min="10" max="10" width="7.28125" style="191" hidden="1" customWidth="1"/>
    <col min="11" max="12" width="8.421875" style="191" hidden="1" customWidth="1"/>
    <col min="13" max="13" width="14.421875" style="200" customWidth="1"/>
    <col min="14" max="16384" width="14.421875" style="22" customWidth="1"/>
  </cols>
  <sheetData>
    <row r="1" ht="6" customHeight="1"/>
    <row r="2" spans="1:9" ht="12.75">
      <c r="A2" s="2"/>
      <c r="C2" s="336" t="s">
        <v>15</v>
      </c>
      <c r="D2" s="336"/>
      <c r="E2" s="336"/>
      <c r="F2" s="336"/>
      <c r="H2" s="52" t="s">
        <v>158</v>
      </c>
      <c r="I2" s="199"/>
    </row>
    <row r="3" spans="1:6" ht="12.75">
      <c r="A3" s="2"/>
      <c r="C3" s="336" t="s">
        <v>124</v>
      </c>
      <c r="D3" s="336"/>
      <c r="E3" s="336"/>
      <c r="F3" s="336"/>
    </row>
    <row r="4" spans="1:6" ht="12.75">
      <c r="A4" s="2"/>
      <c r="C4" s="27"/>
      <c r="D4" s="27"/>
      <c r="E4" s="27"/>
      <c r="F4" s="27"/>
    </row>
    <row r="5" spans="1:6" ht="12.75" customHeight="1">
      <c r="A5" s="2"/>
      <c r="C5" s="337" t="s">
        <v>13</v>
      </c>
      <c r="D5" s="339" t="s">
        <v>160</v>
      </c>
      <c r="E5" s="339" t="s">
        <v>161</v>
      </c>
      <c r="F5" s="339" t="s">
        <v>162</v>
      </c>
    </row>
    <row r="6" spans="1:6" ht="12.75">
      <c r="A6" s="2"/>
      <c r="C6" s="338"/>
      <c r="D6" s="340"/>
      <c r="E6" s="340"/>
      <c r="F6" s="340"/>
    </row>
    <row r="7" spans="1:9" ht="12.75">
      <c r="A7" s="2"/>
      <c r="C7" s="27" t="s">
        <v>12</v>
      </c>
      <c r="D7" s="100">
        <v>63110</v>
      </c>
      <c r="E7" s="100">
        <v>1210044.3</v>
      </c>
      <c r="F7" s="106">
        <v>19.173574710822372</v>
      </c>
      <c r="H7" s="161"/>
      <c r="I7" s="198"/>
    </row>
    <row r="8" spans="1:12" ht="12.75">
      <c r="A8" s="2"/>
      <c r="C8" s="27" t="s">
        <v>11</v>
      </c>
      <c r="D8" s="100">
        <v>61360</v>
      </c>
      <c r="E8" s="100">
        <v>1303267.5</v>
      </c>
      <c r="F8" s="106">
        <v>21.239691981747065</v>
      </c>
      <c r="J8" s="245">
        <f aca="true" t="shared" si="0" ref="J8:J22">+(D8-D7)/D7</f>
        <v>-0.027729361432419584</v>
      </c>
      <c r="K8" s="245">
        <f aca="true" t="shared" si="1" ref="K8:L22">+(E8-E7)/E7</f>
        <v>0.07704114634480734</v>
      </c>
      <c r="L8" s="245">
        <f t="shared" si="1"/>
        <v>0.10775858451468047</v>
      </c>
    </row>
    <row r="9" spans="1:12" ht="12.75">
      <c r="A9" s="2"/>
      <c r="C9" s="27" t="s">
        <v>10</v>
      </c>
      <c r="D9" s="100">
        <v>56000</v>
      </c>
      <c r="E9" s="100">
        <v>1093728.4</v>
      </c>
      <c r="F9" s="106">
        <v>19.530864285714287</v>
      </c>
      <c r="J9" s="245">
        <f t="shared" si="0"/>
        <v>-0.08735332464146023</v>
      </c>
      <c r="K9" s="245">
        <f t="shared" si="1"/>
        <v>-0.16077980921031185</v>
      </c>
      <c r="L9" s="245">
        <f t="shared" si="1"/>
        <v>-0.08045444809187004</v>
      </c>
    </row>
    <row r="10" spans="1:12" ht="12.75">
      <c r="A10" s="2"/>
      <c r="C10" s="27" t="s">
        <v>9</v>
      </c>
      <c r="D10" s="100">
        <v>59560</v>
      </c>
      <c r="E10" s="100">
        <v>1144170</v>
      </c>
      <c r="F10" s="106">
        <v>19.210376091336467</v>
      </c>
      <c r="J10" s="245">
        <f t="shared" si="0"/>
        <v>0.06357142857142857</v>
      </c>
      <c r="K10" s="245">
        <f t="shared" si="1"/>
        <v>0.04611894506899528</v>
      </c>
      <c r="L10" s="245">
        <f t="shared" si="1"/>
        <v>-0.016409319612764834</v>
      </c>
    </row>
    <row r="11" spans="1:12" ht="12.75">
      <c r="A11" s="2"/>
      <c r="C11" s="27" t="s">
        <v>8</v>
      </c>
      <c r="D11" s="100">
        <v>55620</v>
      </c>
      <c r="E11" s="100">
        <v>1115735.7</v>
      </c>
      <c r="F11" s="106">
        <v>20.059973031283707</v>
      </c>
      <c r="G11" s="61"/>
      <c r="J11" s="245">
        <f t="shared" si="0"/>
        <v>-0.0661517797179315</v>
      </c>
      <c r="K11" s="245">
        <f t="shared" si="1"/>
        <v>-0.02485146438029318</v>
      </c>
      <c r="L11" s="245">
        <f t="shared" si="1"/>
        <v>0.04422593997680206</v>
      </c>
    </row>
    <row r="12" spans="1:12" ht="12.75">
      <c r="A12" s="2"/>
      <c r="C12" s="27" t="s">
        <v>7</v>
      </c>
      <c r="D12" s="100">
        <v>63200</v>
      </c>
      <c r="E12" s="100">
        <v>1391378.2</v>
      </c>
      <c r="F12" s="106">
        <v>22.015477848101266</v>
      </c>
      <c r="J12" s="245">
        <f t="shared" si="0"/>
        <v>0.1362819129809421</v>
      </c>
      <c r="K12" s="245">
        <f t="shared" si="1"/>
        <v>0.2470499958009769</v>
      </c>
      <c r="L12" s="245">
        <f t="shared" si="1"/>
        <v>0.09748292351978398</v>
      </c>
    </row>
    <row r="13" spans="1:12" ht="12.75">
      <c r="A13" s="2"/>
      <c r="C13" s="27" t="s">
        <v>6</v>
      </c>
      <c r="D13" s="100">
        <v>54145</v>
      </c>
      <c r="E13" s="100">
        <v>834859.9</v>
      </c>
      <c r="F13" s="106">
        <v>15.41896574014221</v>
      </c>
      <c r="J13" s="245">
        <f t="shared" si="0"/>
        <v>-0.1432753164556962</v>
      </c>
      <c r="K13" s="245">
        <f t="shared" si="1"/>
        <v>-0.39997629688319103</v>
      </c>
      <c r="L13" s="245">
        <f t="shared" si="1"/>
        <v>-0.29963065773418923</v>
      </c>
    </row>
    <row r="14" spans="1:12" ht="12.75">
      <c r="A14" s="2"/>
      <c r="C14" s="27" t="s">
        <v>5</v>
      </c>
      <c r="D14" s="100">
        <v>55976</v>
      </c>
      <c r="E14" s="100">
        <v>965939.5</v>
      </c>
      <c r="F14" s="106">
        <v>17.25631520651708</v>
      </c>
      <c r="J14" s="245">
        <f t="shared" si="0"/>
        <v>0.03381660356450272</v>
      </c>
      <c r="K14" s="245">
        <f t="shared" si="1"/>
        <v>0.1570079003674748</v>
      </c>
      <c r="L14" s="245">
        <f t="shared" si="1"/>
        <v>0.11916165437682093</v>
      </c>
    </row>
    <row r="15" spans="1:12" ht="12.75">
      <c r="A15" s="2"/>
      <c r="C15" s="27" t="s">
        <v>4</v>
      </c>
      <c r="D15" s="100">
        <v>45078</v>
      </c>
      <c r="E15" s="100">
        <v>924548.1</v>
      </c>
      <c r="F15" s="106">
        <v>20.50996273126581</v>
      </c>
      <c r="J15" s="245">
        <f t="shared" si="0"/>
        <v>-0.19469058167786193</v>
      </c>
      <c r="K15" s="245">
        <f t="shared" si="1"/>
        <v>-0.04285092389326663</v>
      </c>
      <c r="L15" s="245">
        <f t="shared" si="1"/>
        <v>0.18854822051001624</v>
      </c>
    </row>
    <row r="16" spans="1:12" ht="12.75">
      <c r="A16" s="2"/>
      <c r="C16" s="27" t="s">
        <v>3</v>
      </c>
      <c r="D16" s="100">
        <v>50771</v>
      </c>
      <c r="E16" s="100">
        <v>1081349.2</v>
      </c>
      <c r="F16" s="106">
        <v>21.3</v>
      </c>
      <c r="J16" s="245">
        <f t="shared" si="0"/>
        <v>0.12629220462309773</v>
      </c>
      <c r="K16" s="245">
        <f t="shared" si="1"/>
        <v>0.1695975579853552</v>
      </c>
      <c r="L16" s="245">
        <f t="shared" si="1"/>
        <v>0.03851968329176157</v>
      </c>
    </row>
    <row r="17" spans="1:12" ht="12.75">
      <c r="A17" s="2"/>
      <c r="C17" s="27" t="s">
        <v>2</v>
      </c>
      <c r="D17" s="100">
        <v>53653</v>
      </c>
      <c r="E17" s="100">
        <v>1676444</v>
      </c>
      <c r="F17" s="106">
        <v>31.25</v>
      </c>
      <c r="J17" s="245">
        <f t="shared" si="0"/>
        <v>0.05676468850327943</v>
      </c>
      <c r="K17" s="245">
        <f t="shared" si="1"/>
        <v>0.5503262035982457</v>
      </c>
      <c r="L17" s="245">
        <f t="shared" si="1"/>
        <v>0.46713615023474175</v>
      </c>
    </row>
    <row r="18" spans="1:12" ht="12.75">
      <c r="A18" s="2"/>
      <c r="C18" s="27" t="s">
        <v>123</v>
      </c>
      <c r="D18" s="100">
        <v>41534</v>
      </c>
      <c r="E18" s="100">
        <v>1093452</v>
      </c>
      <c r="F18" s="106">
        <v>26.33</v>
      </c>
      <c r="G18" s="59"/>
      <c r="J18" s="245">
        <f t="shared" si="0"/>
        <v>-0.22587739734963563</v>
      </c>
      <c r="K18" s="245">
        <f t="shared" si="1"/>
        <v>-0.3477551293094192</v>
      </c>
      <c r="L18" s="245">
        <f t="shared" si="1"/>
        <v>-0.15744000000000005</v>
      </c>
    </row>
    <row r="19" spans="1:12" ht="12.75">
      <c r="A19" s="2"/>
      <c r="C19" s="27" t="s">
        <v>132</v>
      </c>
      <c r="D19" s="100">
        <v>49576</v>
      </c>
      <c r="E19" s="100">
        <v>1159022.1</v>
      </c>
      <c r="F19" s="106">
        <v>23.3786933193481</v>
      </c>
      <c r="G19" s="59"/>
      <c r="J19" s="245">
        <f t="shared" si="0"/>
        <v>0.19362450040930324</v>
      </c>
      <c r="K19" s="245">
        <f t="shared" si="1"/>
        <v>0.059966143918526</v>
      </c>
      <c r="L19" s="245">
        <f t="shared" si="1"/>
        <v>-0.1120891257368743</v>
      </c>
    </row>
    <row r="20" spans="1:12" ht="12.75" customHeight="1">
      <c r="A20" s="2"/>
      <c r="C20" s="27" t="s">
        <v>152</v>
      </c>
      <c r="D20" s="100">
        <v>48965</v>
      </c>
      <c r="E20" s="100">
        <f>+D20*F20</f>
        <v>1061324.9400000002</v>
      </c>
      <c r="F20" s="106">
        <v>21.675174920861842</v>
      </c>
      <c r="G20" s="109"/>
      <c r="J20" s="245">
        <f t="shared" si="0"/>
        <v>-0.0123245118605777</v>
      </c>
      <c r="K20" s="245">
        <f t="shared" si="1"/>
        <v>-0.0842927498966585</v>
      </c>
      <c r="L20" s="245">
        <f t="shared" si="1"/>
        <v>-0.07286627936029394</v>
      </c>
    </row>
    <row r="21" spans="1:12" ht="12.75">
      <c r="A21" s="2"/>
      <c r="C21" s="27" t="s">
        <v>186</v>
      </c>
      <c r="D21" s="100">
        <v>50526.3379674093</v>
      </c>
      <c r="E21" s="100">
        <v>960502</v>
      </c>
      <c r="F21" s="106">
        <v>19.01</v>
      </c>
      <c r="G21" s="182"/>
      <c r="I21" s="222"/>
      <c r="J21" s="245">
        <f t="shared" si="0"/>
        <v>0.03188681644867357</v>
      </c>
      <c r="K21" s="245">
        <f t="shared" si="1"/>
        <v>-0.09499723995932872</v>
      </c>
      <c r="L21" s="245">
        <f t="shared" si="1"/>
        <v>-0.12295978835661772</v>
      </c>
    </row>
    <row r="22" spans="1:12" ht="12.75" customHeight="1">
      <c r="A22" s="2"/>
      <c r="C22" s="27" t="s">
        <v>192</v>
      </c>
      <c r="D22" s="100">
        <v>53485</v>
      </c>
      <c r="E22" s="100">
        <f>+D22*F22</f>
        <v>1142151.9976092097</v>
      </c>
      <c r="F22" s="106">
        <f>+AVERAGE(F19:F21)</f>
        <v>21.35462274673665</v>
      </c>
      <c r="G22" s="186"/>
      <c r="J22" s="245">
        <f t="shared" si="0"/>
        <v>0.058556827025522944</v>
      </c>
      <c r="K22" s="245">
        <f t="shared" si="1"/>
        <v>0.1891198535861557</v>
      </c>
      <c r="L22" s="245">
        <f t="shared" si="1"/>
        <v>0.1233362833633165</v>
      </c>
    </row>
    <row r="23" spans="1:7" ht="12.75">
      <c r="A23" s="2"/>
      <c r="B23" s="186"/>
      <c r="C23" s="194" t="s">
        <v>136</v>
      </c>
      <c r="D23" s="193"/>
      <c r="E23" s="193"/>
      <c r="F23" s="193"/>
      <c r="G23" s="186"/>
    </row>
    <row r="24" spans="1:8" ht="12.75">
      <c r="A24" s="2"/>
      <c r="C24" s="335" t="s">
        <v>219</v>
      </c>
      <c r="D24" s="335"/>
      <c r="E24" s="335"/>
      <c r="F24" s="335"/>
      <c r="G24" s="335"/>
      <c r="H24" s="335"/>
    </row>
    <row r="25" ht="12.75">
      <c r="G25" s="60"/>
    </row>
    <row r="31" ht="15">
      <c r="K31" s="246"/>
    </row>
    <row r="43" spans="8:9" ht="12.75">
      <c r="H43" s="60"/>
      <c r="I43" s="202"/>
    </row>
    <row r="48" ht="12.75">
      <c r="B48" s="28" t="s">
        <v>136</v>
      </c>
    </row>
  </sheetData>
  <sheetProtection/>
  <mergeCells count="7">
    <mergeCell ref="C24:H24"/>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AB52"/>
  <sheetViews>
    <sheetView zoomScale="80" zoomScaleNormal="80" zoomScalePageLayoutView="90" workbookViewId="0" topLeftCell="A1">
      <selection activeCell="A1" sqref="A1"/>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6384" width="15.8515625" style="22" customWidth="1"/>
  </cols>
  <sheetData>
    <row r="1" ht="6" customHeight="1"/>
    <row r="2" spans="2:14" ht="12.75">
      <c r="B2" s="323" t="s">
        <v>108</v>
      </c>
      <c r="C2" s="323"/>
      <c r="D2" s="323"/>
      <c r="E2" s="323"/>
      <c r="F2" s="323"/>
      <c r="G2" s="323"/>
      <c r="H2" s="323"/>
      <c r="I2" s="323"/>
      <c r="J2" s="323"/>
      <c r="K2" s="323"/>
      <c r="L2" s="323"/>
      <c r="M2" s="122"/>
      <c r="N2" s="52" t="s">
        <v>158</v>
      </c>
    </row>
    <row r="3" spans="2:13" ht="12.75" customHeight="1">
      <c r="B3" s="323" t="s">
        <v>50</v>
      </c>
      <c r="C3" s="323"/>
      <c r="D3" s="323"/>
      <c r="E3" s="323"/>
      <c r="F3" s="323"/>
      <c r="G3" s="323"/>
      <c r="H3" s="323"/>
      <c r="I3" s="323"/>
      <c r="J3" s="323"/>
      <c r="K3" s="323"/>
      <c r="L3" s="323"/>
      <c r="M3" s="122"/>
    </row>
    <row r="4" spans="2:13" ht="12.75">
      <c r="B4" s="323" t="s">
        <v>28</v>
      </c>
      <c r="C4" s="323"/>
      <c r="D4" s="323"/>
      <c r="E4" s="323"/>
      <c r="F4" s="323"/>
      <c r="G4" s="323"/>
      <c r="H4" s="323"/>
      <c r="I4" s="323"/>
      <c r="J4" s="323"/>
      <c r="K4" s="323"/>
      <c r="L4" s="323"/>
      <c r="M4" s="122"/>
    </row>
    <row r="5" spans="2:11" ht="12.75">
      <c r="B5" s="2"/>
      <c r="C5" s="2"/>
      <c r="D5" s="2"/>
      <c r="E5" s="2"/>
      <c r="F5" s="2"/>
      <c r="G5" s="2"/>
      <c r="H5" s="2"/>
      <c r="I5" s="2"/>
      <c r="J5" s="57"/>
      <c r="K5" s="2"/>
    </row>
    <row r="6" spans="2:13" ht="12.75">
      <c r="B6" s="341" t="s">
        <v>13</v>
      </c>
      <c r="C6" s="79" t="s">
        <v>25</v>
      </c>
      <c r="D6" s="79" t="s">
        <v>25</v>
      </c>
      <c r="E6" s="79" t="s">
        <v>27</v>
      </c>
      <c r="F6" s="79" t="s">
        <v>25</v>
      </c>
      <c r="G6" s="79" t="s">
        <v>26</v>
      </c>
      <c r="H6" s="79" t="s">
        <v>26</v>
      </c>
      <c r="I6" s="79" t="s">
        <v>25</v>
      </c>
      <c r="J6" s="79" t="s">
        <v>25</v>
      </c>
      <c r="K6" s="79" t="s">
        <v>25</v>
      </c>
      <c r="L6" s="79" t="s">
        <v>164</v>
      </c>
      <c r="M6" s="143"/>
    </row>
    <row r="7" spans="2:13" ht="12.75">
      <c r="B7" s="342"/>
      <c r="C7" s="80" t="s">
        <v>24</v>
      </c>
      <c r="D7" s="80" t="s">
        <v>23</v>
      </c>
      <c r="E7" s="80" t="s">
        <v>22</v>
      </c>
      <c r="F7" s="80" t="s">
        <v>21</v>
      </c>
      <c r="G7" s="80" t="s">
        <v>20</v>
      </c>
      <c r="H7" s="80" t="s">
        <v>19</v>
      </c>
      <c r="I7" s="80" t="s">
        <v>18</v>
      </c>
      <c r="J7" s="80" t="s">
        <v>17</v>
      </c>
      <c r="K7" s="80" t="s">
        <v>16</v>
      </c>
      <c r="L7" s="80" t="s">
        <v>165</v>
      </c>
      <c r="M7" s="143"/>
    </row>
    <row r="8" spans="2:15" ht="12.75">
      <c r="B8" s="82" t="s">
        <v>11</v>
      </c>
      <c r="C8" s="81">
        <v>5960</v>
      </c>
      <c r="D8" s="81">
        <v>1480</v>
      </c>
      <c r="E8" s="81">
        <v>4280</v>
      </c>
      <c r="F8" s="81">
        <v>2960</v>
      </c>
      <c r="G8" s="81">
        <v>4170</v>
      </c>
      <c r="H8" s="81">
        <v>5240</v>
      </c>
      <c r="I8" s="81">
        <v>18030</v>
      </c>
      <c r="J8" s="82"/>
      <c r="K8" s="81">
        <v>17930</v>
      </c>
      <c r="L8" s="81"/>
      <c r="M8" s="81"/>
      <c r="N8" s="58"/>
      <c r="O8" s="58"/>
    </row>
    <row r="9" spans="2:15" ht="12.75">
      <c r="B9" s="82" t="s">
        <v>10</v>
      </c>
      <c r="C9" s="81">
        <v>5420</v>
      </c>
      <c r="D9" s="81">
        <v>1190</v>
      </c>
      <c r="E9" s="81">
        <v>4090</v>
      </c>
      <c r="F9" s="81">
        <v>3140</v>
      </c>
      <c r="G9" s="81">
        <v>3850</v>
      </c>
      <c r="H9" s="81">
        <v>5690</v>
      </c>
      <c r="I9" s="81">
        <v>15000</v>
      </c>
      <c r="J9" s="82"/>
      <c r="K9" s="81">
        <v>16310</v>
      </c>
      <c r="L9" s="81"/>
      <c r="M9" s="81"/>
      <c r="N9" s="58"/>
      <c r="O9" s="58"/>
    </row>
    <row r="10" spans="2:15" ht="12.75">
      <c r="B10" s="82" t="s">
        <v>9</v>
      </c>
      <c r="C10" s="81">
        <v>5400</v>
      </c>
      <c r="D10" s="81">
        <v>1200</v>
      </c>
      <c r="E10" s="81">
        <v>4000</v>
      </c>
      <c r="F10" s="81">
        <v>3450</v>
      </c>
      <c r="G10" s="81">
        <v>3800</v>
      </c>
      <c r="H10" s="81">
        <v>6400</v>
      </c>
      <c r="I10" s="81">
        <v>16800</v>
      </c>
      <c r="J10" s="82"/>
      <c r="K10" s="81">
        <v>17200</v>
      </c>
      <c r="L10" s="81"/>
      <c r="M10" s="81"/>
      <c r="N10" s="58"/>
      <c r="O10" s="58"/>
    </row>
    <row r="11" spans="2:15" ht="12.75">
      <c r="B11" s="82" t="s">
        <v>8</v>
      </c>
      <c r="C11" s="81">
        <v>4960</v>
      </c>
      <c r="D11" s="81">
        <v>1550</v>
      </c>
      <c r="E11" s="81">
        <v>3260</v>
      </c>
      <c r="F11" s="81">
        <v>2820</v>
      </c>
      <c r="G11" s="81">
        <v>2800</v>
      </c>
      <c r="H11" s="81">
        <v>6290</v>
      </c>
      <c r="I11" s="81">
        <v>15620</v>
      </c>
      <c r="J11" s="82"/>
      <c r="K11" s="81">
        <v>17010</v>
      </c>
      <c r="L11" s="81"/>
      <c r="M11" s="81"/>
      <c r="N11" s="58"/>
      <c r="O11" s="58"/>
    </row>
    <row r="12" spans="2:15" ht="12.75">
      <c r="B12" s="82" t="s">
        <v>7</v>
      </c>
      <c r="C12" s="81">
        <v>5590</v>
      </c>
      <c r="D12" s="81">
        <v>1870</v>
      </c>
      <c r="E12" s="81">
        <v>4000</v>
      </c>
      <c r="F12" s="81">
        <v>3410</v>
      </c>
      <c r="G12" s="81">
        <v>3740</v>
      </c>
      <c r="H12" s="81">
        <v>6600</v>
      </c>
      <c r="I12" s="81">
        <v>17980</v>
      </c>
      <c r="J12" s="82"/>
      <c r="K12" s="81">
        <v>18700</v>
      </c>
      <c r="L12" s="81"/>
      <c r="M12" s="81"/>
      <c r="N12" s="58"/>
      <c r="O12" s="58"/>
    </row>
    <row r="13" spans="2:15" ht="12.75">
      <c r="B13" s="82" t="s">
        <v>6</v>
      </c>
      <c r="C13" s="83">
        <v>3236.8</v>
      </c>
      <c r="D13" s="83">
        <v>2184.18</v>
      </c>
      <c r="E13" s="83">
        <v>5236.7</v>
      </c>
      <c r="F13" s="83">
        <v>1711.1</v>
      </c>
      <c r="G13" s="83">
        <v>3368.74</v>
      </c>
      <c r="H13" s="83">
        <v>8440.58</v>
      </c>
      <c r="I13" s="83">
        <v>14058.9</v>
      </c>
      <c r="J13" s="83">
        <v>3971.3</v>
      </c>
      <c r="K13" s="83">
        <v>11228.6</v>
      </c>
      <c r="L13" s="83"/>
      <c r="M13" s="83"/>
      <c r="N13" s="58"/>
      <c r="O13" s="58"/>
    </row>
    <row r="14" spans="2:24" ht="12.75">
      <c r="B14" s="82" t="s">
        <v>5</v>
      </c>
      <c r="C14" s="81">
        <v>3520</v>
      </c>
      <c r="D14" s="81">
        <v>2040</v>
      </c>
      <c r="E14" s="81">
        <v>5610</v>
      </c>
      <c r="F14" s="81">
        <v>1570</v>
      </c>
      <c r="G14" s="81">
        <v>3430</v>
      </c>
      <c r="H14" s="81">
        <v>8100</v>
      </c>
      <c r="I14" s="81">
        <v>14800</v>
      </c>
      <c r="J14" s="81">
        <v>4240</v>
      </c>
      <c r="K14" s="81">
        <v>11960</v>
      </c>
      <c r="L14" s="81"/>
      <c r="M14" s="81"/>
      <c r="N14" s="58"/>
      <c r="O14" s="58"/>
      <c r="P14" s="58"/>
      <c r="Q14" s="58"/>
      <c r="R14" s="58"/>
      <c r="S14" s="58"/>
      <c r="T14" s="58"/>
      <c r="U14" s="58"/>
      <c r="V14" s="58"/>
      <c r="W14" s="58"/>
      <c r="X14" s="58"/>
    </row>
    <row r="15" spans="2:24" ht="12.75">
      <c r="B15" s="82" t="s">
        <v>4</v>
      </c>
      <c r="C15" s="81">
        <v>2996</v>
      </c>
      <c r="D15" s="81">
        <v>606</v>
      </c>
      <c r="E15" s="81">
        <v>2760</v>
      </c>
      <c r="F15" s="81">
        <v>259</v>
      </c>
      <c r="G15" s="81">
        <v>2183</v>
      </c>
      <c r="H15" s="81">
        <v>7025</v>
      </c>
      <c r="I15" s="81">
        <v>13473</v>
      </c>
      <c r="J15" s="81">
        <v>4567</v>
      </c>
      <c r="K15" s="81">
        <v>10522</v>
      </c>
      <c r="L15" s="81"/>
      <c r="M15" s="81"/>
      <c r="N15" s="58"/>
      <c r="O15" s="58"/>
      <c r="P15" s="58"/>
      <c r="Q15" s="58"/>
      <c r="R15" s="58"/>
      <c r="S15" s="58"/>
      <c r="T15" s="58"/>
      <c r="U15" s="58"/>
      <c r="V15" s="58"/>
      <c r="W15" s="58"/>
      <c r="X15" s="58"/>
    </row>
    <row r="16" spans="2:24" ht="12.75">
      <c r="B16" s="82" t="s">
        <v>3</v>
      </c>
      <c r="C16" s="81">
        <v>3421</v>
      </c>
      <c r="D16" s="81">
        <v>447</v>
      </c>
      <c r="E16" s="81">
        <v>3493</v>
      </c>
      <c r="F16" s="81">
        <v>1981</v>
      </c>
      <c r="G16" s="81">
        <v>4589</v>
      </c>
      <c r="H16" s="81">
        <v>8958</v>
      </c>
      <c r="I16" s="81">
        <v>16756</v>
      </c>
      <c r="J16" s="81">
        <v>3767</v>
      </c>
      <c r="K16" s="81">
        <v>6672</v>
      </c>
      <c r="L16" s="81"/>
      <c r="M16" s="81"/>
      <c r="N16" s="58"/>
      <c r="O16" s="58"/>
      <c r="P16" s="58"/>
      <c r="Q16" s="58"/>
      <c r="R16" s="58"/>
      <c r="S16" s="58"/>
      <c r="T16" s="58"/>
      <c r="U16" s="58"/>
      <c r="V16" s="58"/>
      <c r="W16" s="58"/>
      <c r="X16" s="58"/>
    </row>
    <row r="17" spans="2:24" ht="12.75">
      <c r="B17" s="82" t="s">
        <v>2</v>
      </c>
      <c r="C17" s="81">
        <v>3208</v>
      </c>
      <c r="D17" s="81">
        <v>1493</v>
      </c>
      <c r="E17" s="81">
        <v>3750</v>
      </c>
      <c r="F17" s="81">
        <v>887</v>
      </c>
      <c r="G17" s="81">
        <v>4584</v>
      </c>
      <c r="H17" s="81">
        <v>9385</v>
      </c>
      <c r="I17" s="81">
        <v>17757</v>
      </c>
      <c r="J17" s="81">
        <v>3839</v>
      </c>
      <c r="K17" s="81">
        <v>8063</v>
      </c>
      <c r="L17" s="81"/>
      <c r="M17" s="81"/>
      <c r="N17" s="58"/>
      <c r="O17" s="58"/>
      <c r="P17" s="58"/>
      <c r="Q17" s="58"/>
      <c r="R17" s="58"/>
      <c r="S17" s="58"/>
      <c r="T17" s="58"/>
      <c r="U17" s="58"/>
      <c r="V17" s="58"/>
      <c r="W17" s="58"/>
      <c r="X17" s="58"/>
    </row>
    <row r="18" spans="2:28" ht="12.75">
      <c r="B18" s="82" t="s">
        <v>123</v>
      </c>
      <c r="C18" s="81">
        <v>1865</v>
      </c>
      <c r="D18" s="81">
        <v>1421</v>
      </c>
      <c r="E18" s="81">
        <v>3607</v>
      </c>
      <c r="F18" s="81">
        <v>1681</v>
      </c>
      <c r="G18" s="81">
        <v>2080</v>
      </c>
      <c r="H18" s="81">
        <v>5998</v>
      </c>
      <c r="I18" s="81">
        <v>10383</v>
      </c>
      <c r="J18" s="81">
        <v>3393</v>
      </c>
      <c r="K18" s="81">
        <v>10419</v>
      </c>
      <c r="L18" s="81">
        <v>687</v>
      </c>
      <c r="M18" s="81"/>
      <c r="N18" s="58"/>
      <c r="O18" s="58"/>
      <c r="Q18" s="58"/>
      <c r="S18" s="161"/>
      <c r="T18" s="161"/>
      <c r="U18" s="161"/>
      <c r="V18" s="161"/>
      <c r="W18" s="161"/>
      <c r="X18" s="161"/>
      <c r="Y18" s="161"/>
      <c r="Z18" s="161"/>
      <c r="AA18" s="161"/>
      <c r="AB18" s="161"/>
    </row>
    <row r="19" spans="2:23" ht="12.75">
      <c r="B19" s="82" t="s">
        <v>132</v>
      </c>
      <c r="C19" s="81">
        <v>2546</v>
      </c>
      <c r="D19" s="81">
        <v>1103</v>
      </c>
      <c r="E19" s="81">
        <v>5104</v>
      </c>
      <c r="F19" s="81">
        <v>942</v>
      </c>
      <c r="G19" s="81">
        <v>3017</v>
      </c>
      <c r="H19" s="81">
        <v>8372</v>
      </c>
      <c r="I19" s="81">
        <v>14459</v>
      </c>
      <c r="J19" s="81">
        <v>3334</v>
      </c>
      <c r="K19" s="81">
        <v>10012</v>
      </c>
      <c r="L19" s="81">
        <v>687</v>
      </c>
      <c r="M19" s="81"/>
      <c r="N19" s="58"/>
      <c r="O19" s="58"/>
      <c r="Q19" s="58"/>
      <c r="S19" s="161"/>
      <c r="T19" s="161"/>
      <c r="U19" s="161"/>
      <c r="V19" s="161"/>
      <c r="W19" s="161"/>
    </row>
    <row r="20" spans="2:23" ht="12.75">
      <c r="B20" s="82" t="s">
        <v>152</v>
      </c>
      <c r="C20" s="81">
        <v>2197</v>
      </c>
      <c r="D20" s="81">
        <v>1480</v>
      </c>
      <c r="E20" s="81">
        <v>3299</v>
      </c>
      <c r="F20" s="81">
        <v>1394</v>
      </c>
      <c r="G20" s="81">
        <v>3557</v>
      </c>
      <c r="H20" s="81">
        <v>8532</v>
      </c>
      <c r="I20" s="81">
        <v>13054</v>
      </c>
      <c r="J20" s="81">
        <v>4007</v>
      </c>
      <c r="K20" s="81">
        <v>10758</v>
      </c>
      <c r="L20" s="81">
        <v>687</v>
      </c>
      <c r="M20" s="81"/>
      <c r="N20" s="58"/>
      <c r="O20" s="58"/>
      <c r="Q20" s="58"/>
      <c r="S20" s="161"/>
      <c r="T20" s="161"/>
      <c r="U20" s="161"/>
      <c r="V20" s="161"/>
      <c r="W20" s="161"/>
    </row>
    <row r="21" spans="2:23" ht="12.75">
      <c r="B21" s="82" t="s">
        <v>186</v>
      </c>
      <c r="C21" s="81">
        <v>1874.8517657009927</v>
      </c>
      <c r="D21" s="81">
        <v>1451.319986235742</v>
      </c>
      <c r="E21" s="81">
        <v>4939.809486900715</v>
      </c>
      <c r="F21" s="81">
        <v>2047.895051547505</v>
      </c>
      <c r="G21" s="81">
        <v>3593.539657032328</v>
      </c>
      <c r="H21" s="81">
        <v>8685.459966446108</v>
      </c>
      <c r="I21" s="81">
        <v>16788.425585779605</v>
      </c>
      <c r="J21" s="81">
        <v>3490.6066401256444</v>
      </c>
      <c r="K21" s="81">
        <v>6967.429827640695</v>
      </c>
      <c r="L21" s="81">
        <v>687</v>
      </c>
      <c r="M21" s="81"/>
      <c r="N21" s="58"/>
      <c r="O21" s="58"/>
      <c r="Q21" s="58"/>
      <c r="S21" s="161"/>
      <c r="T21" s="161"/>
      <c r="U21" s="161"/>
      <c r="V21" s="161"/>
      <c r="W21" s="161"/>
    </row>
    <row r="22" spans="2:23" ht="12.75">
      <c r="B22" s="120" t="s">
        <v>220</v>
      </c>
      <c r="C22" s="84">
        <v>2244</v>
      </c>
      <c r="D22" s="84">
        <v>776</v>
      </c>
      <c r="E22" s="84">
        <v>4449</v>
      </c>
      <c r="F22" s="84">
        <v>2251</v>
      </c>
      <c r="G22" s="84">
        <v>5243</v>
      </c>
      <c r="H22" s="84">
        <v>8946</v>
      </c>
      <c r="I22" s="84">
        <v>14976</v>
      </c>
      <c r="J22" s="84">
        <v>3369</v>
      </c>
      <c r="K22" s="84">
        <v>10544</v>
      </c>
      <c r="L22" s="84">
        <v>687</v>
      </c>
      <c r="M22" s="84"/>
      <c r="N22" s="188"/>
      <c r="O22" s="188"/>
      <c r="Q22" s="58"/>
      <c r="S22" s="161"/>
      <c r="T22" s="161"/>
      <c r="U22" s="161"/>
      <c r="V22" s="161"/>
      <c r="W22" s="161"/>
    </row>
    <row r="23" spans="2:17" ht="12.75">
      <c r="B23" s="29" t="s">
        <v>137</v>
      </c>
      <c r="N23" s="58"/>
      <c r="Q23" s="58"/>
    </row>
    <row r="24" ht="12.75">
      <c r="Q24" s="58"/>
    </row>
    <row r="25" spans="14:17" ht="12.75">
      <c r="N25" s="58"/>
      <c r="Q25" s="58"/>
    </row>
    <row r="26" ht="12.75">
      <c r="Q26" s="58"/>
    </row>
    <row r="45" ht="12.75">
      <c r="B45" s="29" t="s">
        <v>137</v>
      </c>
    </row>
    <row r="46" ht="12.75">
      <c r="B46" s="162" t="s">
        <v>136</v>
      </c>
    </row>
    <row r="47" spans="3:12" ht="12.75">
      <c r="C47" s="190"/>
      <c r="D47" s="190"/>
      <c r="E47" s="190"/>
      <c r="F47" s="190"/>
      <c r="G47" s="190"/>
      <c r="H47" s="190"/>
      <c r="I47" s="190"/>
      <c r="J47" s="190"/>
      <c r="K47" s="190"/>
      <c r="L47" s="190"/>
    </row>
    <row r="49" spans="3:13" ht="12.75">
      <c r="C49" s="161"/>
      <c r="D49" s="161"/>
      <c r="E49" s="161"/>
      <c r="F49" s="161"/>
      <c r="G49" s="161"/>
      <c r="H49" s="161"/>
      <c r="I49" s="161"/>
      <c r="J49" s="161"/>
      <c r="K49" s="161"/>
      <c r="L49" s="161"/>
      <c r="M49" s="161"/>
    </row>
    <row r="50" spans="3:13" s="191" customFormat="1" ht="12.75" hidden="1">
      <c r="C50" s="245">
        <f aca="true" t="shared" si="0" ref="C50:L50">+C22/SUM($C$22:$L$22)</f>
        <v>0.04195568851079742</v>
      </c>
      <c r="D50" s="245">
        <f t="shared" si="0"/>
        <v>0.01450874076843975</v>
      </c>
      <c r="E50" s="245">
        <f t="shared" si="0"/>
        <v>0.08318220061699542</v>
      </c>
      <c r="F50" s="245">
        <f t="shared" si="0"/>
        <v>0.04208656632700757</v>
      </c>
      <c r="G50" s="245">
        <f t="shared" si="0"/>
        <v>0.09802748434140413</v>
      </c>
      <c r="H50" s="245">
        <f t="shared" si="0"/>
        <v>0.16726184911657474</v>
      </c>
      <c r="I50" s="245">
        <f t="shared" si="0"/>
        <v>0.28000373936617745</v>
      </c>
      <c r="J50" s="245">
        <f t="shared" si="0"/>
        <v>0.06298962325885762</v>
      </c>
      <c r="K50" s="245">
        <f t="shared" si="0"/>
        <v>0.1971393848742638</v>
      </c>
      <c r="L50" s="245">
        <f t="shared" si="0"/>
        <v>0.012844722819482098</v>
      </c>
      <c r="M50" s="245"/>
    </row>
    <row r="51" s="191" customFormat="1" ht="12.75" hidden="1"/>
    <row r="52" spans="3:12" s="191" customFormat="1" ht="12.75" hidden="1">
      <c r="C52" s="245">
        <f aca="true" t="shared" si="1" ref="C52:H52">+C22/C21-1</f>
        <v>0.19689462444567485</v>
      </c>
      <c r="D52" s="245">
        <f t="shared" si="1"/>
        <v>-0.4653143294658989</v>
      </c>
      <c r="E52" s="245">
        <f t="shared" si="1"/>
        <v>-0.0993579789265625</v>
      </c>
      <c r="F52" s="245">
        <f t="shared" si="1"/>
        <v>0.09917742039516009</v>
      </c>
      <c r="G52" s="245">
        <f t="shared" si="1"/>
        <v>0.4590071351347922</v>
      </c>
      <c r="H52" s="245">
        <f t="shared" si="1"/>
        <v>0.0299972637673096</v>
      </c>
      <c r="I52" s="245">
        <f>+I22/I21-1</f>
        <v>-0.10795685256601995</v>
      </c>
      <c r="J52" s="245">
        <f>+J22/J21-1</f>
        <v>-0.03483825382319994</v>
      </c>
      <c r="K52" s="245">
        <f>+K22/K21-1</f>
        <v>0.5133270461039432</v>
      </c>
      <c r="L52" s="245">
        <f>+L22/L21-1</f>
        <v>0</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9"/>
  <sheetViews>
    <sheetView zoomScale="80" zoomScaleNormal="80" zoomScalePageLayoutView="40" workbookViewId="0" topLeftCell="A1">
      <selection activeCell="A1" sqref="A1"/>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6384" width="10.8515625" style="22" customWidth="1"/>
  </cols>
  <sheetData>
    <row r="1" ht="6.75" customHeight="1"/>
    <row r="2" spans="2:14" ht="12.75">
      <c r="B2" s="345" t="s">
        <v>67</v>
      </c>
      <c r="C2" s="345"/>
      <c r="D2" s="345"/>
      <c r="E2" s="345"/>
      <c r="F2" s="345"/>
      <c r="G2" s="345"/>
      <c r="H2" s="345"/>
      <c r="I2" s="345"/>
      <c r="J2" s="345"/>
      <c r="K2" s="345"/>
      <c r="L2" s="345"/>
      <c r="M2" s="122"/>
      <c r="N2" s="52" t="s">
        <v>158</v>
      </c>
    </row>
    <row r="3" spans="2:13" ht="14.25" customHeight="1">
      <c r="B3" s="345" t="s">
        <v>49</v>
      </c>
      <c r="C3" s="345"/>
      <c r="D3" s="345"/>
      <c r="E3" s="345"/>
      <c r="F3" s="345"/>
      <c r="G3" s="345"/>
      <c r="H3" s="345"/>
      <c r="I3" s="345"/>
      <c r="J3" s="345"/>
      <c r="K3" s="345"/>
      <c r="L3" s="345"/>
      <c r="M3" s="122"/>
    </row>
    <row r="4" spans="2:13" ht="12.75">
      <c r="B4" s="345" t="s">
        <v>29</v>
      </c>
      <c r="C4" s="345"/>
      <c r="D4" s="345"/>
      <c r="E4" s="345"/>
      <c r="F4" s="345"/>
      <c r="G4" s="345"/>
      <c r="H4" s="345"/>
      <c r="I4" s="345"/>
      <c r="J4" s="345"/>
      <c r="K4" s="345"/>
      <c r="L4" s="345"/>
      <c r="M4" s="122"/>
    </row>
    <row r="5" spans="2:12" ht="12.75">
      <c r="B5" s="144"/>
      <c r="C5" s="144"/>
      <c r="D5" s="144"/>
      <c r="E5" s="144"/>
      <c r="F5" s="144"/>
      <c r="G5" s="144"/>
      <c r="H5" s="144"/>
      <c r="I5" s="144"/>
      <c r="J5" s="145"/>
      <c r="K5" s="144"/>
      <c r="L5" s="146"/>
    </row>
    <row r="6" spans="2:13" ht="12.75">
      <c r="B6" s="343" t="s">
        <v>13</v>
      </c>
      <c r="C6" s="124" t="s">
        <v>25</v>
      </c>
      <c r="D6" s="124" t="s">
        <v>25</v>
      </c>
      <c r="E6" s="124" t="s">
        <v>27</v>
      </c>
      <c r="F6" s="124" t="s">
        <v>25</v>
      </c>
      <c r="G6" s="124" t="s">
        <v>26</v>
      </c>
      <c r="H6" s="124" t="s">
        <v>26</v>
      </c>
      <c r="I6" s="124" t="s">
        <v>25</v>
      </c>
      <c r="J6" s="124" t="s">
        <v>25</v>
      </c>
      <c r="K6" s="124" t="s">
        <v>25</v>
      </c>
      <c r="L6" s="124" t="s">
        <v>164</v>
      </c>
      <c r="M6" s="1"/>
    </row>
    <row r="7" spans="2:13" ht="12.75">
      <c r="B7" s="344"/>
      <c r="C7" s="125" t="s">
        <v>24</v>
      </c>
      <c r="D7" s="125" t="s">
        <v>23</v>
      </c>
      <c r="E7" s="125" t="s">
        <v>22</v>
      </c>
      <c r="F7" s="125" t="s">
        <v>21</v>
      </c>
      <c r="G7" s="125" t="s">
        <v>20</v>
      </c>
      <c r="H7" s="125" t="s">
        <v>19</v>
      </c>
      <c r="I7" s="125" t="s">
        <v>18</v>
      </c>
      <c r="J7" s="125" t="s">
        <v>17</v>
      </c>
      <c r="K7" s="125" t="s">
        <v>16</v>
      </c>
      <c r="L7" s="125" t="s">
        <v>165</v>
      </c>
      <c r="M7" s="1"/>
    </row>
    <row r="8" spans="2:13" ht="12.75">
      <c r="B8" s="147" t="s">
        <v>11</v>
      </c>
      <c r="C8" s="101">
        <v>131241.4</v>
      </c>
      <c r="D8" s="148">
        <v>21402.7</v>
      </c>
      <c r="E8" s="148">
        <v>82529.4</v>
      </c>
      <c r="F8" s="148">
        <v>49669.7</v>
      </c>
      <c r="G8" s="148">
        <v>62218.6</v>
      </c>
      <c r="H8" s="148">
        <v>104593.9</v>
      </c>
      <c r="I8" s="148">
        <v>420346.7</v>
      </c>
      <c r="J8" s="147"/>
      <c r="K8" s="148">
        <v>419319.1</v>
      </c>
      <c r="L8" s="148"/>
      <c r="M8" s="81"/>
    </row>
    <row r="9" spans="2:13" ht="12.75">
      <c r="B9" s="149" t="s">
        <v>10</v>
      </c>
      <c r="C9" s="150">
        <v>110721.3</v>
      </c>
      <c r="D9" s="150">
        <v>14420.5</v>
      </c>
      <c r="E9" s="150">
        <v>63776.2</v>
      </c>
      <c r="F9" s="150">
        <v>57186.7</v>
      </c>
      <c r="G9" s="150">
        <v>57216.7</v>
      </c>
      <c r="H9" s="150">
        <v>113195.2</v>
      </c>
      <c r="I9" s="150">
        <v>297628.6</v>
      </c>
      <c r="J9" s="149"/>
      <c r="K9" s="150">
        <v>367637.1</v>
      </c>
      <c r="L9" s="150"/>
      <c r="M9" s="81"/>
    </row>
    <row r="10" spans="2:13" ht="12.75">
      <c r="B10" s="149" t="s">
        <v>9</v>
      </c>
      <c r="C10" s="150">
        <v>109620</v>
      </c>
      <c r="D10" s="150">
        <v>15000</v>
      </c>
      <c r="E10" s="150">
        <v>63360</v>
      </c>
      <c r="F10" s="150">
        <v>65550</v>
      </c>
      <c r="G10" s="150">
        <v>57190</v>
      </c>
      <c r="H10" s="150">
        <v>128320</v>
      </c>
      <c r="I10" s="150">
        <v>302400</v>
      </c>
      <c r="J10" s="149"/>
      <c r="K10" s="150">
        <v>390784</v>
      </c>
      <c r="L10" s="150"/>
      <c r="M10" s="81"/>
    </row>
    <row r="11" spans="2:13" ht="12.75">
      <c r="B11" s="149" t="s">
        <v>8</v>
      </c>
      <c r="C11" s="150">
        <v>106540.8</v>
      </c>
      <c r="D11" s="150">
        <v>25575</v>
      </c>
      <c r="E11" s="150">
        <v>43227.6</v>
      </c>
      <c r="F11" s="150">
        <v>56512.8</v>
      </c>
      <c r="G11" s="150">
        <v>42448</v>
      </c>
      <c r="H11" s="150">
        <v>127498.3</v>
      </c>
      <c r="I11" s="150">
        <v>321303.4</v>
      </c>
      <c r="J11" s="149"/>
      <c r="K11" s="150">
        <v>380683.8</v>
      </c>
      <c r="L11" s="150"/>
      <c r="M11" s="81"/>
    </row>
    <row r="12" spans="2:13" ht="12.75">
      <c r="B12" s="149" t="s">
        <v>7</v>
      </c>
      <c r="C12" s="150">
        <v>120464.5</v>
      </c>
      <c r="D12" s="150">
        <v>31322.5</v>
      </c>
      <c r="E12" s="150">
        <v>59440</v>
      </c>
      <c r="F12" s="150">
        <v>44261.8</v>
      </c>
      <c r="G12" s="150">
        <v>63355.6</v>
      </c>
      <c r="H12" s="150">
        <v>131670</v>
      </c>
      <c r="I12" s="150">
        <v>446083.8</v>
      </c>
      <c r="J12" s="149"/>
      <c r="K12" s="150">
        <v>482834</v>
      </c>
      <c r="L12" s="150"/>
      <c r="M12" s="81"/>
    </row>
    <row r="13" spans="2:13" ht="12.75">
      <c r="B13" s="149" t="s">
        <v>6</v>
      </c>
      <c r="C13" s="150">
        <v>56405.8</v>
      </c>
      <c r="D13" s="150">
        <v>20394.8</v>
      </c>
      <c r="E13" s="150">
        <v>87051.9</v>
      </c>
      <c r="F13" s="150">
        <v>22726.8</v>
      </c>
      <c r="G13" s="150">
        <v>44973.2</v>
      </c>
      <c r="H13" s="150">
        <v>97715.5</v>
      </c>
      <c r="I13" s="150">
        <v>212544.8</v>
      </c>
      <c r="J13" s="150">
        <v>72423.3</v>
      </c>
      <c r="K13" s="150">
        <v>213984.4</v>
      </c>
      <c r="L13" s="150"/>
      <c r="M13" s="81"/>
    </row>
    <row r="14" spans="2:13" ht="12.75">
      <c r="B14" s="149" t="s">
        <v>5</v>
      </c>
      <c r="C14" s="150">
        <v>66880</v>
      </c>
      <c r="D14" s="150">
        <v>27744</v>
      </c>
      <c r="E14" s="150">
        <v>86001.3</v>
      </c>
      <c r="F14" s="150">
        <v>26690</v>
      </c>
      <c r="G14" s="150">
        <v>58550.1</v>
      </c>
      <c r="H14" s="150">
        <v>135270</v>
      </c>
      <c r="I14" s="150">
        <v>220224</v>
      </c>
      <c r="J14" s="150">
        <v>86623.2</v>
      </c>
      <c r="K14" s="150">
        <v>251518.8</v>
      </c>
      <c r="L14" s="150"/>
      <c r="M14" s="81"/>
    </row>
    <row r="15" spans="2:13" ht="12.75">
      <c r="B15" s="149" t="s">
        <v>4</v>
      </c>
      <c r="C15" s="150">
        <v>51591.1</v>
      </c>
      <c r="D15" s="150">
        <v>8350.7</v>
      </c>
      <c r="E15" s="150">
        <v>53081.5</v>
      </c>
      <c r="F15" s="150">
        <v>3752.9</v>
      </c>
      <c r="G15" s="150">
        <v>31915.5</v>
      </c>
      <c r="H15" s="150">
        <v>109800.8</v>
      </c>
      <c r="I15" s="150">
        <v>265552.8</v>
      </c>
      <c r="J15" s="150">
        <v>121619.2</v>
      </c>
      <c r="K15" s="150">
        <v>272625</v>
      </c>
      <c r="L15" s="150"/>
      <c r="M15" s="81"/>
    </row>
    <row r="16" spans="2:13" ht="12.75">
      <c r="B16" s="149" t="s">
        <v>3</v>
      </c>
      <c r="C16" s="150">
        <v>78466.3</v>
      </c>
      <c r="D16" s="150">
        <v>11764.2</v>
      </c>
      <c r="E16" s="150">
        <v>86174.8</v>
      </c>
      <c r="F16" s="150">
        <v>38358</v>
      </c>
      <c r="G16" s="150">
        <v>57455.5</v>
      </c>
      <c r="H16" s="150">
        <v>165633.4</v>
      </c>
      <c r="I16" s="150">
        <v>315519.2</v>
      </c>
      <c r="J16" s="150">
        <v>124687.7</v>
      </c>
      <c r="K16" s="150">
        <v>197024.2</v>
      </c>
      <c r="L16" s="150"/>
      <c r="M16" s="81"/>
    </row>
    <row r="17" spans="2:13" ht="12.75">
      <c r="B17" s="149" t="s">
        <v>2</v>
      </c>
      <c r="C17" s="150">
        <v>75516</v>
      </c>
      <c r="D17" s="150">
        <v>31084</v>
      </c>
      <c r="E17" s="150">
        <v>79125</v>
      </c>
      <c r="F17" s="150">
        <v>15805</v>
      </c>
      <c r="G17" s="150">
        <v>111620</v>
      </c>
      <c r="H17" s="150">
        <v>255835</v>
      </c>
      <c r="I17" s="150">
        <v>615990</v>
      </c>
      <c r="J17" s="150">
        <v>142120</v>
      </c>
      <c r="K17" s="150">
        <v>343081</v>
      </c>
      <c r="L17" s="150"/>
      <c r="M17" s="81"/>
    </row>
    <row r="18" spans="2:13" ht="12.75">
      <c r="B18" s="149" t="s">
        <v>123</v>
      </c>
      <c r="C18" s="150">
        <v>41067.3</v>
      </c>
      <c r="D18" s="150">
        <v>16000.460000000001</v>
      </c>
      <c r="E18" s="150">
        <v>88299.36</v>
      </c>
      <c r="F18" s="150">
        <v>25652.06</v>
      </c>
      <c r="G18" s="150">
        <v>34486.4</v>
      </c>
      <c r="H18" s="150">
        <v>101006.31999999999</v>
      </c>
      <c r="I18" s="150">
        <v>272034.6</v>
      </c>
      <c r="J18" s="150">
        <v>122928.38999999998</v>
      </c>
      <c r="K18" s="150">
        <v>385711.38</v>
      </c>
      <c r="L18" s="150"/>
      <c r="M18" s="81"/>
    </row>
    <row r="19" spans="2:13" ht="12.75">
      <c r="B19" s="149" t="s">
        <v>132</v>
      </c>
      <c r="C19" s="150">
        <v>51863.11990316702</v>
      </c>
      <c r="D19" s="150">
        <v>16391.720884117247</v>
      </c>
      <c r="E19" s="150">
        <v>112644.46653744439</v>
      </c>
      <c r="F19" s="150">
        <v>19220.222324539445</v>
      </c>
      <c r="G19" s="150">
        <v>69067.98620052033</v>
      </c>
      <c r="H19" s="150">
        <v>152632.15975101327</v>
      </c>
      <c r="I19" s="150">
        <v>314581.7498466616</v>
      </c>
      <c r="J19" s="150">
        <v>76034.57195077253</v>
      </c>
      <c r="K19" s="150">
        <v>340220.209903059</v>
      </c>
      <c r="L19" s="150"/>
      <c r="M19" s="81"/>
    </row>
    <row r="20" spans="2:13" ht="12.75">
      <c r="B20" s="149" t="s">
        <v>152</v>
      </c>
      <c r="C20" s="150">
        <v>47235.5</v>
      </c>
      <c r="D20" s="150">
        <v>18070.8</v>
      </c>
      <c r="E20" s="150">
        <v>77889.39</v>
      </c>
      <c r="F20" s="150">
        <v>17620.16</v>
      </c>
      <c r="G20" s="150">
        <v>45494.03</v>
      </c>
      <c r="H20" s="150">
        <v>131819.4</v>
      </c>
      <c r="I20" s="150">
        <v>272045.36</v>
      </c>
      <c r="J20" s="150">
        <v>100735.98000000001</v>
      </c>
      <c r="K20" s="150">
        <v>344148.42000000004</v>
      </c>
      <c r="L20" s="150">
        <v>6265.9</v>
      </c>
      <c r="M20" s="81"/>
    </row>
    <row r="21" spans="2:13" ht="12.75">
      <c r="B21" s="149" t="s">
        <v>186</v>
      </c>
      <c r="C21" s="150">
        <v>43406.3</v>
      </c>
      <c r="D21" s="150">
        <v>21881.1</v>
      </c>
      <c r="E21" s="150">
        <v>112928.4</v>
      </c>
      <c r="F21" s="150">
        <v>33402.9</v>
      </c>
      <c r="G21" s="150">
        <v>59085.4</v>
      </c>
      <c r="H21" s="150">
        <v>137049.3</v>
      </c>
      <c r="I21" s="150">
        <v>305709.5</v>
      </c>
      <c r="J21" s="150">
        <v>62139.8</v>
      </c>
      <c r="K21" s="150">
        <v>178633.9</v>
      </c>
      <c r="L21" s="150">
        <v>6265.44</v>
      </c>
      <c r="M21" s="81"/>
    </row>
    <row r="22" spans="2:15" ht="17.25" customHeight="1">
      <c r="B22" s="151" t="s">
        <v>192</v>
      </c>
      <c r="C22" s="152">
        <f>+'sup región'!C22*'rend región'!C22</f>
        <v>48635.283145156696</v>
      </c>
      <c r="D22" s="152">
        <f>+'sup región'!D22*'rend región'!D22</f>
        <v>10903.06755094439</v>
      </c>
      <c r="E22" s="152">
        <f>+'sup región'!E22*'rend región'!E22</f>
        <v>101644.58364322687</v>
      </c>
      <c r="F22" s="152">
        <f>+'sup región'!F22*'rend región'!F22</f>
        <v>37031.6759916979</v>
      </c>
      <c r="G22" s="152">
        <f>+'sup región'!G22*'rend región'!G22</f>
        <v>91093.51682458601</v>
      </c>
      <c r="H22" s="152">
        <f>+'sup región'!H22*'rend región'!H22</f>
        <v>147493.49549659836</v>
      </c>
      <c r="I22" s="152">
        <f>+'sup región'!I22*'rend región'!I22</f>
        <v>303547.6072781336</v>
      </c>
      <c r="J22" s="152">
        <f>+'sup región'!J22*'rend región'!J22</f>
        <v>73832.54510519424</v>
      </c>
      <c r="K22" s="152">
        <f>+'sup región'!K22*'rend región'!K22</f>
        <v>321982.9838146842</v>
      </c>
      <c r="L22" s="152">
        <f>+'sup región'!L22*'rend región'!L22</f>
        <v>6265.67</v>
      </c>
      <c r="M22" s="81"/>
      <c r="N22" s="192"/>
      <c r="O22" s="58"/>
    </row>
    <row r="23" spans="2:12" ht="12.75">
      <c r="B23" s="162" t="s">
        <v>136</v>
      </c>
      <c r="C23" s="144"/>
      <c r="D23" s="144"/>
      <c r="E23" s="144"/>
      <c r="F23" s="144"/>
      <c r="G23" s="144"/>
      <c r="H23" s="144"/>
      <c r="I23" s="144"/>
      <c r="J23" s="144"/>
      <c r="K23" s="144"/>
      <c r="L23" s="146"/>
    </row>
    <row r="24" spans="2:12" ht="12.75">
      <c r="B24" s="162" t="s">
        <v>224</v>
      </c>
      <c r="C24" s="144"/>
      <c r="D24" s="144"/>
      <c r="E24" s="144"/>
      <c r="F24" s="144"/>
      <c r="G24" s="144"/>
      <c r="H24" s="144"/>
      <c r="I24" s="144"/>
      <c r="J24" s="144"/>
      <c r="K24" s="144"/>
      <c r="L24" s="146"/>
    </row>
    <row r="25" spans="2:12" ht="12.75">
      <c r="B25" s="146"/>
      <c r="C25" s="146"/>
      <c r="D25" s="146"/>
      <c r="E25" s="146"/>
      <c r="F25" s="146"/>
      <c r="G25" s="146"/>
      <c r="H25" s="146"/>
      <c r="I25" s="146"/>
      <c r="J25" s="146"/>
      <c r="K25" s="146"/>
      <c r="L25" s="146"/>
    </row>
    <row r="26" spans="2:12" ht="12.75">
      <c r="B26" s="146"/>
      <c r="C26" s="146"/>
      <c r="D26" s="146"/>
      <c r="E26" s="146"/>
      <c r="F26" s="146"/>
      <c r="G26" s="146"/>
      <c r="H26" s="146"/>
      <c r="I26" s="146"/>
      <c r="J26" s="146"/>
      <c r="K26" s="146"/>
      <c r="L26" s="146"/>
    </row>
    <row r="27" spans="2:12" ht="12.75">
      <c r="B27" s="146"/>
      <c r="C27" s="146"/>
      <c r="D27" s="146"/>
      <c r="E27" s="146"/>
      <c r="F27" s="146"/>
      <c r="G27" s="146"/>
      <c r="H27" s="146"/>
      <c r="I27" s="146"/>
      <c r="J27" s="146"/>
      <c r="K27" s="146"/>
      <c r="L27" s="146"/>
    </row>
    <row r="28" spans="2:12" ht="12.75">
      <c r="B28" s="146"/>
      <c r="C28" s="146"/>
      <c r="D28" s="146"/>
      <c r="E28" s="146"/>
      <c r="F28" s="146"/>
      <c r="G28" s="146"/>
      <c r="H28" s="146"/>
      <c r="I28" s="146"/>
      <c r="J28" s="146"/>
      <c r="K28" s="146"/>
      <c r="L28" s="146"/>
    </row>
    <row r="29" spans="2:12" ht="12.75">
      <c r="B29" s="146"/>
      <c r="C29" s="146"/>
      <c r="D29" s="146"/>
      <c r="E29" s="146"/>
      <c r="F29" s="146"/>
      <c r="G29" s="146"/>
      <c r="H29" s="146"/>
      <c r="I29" s="146"/>
      <c r="J29" s="146"/>
      <c r="K29" s="146"/>
      <c r="L29" s="146"/>
    </row>
    <row r="30" spans="2:12" ht="12.75">
      <c r="B30" s="146"/>
      <c r="C30" s="146"/>
      <c r="D30" s="146"/>
      <c r="E30" s="146"/>
      <c r="F30" s="146"/>
      <c r="G30" s="146"/>
      <c r="H30" s="146"/>
      <c r="I30" s="146"/>
      <c r="J30" s="146"/>
      <c r="K30" s="146"/>
      <c r="L30" s="146"/>
    </row>
    <row r="31" spans="2:12" ht="12.75">
      <c r="B31" s="146"/>
      <c r="C31" s="146"/>
      <c r="D31" s="146"/>
      <c r="E31" s="146"/>
      <c r="F31" s="146"/>
      <c r="G31" s="146"/>
      <c r="H31" s="146"/>
      <c r="I31" s="146"/>
      <c r="J31" s="146"/>
      <c r="K31" s="146"/>
      <c r="L31" s="146"/>
    </row>
    <row r="32" spans="2:12" ht="12.75">
      <c r="B32" s="146"/>
      <c r="C32" s="146"/>
      <c r="D32" s="146"/>
      <c r="E32" s="146"/>
      <c r="F32" s="146"/>
      <c r="G32" s="146"/>
      <c r="H32" s="146"/>
      <c r="I32" s="146"/>
      <c r="J32" s="146"/>
      <c r="K32" s="146"/>
      <c r="L32" s="146"/>
    </row>
    <row r="33" spans="2:12" ht="12.75">
      <c r="B33" s="146"/>
      <c r="C33" s="146"/>
      <c r="D33" s="146"/>
      <c r="E33" s="146"/>
      <c r="F33" s="146"/>
      <c r="G33" s="146"/>
      <c r="H33" s="146"/>
      <c r="I33" s="146"/>
      <c r="J33" s="146"/>
      <c r="K33" s="146"/>
      <c r="L33" s="146"/>
    </row>
    <row r="34" spans="2:12" ht="12.75">
      <c r="B34" s="146"/>
      <c r="C34" s="146"/>
      <c r="D34" s="146"/>
      <c r="E34" s="146"/>
      <c r="F34" s="146"/>
      <c r="G34" s="146"/>
      <c r="H34" s="146"/>
      <c r="I34" s="146"/>
      <c r="J34" s="146"/>
      <c r="K34" s="146"/>
      <c r="L34" s="146"/>
    </row>
    <row r="35" spans="2:12" ht="12.75">
      <c r="B35" s="146"/>
      <c r="C35" s="146"/>
      <c r="D35" s="146"/>
      <c r="E35" s="146"/>
      <c r="F35" s="146"/>
      <c r="G35" s="146"/>
      <c r="H35" s="146"/>
      <c r="I35" s="146"/>
      <c r="J35" s="146"/>
      <c r="K35" s="146"/>
      <c r="L35" s="146"/>
    </row>
    <row r="36" spans="2:12" ht="12.75">
      <c r="B36" s="146"/>
      <c r="C36" s="146"/>
      <c r="D36" s="146"/>
      <c r="E36" s="146"/>
      <c r="F36" s="146"/>
      <c r="G36" s="146"/>
      <c r="H36" s="146"/>
      <c r="I36" s="146"/>
      <c r="J36" s="146"/>
      <c r="K36" s="146"/>
      <c r="L36" s="146"/>
    </row>
    <row r="37" spans="2:12" ht="12.75">
      <c r="B37" s="146"/>
      <c r="C37" s="146"/>
      <c r="D37" s="146"/>
      <c r="E37" s="146"/>
      <c r="F37" s="146"/>
      <c r="G37" s="146"/>
      <c r="H37" s="146"/>
      <c r="I37" s="146"/>
      <c r="J37" s="146"/>
      <c r="K37" s="146"/>
      <c r="L37" s="146"/>
    </row>
    <row r="38" spans="2:12" ht="12.75">
      <c r="B38" s="146"/>
      <c r="C38" s="146"/>
      <c r="D38" s="146"/>
      <c r="E38" s="146"/>
      <c r="F38" s="146"/>
      <c r="G38" s="146"/>
      <c r="H38" s="146"/>
      <c r="I38" s="146"/>
      <c r="J38" s="146"/>
      <c r="K38" s="146"/>
      <c r="L38" s="146"/>
    </row>
    <row r="39" spans="2:12" ht="12.75">
      <c r="B39" s="146"/>
      <c r="C39" s="146"/>
      <c r="D39" s="146"/>
      <c r="E39" s="146"/>
      <c r="F39" s="146"/>
      <c r="G39" s="146"/>
      <c r="H39" s="146"/>
      <c r="I39" s="146"/>
      <c r="J39" s="146"/>
      <c r="K39" s="146"/>
      <c r="L39" s="146"/>
    </row>
    <row r="40" spans="2:12" ht="12.75">
      <c r="B40" s="146"/>
      <c r="C40" s="146"/>
      <c r="D40" s="146"/>
      <c r="E40" s="146"/>
      <c r="F40" s="146"/>
      <c r="G40" s="146"/>
      <c r="H40" s="146"/>
      <c r="I40" s="146"/>
      <c r="J40" s="146"/>
      <c r="K40" s="146"/>
      <c r="L40" s="146"/>
    </row>
    <row r="41" spans="2:12" ht="12.75">
      <c r="B41" s="146"/>
      <c r="C41" s="146"/>
      <c r="D41" s="146"/>
      <c r="E41" s="146"/>
      <c r="F41" s="146"/>
      <c r="G41" s="146"/>
      <c r="H41" s="146"/>
      <c r="I41" s="146"/>
      <c r="J41" s="146"/>
      <c r="K41" s="146"/>
      <c r="L41" s="146"/>
    </row>
    <row r="42" spans="2:12" ht="12.75">
      <c r="B42" s="146"/>
      <c r="C42" s="146"/>
      <c r="D42" s="146"/>
      <c r="E42" s="146"/>
      <c r="F42" s="146"/>
      <c r="G42" s="146"/>
      <c r="H42" s="146"/>
      <c r="I42" s="146"/>
      <c r="J42" s="146"/>
      <c r="K42" s="146"/>
      <c r="L42" s="146"/>
    </row>
    <row r="43" spans="2:12" ht="12.75">
      <c r="B43" s="146"/>
      <c r="C43" s="146"/>
      <c r="D43" s="146"/>
      <c r="E43" s="146"/>
      <c r="F43" s="146"/>
      <c r="G43" s="146"/>
      <c r="H43" s="146"/>
      <c r="I43" s="146"/>
      <c r="J43" s="146"/>
      <c r="K43" s="146"/>
      <c r="L43" s="146"/>
    </row>
    <row r="44" spans="2:12" ht="12.75">
      <c r="B44" s="146"/>
      <c r="C44" s="146"/>
      <c r="D44" s="146"/>
      <c r="E44" s="146"/>
      <c r="F44" s="146"/>
      <c r="G44" s="146"/>
      <c r="H44" s="146"/>
      <c r="I44" s="146"/>
      <c r="J44" s="146"/>
      <c r="K44" s="146"/>
      <c r="L44" s="146"/>
    </row>
    <row r="45" spans="2:12" ht="12.75">
      <c r="B45" s="146"/>
      <c r="C45" s="146"/>
      <c r="D45" s="146"/>
      <c r="E45" s="146"/>
      <c r="F45" s="146"/>
      <c r="G45" s="146"/>
      <c r="H45" s="146"/>
      <c r="I45" s="146"/>
      <c r="J45" s="146"/>
      <c r="K45" s="146"/>
      <c r="L45" s="146"/>
    </row>
    <row r="46" spans="2:12" ht="12.75">
      <c r="B46" s="146"/>
      <c r="C46" s="146"/>
      <c r="D46" s="146"/>
      <c r="E46" s="146"/>
      <c r="F46" s="146"/>
      <c r="G46" s="146"/>
      <c r="H46" s="146"/>
      <c r="I46" s="146"/>
      <c r="J46" s="146"/>
      <c r="K46" s="146"/>
      <c r="L46" s="146"/>
    </row>
    <row r="47" spans="3:12" ht="12.75">
      <c r="C47" s="146"/>
      <c r="D47" s="146"/>
      <c r="E47" s="146"/>
      <c r="F47" s="146"/>
      <c r="G47" s="146"/>
      <c r="H47" s="146"/>
      <c r="I47" s="146"/>
      <c r="J47" s="146"/>
      <c r="K47" s="146"/>
      <c r="L47" s="146"/>
    </row>
    <row r="48" spans="2:12" ht="12.75">
      <c r="B48" s="146"/>
      <c r="C48" s="146"/>
      <c r="D48" s="146"/>
      <c r="E48" s="146"/>
      <c r="F48" s="146"/>
      <c r="G48" s="146"/>
      <c r="H48" s="146"/>
      <c r="I48" s="146"/>
      <c r="J48" s="146"/>
      <c r="K48" s="146"/>
      <c r="L48" s="146"/>
    </row>
    <row r="49" ht="12.75">
      <c r="B49" s="162" t="s">
        <v>136</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50"/>
  <sheetViews>
    <sheetView zoomScale="80" zoomScaleNormal="80" zoomScalePageLayoutView="60" workbookViewId="0" topLeftCell="A1">
      <selection activeCell="A1" sqref="A1"/>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6384" width="10.8515625" style="22" customWidth="1"/>
  </cols>
  <sheetData>
    <row r="1" ht="6.75" customHeight="1"/>
    <row r="2" spans="2:19" ht="12.75">
      <c r="B2" s="323" t="s">
        <v>147</v>
      </c>
      <c r="C2" s="323"/>
      <c r="D2" s="323"/>
      <c r="E2" s="323"/>
      <c r="F2" s="323"/>
      <c r="G2" s="323"/>
      <c r="H2" s="323"/>
      <c r="I2" s="323"/>
      <c r="J2" s="323"/>
      <c r="K2" s="323"/>
      <c r="L2" s="323"/>
      <c r="M2" s="122"/>
      <c r="N2" s="52" t="s">
        <v>158</v>
      </c>
      <c r="O2" s="38"/>
      <c r="P2" s="38"/>
      <c r="Q2" s="38"/>
      <c r="R2" s="38"/>
      <c r="S2" s="38"/>
    </row>
    <row r="3" spans="2:19" ht="12.75">
      <c r="B3" s="323" t="s">
        <v>48</v>
      </c>
      <c r="C3" s="323"/>
      <c r="D3" s="323"/>
      <c r="E3" s="323"/>
      <c r="F3" s="323"/>
      <c r="G3" s="323"/>
      <c r="H3" s="323"/>
      <c r="I3" s="323"/>
      <c r="J3" s="323"/>
      <c r="K3" s="323"/>
      <c r="L3" s="323"/>
      <c r="M3" s="122"/>
      <c r="N3" s="38"/>
      <c r="O3" s="38"/>
      <c r="P3" s="38"/>
      <c r="Q3" s="38"/>
      <c r="R3" s="38"/>
      <c r="S3" s="38"/>
    </row>
    <row r="4" spans="2:19" ht="15" customHeight="1">
      <c r="B4" s="323" t="s">
        <v>30</v>
      </c>
      <c r="C4" s="323"/>
      <c r="D4" s="323"/>
      <c r="E4" s="323"/>
      <c r="F4" s="323"/>
      <c r="G4" s="323"/>
      <c r="H4" s="323"/>
      <c r="I4" s="323"/>
      <c r="J4" s="323"/>
      <c r="K4" s="323"/>
      <c r="L4" s="323"/>
      <c r="M4" s="122"/>
      <c r="N4" s="38"/>
      <c r="O4" s="38"/>
      <c r="P4" s="38"/>
      <c r="Q4" s="38"/>
      <c r="R4" s="38"/>
      <c r="S4" s="38"/>
    </row>
    <row r="5" spans="2:19" ht="12.75">
      <c r="B5" s="2"/>
      <c r="C5" s="2"/>
      <c r="D5" s="2"/>
      <c r="E5" s="2"/>
      <c r="F5" s="2"/>
      <c r="G5" s="2"/>
      <c r="H5" s="2"/>
      <c r="I5" s="2"/>
      <c r="J5" s="2"/>
      <c r="K5" s="2"/>
      <c r="L5" s="2"/>
      <c r="M5" s="2"/>
      <c r="N5" s="2"/>
      <c r="O5" s="2"/>
      <c r="P5" s="2"/>
      <c r="Q5" s="2"/>
      <c r="R5" s="2"/>
      <c r="S5" s="2"/>
    </row>
    <row r="6" spans="2:19" ht="15" customHeight="1">
      <c r="B6" s="343" t="s">
        <v>13</v>
      </c>
      <c r="C6" s="4" t="s">
        <v>25</v>
      </c>
      <c r="D6" s="4" t="s">
        <v>25</v>
      </c>
      <c r="E6" s="4" t="s">
        <v>27</v>
      </c>
      <c r="F6" s="4" t="s">
        <v>25</v>
      </c>
      <c r="G6" s="4" t="s">
        <v>26</v>
      </c>
      <c r="H6" s="4" t="s">
        <v>26</v>
      </c>
      <c r="I6" s="4" t="s">
        <v>25</v>
      </c>
      <c r="J6" s="4" t="s">
        <v>25</v>
      </c>
      <c r="K6" s="4" t="s">
        <v>25</v>
      </c>
      <c r="L6" s="4" t="s">
        <v>164</v>
      </c>
      <c r="M6" s="1"/>
      <c r="N6" s="1"/>
      <c r="O6" s="1"/>
      <c r="P6" s="1"/>
      <c r="Q6" s="1"/>
      <c r="R6" s="1"/>
      <c r="S6" s="1"/>
    </row>
    <row r="7" spans="2:19" ht="15" customHeight="1">
      <c r="B7" s="344"/>
      <c r="C7" s="3" t="s">
        <v>24</v>
      </c>
      <c r="D7" s="3" t="s">
        <v>23</v>
      </c>
      <c r="E7" s="3" t="s">
        <v>22</v>
      </c>
      <c r="F7" s="3" t="s">
        <v>21</v>
      </c>
      <c r="G7" s="3" t="s">
        <v>20</v>
      </c>
      <c r="H7" s="3" t="s">
        <v>19</v>
      </c>
      <c r="I7" s="3" t="s">
        <v>18</v>
      </c>
      <c r="J7" s="3" t="s">
        <v>17</v>
      </c>
      <c r="K7" s="3" t="s">
        <v>16</v>
      </c>
      <c r="L7" s="3" t="s">
        <v>165</v>
      </c>
      <c r="M7" s="1"/>
      <c r="N7" s="1"/>
      <c r="O7" s="1"/>
      <c r="P7" s="1"/>
      <c r="Q7" s="1"/>
      <c r="R7" s="1"/>
      <c r="S7" s="1"/>
    </row>
    <row r="8" spans="2:19" ht="12.75" customHeight="1">
      <c r="B8" s="82" t="s">
        <v>11</v>
      </c>
      <c r="C8" s="102">
        <v>22.020369127516776</v>
      </c>
      <c r="D8" s="103">
        <v>14.461283783783784</v>
      </c>
      <c r="E8" s="103">
        <v>19.28257009345794</v>
      </c>
      <c r="F8" s="103">
        <v>16.780304054054053</v>
      </c>
      <c r="G8" s="103">
        <v>14.920527577937651</v>
      </c>
      <c r="H8" s="103">
        <v>19.960667938931298</v>
      </c>
      <c r="I8" s="103">
        <v>23.313738214087632</v>
      </c>
      <c r="J8" s="103"/>
      <c r="K8" s="103">
        <v>23.38645287228109</v>
      </c>
      <c r="L8" s="103"/>
      <c r="M8" s="103"/>
      <c r="N8" s="53"/>
      <c r="O8" s="53"/>
      <c r="P8" s="53"/>
      <c r="Q8" s="53"/>
      <c r="R8" s="53"/>
      <c r="S8" s="53"/>
    </row>
    <row r="9" spans="2:19" ht="12.75" customHeight="1">
      <c r="B9" s="82" t="s">
        <v>10</v>
      </c>
      <c r="C9" s="103">
        <v>20.42828413284133</v>
      </c>
      <c r="D9" s="103">
        <v>12.118067226890757</v>
      </c>
      <c r="E9" s="103">
        <v>15.59320293398533</v>
      </c>
      <c r="F9" s="103">
        <v>18.21232484076433</v>
      </c>
      <c r="G9" s="103">
        <v>14.86148051948052</v>
      </c>
      <c r="H9" s="103">
        <v>19.89370826010545</v>
      </c>
      <c r="I9" s="103">
        <v>19.841906666666667</v>
      </c>
      <c r="J9" s="103"/>
      <c r="K9" s="103">
        <v>22.54059472716125</v>
      </c>
      <c r="L9" s="103"/>
      <c r="M9" s="103"/>
      <c r="N9" s="53"/>
      <c r="O9" s="53"/>
      <c r="P9" s="53"/>
      <c r="Q9" s="53"/>
      <c r="R9" s="53"/>
      <c r="S9" s="53"/>
    </row>
    <row r="10" spans="2:19" ht="12.75" customHeight="1">
      <c r="B10" s="82" t="s">
        <v>9</v>
      </c>
      <c r="C10" s="103">
        <v>20.3</v>
      </c>
      <c r="D10" s="103">
        <v>12.5</v>
      </c>
      <c r="E10" s="103">
        <v>15.84</v>
      </c>
      <c r="F10" s="103">
        <v>19</v>
      </c>
      <c r="G10" s="103">
        <v>15.05</v>
      </c>
      <c r="H10" s="103">
        <v>20.05</v>
      </c>
      <c r="I10" s="103">
        <v>18</v>
      </c>
      <c r="J10" s="103"/>
      <c r="K10" s="103">
        <v>22.72</v>
      </c>
      <c r="L10" s="103"/>
      <c r="M10" s="103"/>
      <c r="N10" s="53"/>
      <c r="O10" s="53"/>
      <c r="P10" s="53"/>
      <c r="Q10" s="53"/>
      <c r="R10" s="53"/>
      <c r="S10" s="53"/>
    </row>
    <row r="11" spans="2:19" ht="12.75" customHeight="1">
      <c r="B11" s="82" t="s">
        <v>8</v>
      </c>
      <c r="C11" s="103">
        <v>21.48</v>
      </c>
      <c r="D11" s="103">
        <v>16.5</v>
      </c>
      <c r="E11" s="103">
        <v>13.26</v>
      </c>
      <c r="F11" s="103">
        <v>20.04</v>
      </c>
      <c r="G11" s="103">
        <v>15.16</v>
      </c>
      <c r="H11" s="103">
        <v>20.27</v>
      </c>
      <c r="I11" s="103">
        <v>20.57</v>
      </c>
      <c r="J11" s="82"/>
      <c r="K11" s="103">
        <v>22.380000000000003</v>
      </c>
      <c r="L11" s="103"/>
      <c r="M11" s="103"/>
      <c r="N11" s="53"/>
      <c r="O11" s="53"/>
      <c r="P11" s="53"/>
      <c r="Q11" s="53"/>
      <c r="R11" s="53"/>
      <c r="S11" s="53"/>
    </row>
    <row r="12" spans="2:19" ht="12.75" customHeight="1">
      <c r="B12" s="82" t="s">
        <v>7</v>
      </c>
      <c r="C12" s="103">
        <v>21.55</v>
      </c>
      <c r="D12" s="103">
        <v>16.75</v>
      </c>
      <c r="E12" s="103">
        <v>14.86</v>
      </c>
      <c r="F12" s="103">
        <v>12.98</v>
      </c>
      <c r="G12" s="103">
        <v>16.94</v>
      </c>
      <c r="H12" s="103">
        <v>19.95</v>
      </c>
      <c r="I12" s="103">
        <v>24.81</v>
      </c>
      <c r="J12" s="82"/>
      <c r="K12" s="103">
        <v>25.82</v>
      </c>
      <c r="L12" s="103"/>
      <c r="M12" s="103"/>
      <c r="N12" s="53"/>
      <c r="O12" s="53"/>
      <c r="P12" s="53"/>
      <c r="Q12" s="53"/>
      <c r="R12" s="53"/>
      <c r="S12" s="53"/>
    </row>
    <row r="13" spans="2:19" ht="12.75" customHeight="1">
      <c r="B13" s="82" t="s">
        <v>6</v>
      </c>
      <c r="C13" s="103">
        <v>17.426408798813643</v>
      </c>
      <c r="D13" s="103">
        <v>9.337508813376187</v>
      </c>
      <c r="E13" s="103">
        <v>16.623426967364942</v>
      </c>
      <c r="F13" s="103">
        <v>13.281982350534744</v>
      </c>
      <c r="G13" s="103">
        <v>13.350154657230894</v>
      </c>
      <c r="H13" s="103">
        <v>11.576870309860222</v>
      </c>
      <c r="I13" s="103">
        <v>15.118167139676645</v>
      </c>
      <c r="J13" s="103">
        <v>18.236673129705636</v>
      </c>
      <c r="K13" s="103">
        <v>19.057086368736975</v>
      </c>
      <c r="L13" s="103"/>
      <c r="M13" s="103"/>
      <c r="N13" s="53"/>
      <c r="O13" s="53"/>
      <c r="P13" s="53"/>
      <c r="Q13" s="53"/>
      <c r="R13" s="53"/>
      <c r="S13" s="53"/>
    </row>
    <row r="14" spans="2:19" ht="12.75" customHeight="1">
      <c r="B14" s="82" t="s">
        <v>5</v>
      </c>
      <c r="C14" s="103">
        <v>19</v>
      </c>
      <c r="D14" s="103">
        <v>13.6</v>
      </c>
      <c r="E14" s="103">
        <v>15.330000000000002</v>
      </c>
      <c r="F14" s="103">
        <v>17</v>
      </c>
      <c r="G14" s="103">
        <v>17.07</v>
      </c>
      <c r="H14" s="103">
        <v>16.7</v>
      </c>
      <c r="I14" s="103">
        <v>14.88</v>
      </c>
      <c r="J14" s="103">
        <v>20.43</v>
      </c>
      <c r="K14" s="103">
        <v>21.03</v>
      </c>
      <c r="L14" s="103"/>
      <c r="M14" s="103"/>
      <c r="N14" s="53"/>
      <c r="O14" s="53"/>
      <c r="P14" s="53"/>
      <c r="Q14" s="53"/>
      <c r="R14" s="53"/>
      <c r="S14" s="53"/>
    </row>
    <row r="15" spans="2:19" ht="12.75" customHeight="1">
      <c r="B15" s="82" t="s">
        <v>4</v>
      </c>
      <c r="C15" s="103">
        <v>17.22</v>
      </c>
      <c r="D15" s="103">
        <v>13.780000000000001</v>
      </c>
      <c r="E15" s="103">
        <v>19.23</v>
      </c>
      <c r="F15" s="103">
        <v>14.49</v>
      </c>
      <c r="G15" s="103">
        <v>14.62</v>
      </c>
      <c r="H15" s="103">
        <v>15.63</v>
      </c>
      <c r="I15" s="103">
        <v>19.71</v>
      </c>
      <c r="J15" s="103">
        <v>26.630000000000003</v>
      </c>
      <c r="K15" s="103">
        <v>25.910000000000004</v>
      </c>
      <c r="L15" s="103"/>
      <c r="M15" s="103"/>
      <c r="N15" s="53"/>
      <c r="O15" s="53"/>
      <c r="P15" s="53"/>
      <c r="Q15" s="53"/>
      <c r="R15" s="53"/>
      <c r="S15" s="53"/>
    </row>
    <row r="16" spans="2:19" ht="12.75" customHeight="1">
      <c r="B16" s="82" t="s">
        <v>3</v>
      </c>
      <c r="C16" s="103">
        <v>22.94</v>
      </c>
      <c r="D16" s="103">
        <v>26.330000000000002</v>
      </c>
      <c r="E16" s="103">
        <v>24.669999999999998</v>
      </c>
      <c r="F16" s="103">
        <v>19.36</v>
      </c>
      <c r="G16" s="103">
        <v>12.52</v>
      </c>
      <c r="H16" s="103">
        <v>18.490000000000002</v>
      </c>
      <c r="I16" s="103">
        <v>18.830000000000002</v>
      </c>
      <c r="J16" s="103">
        <v>33.1</v>
      </c>
      <c r="K16" s="103">
        <v>29.53</v>
      </c>
      <c r="L16" s="103"/>
      <c r="M16" s="103"/>
      <c r="N16" s="53"/>
      <c r="O16" s="53"/>
      <c r="P16" s="53"/>
      <c r="Q16" s="53"/>
      <c r="R16" s="53"/>
      <c r="S16" s="53"/>
    </row>
    <row r="17" spans="2:19" ht="12.75" customHeight="1">
      <c r="B17" s="82" t="s">
        <v>2</v>
      </c>
      <c r="C17" s="103">
        <v>23.54</v>
      </c>
      <c r="D17" s="103">
        <v>20.52</v>
      </c>
      <c r="E17" s="103">
        <v>21.1</v>
      </c>
      <c r="F17" s="103">
        <v>17.82</v>
      </c>
      <c r="G17" s="103">
        <v>24.35</v>
      </c>
      <c r="H17" s="103">
        <v>27.26</v>
      </c>
      <c r="I17" s="103">
        <v>34.69</v>
      </c>
      <c r="J17" s="103">
        <v>37.019999999999996</v>
      </c>
      <c r="K17" s="103">
        <v>42.55</v>
      </c>
      <c r="L17" s="103"/>
      <c r="M17" s="103"/>
      <c r="N17" s="53"/>
      <c r="O17" s="53"/>
      <c r="P17" s="53"/>
      <c r="Q17" s="53"/>
      <c r="R17" s="53"/>
      <c r="S17" s="53"/>
    </row>
    <row r="18" spans="2:19" ht="12.75" customHeight="1">
      <c r="B18" s="82" t="s">
        <v>123</v>
      </c>
      <c r="C18" s="103">
        <v>22.02</v>
      </c>
      <c r="D18" s="103">
        <v>11.26</v>
      </c>
      <c r="E18" s="103">
        <v>24.48</v>
      </c>
      <c r="F18" s="103">
        <v>15.260000000000002</v>
      </c>
      <c r="G18" s="103">
        <v>16.580000000000002</v>
      </c>
      <c r="H18" s="103">
        <v>16.84</v>
      </c>
      <c r="I18" s="103">
        <v>26.2</v>
      </c>
      <c r="J18" s="103">
        <v>36.230000000000004</v>
      </c>
      <c r="K18" s="103">
        <v>37.019999999999996</v>
      </c>
      <c r="L18" s="103"/>
      <c r="M18" s="103"/>
      <c r="N18" s="53"/>
      <c r="O18" s="53"/>
      <c r="P18" s="53"/>
      <c r="Q18" s="53"/>
      <c r="R18" s="53"/>
      <c r="S18" s="53"/>
    </row>
    <row r="19" spans="2:19" ht="12.75" customHeight="1">
      <c r="B19" s="82" t="s">
        <v>132</v>
      </c>
      <c r="C19" s="103">
        <v>20.37043201224156</v>
      </c>
      <c r="D19" s="103">
        <v>14.861034346434494</v>
      </c>
      <c r="E19" s="103">
        <v>22.069840622540045</v>
      </c>
      <c r="F19" s="103">
        <v>20.40363304091236</v>
      </c>
      <c r="G19" s="103">
        <v>22.892935432721355</v>
      </c>
      <c r="H19" s="103">
        <v>18.231266095438755</v>
      </c>
      <c r="I19" s="103">
        <v>21.75681235539536</v>
      </c>
      <c r="J19" s="103">
        <v>22.80581042314713</v>
      </c>
      <c r="K19" s="103">
        <v>33.98124349810817</v>
      </c>
      <c r="L19" s="103"/>
      <c r="M19" s="103"/>
      <c r="N19" s="53"/>
      <c r="O19" s="53"/>
      <c r="P19" s="53"/>
      <c r="Q19" s="53"/>
      <c r="R19" s="53"/>
      <c r="S19" s="53"/>
    </row>
    <row r="20" spans="2:19" ht="12.75" customHeight="1">
      <c r="B20" s="82" t="s">
        <v>152</v>
      </c>
      <c r="C20" s="103">
        <v>21.5</v>
      </c>
      <c r="D20" s="103">
        <v>12.209999999999999</v>
      </c>
      <c r="E20" s="103">
        <v>23.61</v>
      </c>
      <c r="F20" s="103">
        <v>12.64</v>
      </c>
      <c r="G20" s="103">
        <v>12.79</v>
      </c>
      <c r="H20" s="103">
        <v>15.45</v>
      </c>
      <c r="I20" s="103">
        <v>20.84</v>
      </c>
      <c r="J20" s="103">
        <v>25.14</v>
      </c>
      <c r="K20" s="103">
        <v>31.990000000000002</v>
      </c>
      <c r="L20" s="103">
        <v>9.120669577874818</v>
      </c>
      <c r="M20" s="103"/>
      <c r="N20" s="53"/>
      <c r="O20" s="53"/>
      <c r="P20" s="53"/>
      <c r="Q20" s="53"/>
      <c r="R20" s="53"/>
      <c r="S20" s="53"/>
    </row>
    <row r="21" spans="2:19" ht="12.75" customHeight="1">
      <c r="B21" s="82" t="s">
        <v>186</v>
      </c>
      <c r="C21" s="103">
        <v>23.15</v>
      </c>
      <c r="D21" s="103">
        <v>15.08</v>
      </c>
      <c r="E21" s="103">
        <v>22.86</v>
      </c>
      <c r="F21" s="103">
        <v>16.31</v>
      </c>
      <c r="G21" s="103">
        <v>16.44</v>
      </c>
      <c r="H21" s="103">
        <v>15.78</v>
      </c>
      <c r="I21" s="103">
        <v>18.21</v>
      </c>
      <c r="J21" s="103">
        <v>17.8</v>
      </c>
      <c r="K21" s="103">
        <v>25.64</v>
      </c>
      <c r="L21" s="103">
        <v>9.12</v>
      </c>
      <c r="M21" s="103"/>
      <c r="N21" s="53"/>
      <c r="O21" s="53"/>
      <c r="P21" s="53"/>
      <c r="Q21" s="53"/>
      <c r="R21" s="53"/>
      <c r="S21" s="53"/>
    </row>
    <row r="22" spans="2:19" ht="12.75" customHeight="1">
      <c r="B22" s="120" t="s">
        <v>192</v>
      </c>
      <c r="C22" s="165">
        <f>+AVERAGE(C19:C21)</f>
        <v>21.673477337413857</v>
      </c>
      <c r="D22" s="165">
        <f aca="true" t="shared" si="0" ref="D22:L22">+AVERAGE(D19:D21)</f>
        <v>14.050344782144832</v>
      </c>
      <c r="E22" s="165">
        <f t="shared" si="0"/>
        <v>22.84661354084668</v>
      </c>
      <c r="F22" s="165">
        <f t="shared" si="0"/>
        <v>16.45121101363745</v>
      </c>
      <c r="G22" s="165">
        <f t="shared" si="0"/>
        <v>17.374311810907116</v>
      </c>
      <c r="H22" s="165">
        <f t="shared" si="0"/>
        <v>16.487088698479585</v>
      </c>
      <c r="I22" s="165">
        <f t="shared" si="0"/>
        <v>20.268937451798454</v>
      </c>
      <c r="J22" s="165">
        <f t="shared" si="0"/>
        <v>21.915270141049046</v>
      </c>
      <c r="K22" s="165">
        <f t="shared" si="0"/>
        <v>30.53708116603606</v>
      </c>
      <c r="L22" s="165">
        <f t="shared" si="0"/>
        <v>9.12033478893741</v>
      </c>
      <c r="M22" s="102"/>
      <c r="N22" s="192"/>
      <c r="O22" s="53"/>
      <c r="P22" s="53"/>
      <c r="Q22" s="53"/>
      <c r="R22" s="53"/>
      <c r="S22" s="53"/>
    </row>
    <row r="23" spans="2:11" ht="12.75" customHeight="1">
      <c r="B23" s="29" t="s">
        <v>136</v>
      </c>
      <c r="C23" s="54"/>
      <c r="D23" s="54"/>
      <c r="E23" s="54"/>
      <c r="F23" s="54"/>
      <c r="G23" s="54"/>
      <c r="H23" s="54"/>
      <c r="I23" s="54"/>
      <c r="J23" s="54"/>
      <c r="K23" s="54"/>
    </row>
    <row r="24" spans="2:11" ht="12.75" customHeight="1">
      <c r="B24" s="248" t="s">
        <v>219</v>
      </c>
      <c r="C24" s="247"/>
      <c r="D24" s="247"/>
      <c r="E24" s="247"/>
      <c r="F24" s="247"/>
      <c r="G24" s="247"/>
      <c r="H24" s="54"/>
      <c r="I24" s="54"/>
      <c r="J24" s="54"/>
      <c r="K24" s="54"/>
    </row>
    <row r="25" spans="2:11" ht="12.75">
      <c r="B25" s="2"/>
      <c r="C25" s="2"/>
      <c r="D25" s="2"/>
      <c r="E25" s="2"/>
      <c r="F25" s="2"/>
      <c r="G25" s="2"/>
      <c r="H25" s="2"/>
      <c r="I25" s="2"/>
      <c r="J25" s="2"/>
      <c r="K25" s="2"/>
    </row>
    <row r="26" ht="12.75">
      <c r="Q26" s="2"/>
    </row>
    <row r="30" ht="12.75">
      <c r="P30" s="2"/>
    </row>
    <row r="45" ht="12.75">
      <c r="N45" s="2"/>
    </row>
    <row r="47" ht="12.75">
      <c r="B47" s="56" t="s">
        <v>167</v>
      </c>
    </row>
    <row r="50" spans="3:12" ht="12.75">
      <c r="C50" s="190"/>
      <c r="D50" s="190"/>
      <c r="E50" s="190"/>
      <c r="F50" s="190"/>
      <c r="G50" s="190"/>
      <c r="H50" s="190"/>
      <c r="I50" s="190"/>
      <c r="J50" s="190"/>
      <c r="K50" s="190"/>
      <c r="L50" s="190"/>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3"/>
  <sheetViews>
    <sheetView zoomScale="90" zoomScaleNormal="90" zoomScalePageLayoutView="0" workbookViewId="0" topLeftCell="A27">
      <selection activeCell="A1" sqref="A1:H35"/>
    </sheetView>
  </sheetViews>
  <sheetFormatPr defaultColWidth="11.421875" defaultRowHeight="15"/>
  <cols>
    <col min="1" max="1" width="1.1484375" style="39" customWidth="1"/>
    <col min="2" max="2" width="32.7109375" style="39" customWidth="1"/>
    <col min="3" max="5" width="30.7109375" style="39" customWidth="1"/>
    <col min="6" max="6" width="4.00390625" style="39" customWidth="1"/>
    <col min="7" max="7" width="9.57421875" style="39" customWidth="1"/>
    <col min="8" max="16384" width="11.421875" style="39" customWidth="1"/>
  </cols>
  <sheetData>
    <row r="1" ht="6.75" customHeight="1"/>
    <row r="2" spans="2:7" ht="12.75">
      <c r="B2" s="348" t="s">
        <v>242</v>
      </c>
      <c r="C2" s="348"/>
      <c r="D2" s="348"/>
      <c r="E2" s="348"/>
      <c r="G2" s="52" t="s">
        <v>158</v>
      </c>
    </row>
    <row r="3" spans="2:5" ht="12.75">
      <c r="B3" s="349" t="s">
        <v>228</v>
      </c>
      <c r="C3" s="349"/>
      <c r="D3" s="349"/>
      <c r="E3" s="349"/>
    </row>
    <row r="5" spans="3:5" ht="38.25">
      <c r="C5" s="270" t="s">
        <v>243</v>
      </c>
      <c r="D5" s="270" t="s">
        <v>244</v>
      </c>
      <c r="E5" s="270" t="s">
        <v>245</v>
      </c>
    </row>
    <row r="6" spans="2:5" ht="12.75">
      <c r="B6" s="271" t="s">
        <v>162</v>
      </c>
      <c r="C6" s="272">
        <v>26</v>
      </c>
      <c r="D6" s="272">
        <v>30</v>
      </c>
      <c r="E6" s="272">
        <v>30</v>
      </c>
    </row>
    <row r="7" spans="2:5" ht="12.75">
      <c r="B7" s="271" t="s">
        <v>229</v>
      </c>
      <c r="C7" s="273">
        <v>998000</v>
      </c>
      <c r="D7" s="273">
        <v>803000</v>
      </c>
      <c r="E7" s="273">
        <v>201000</v>
      </c>
    </row>
    <row r="8" spans="2:5" ht="12.75">
      <c r="B8" s="271" t="s">
        <v>230</v>
      </c>
      <c r="C8" s="273">
        <v>612000</v>
      </c>
      <c r="D8" s="273">
        <v>515000</v>
      </c>
      <c r="E8" s="273">
        <v>748000</v>
      </c>
    </row>
    <row r="9" spans="2:5" ht="12.75">
      <c r="B9" s="271" t="s">
        <v>231</v>
      </c>
      <c r="C9" s="273">
        <v>1718582</v>
      </c>
      <c r="D9" s="273">
        <v>1491125</v>
      </c>
      <c r="E9" s="273">
        <v>2071408</v>
      </c>
    </row>
    <row r="10" spans="2:5" ht="14.25">
      <c r="B10" s="274" t="s">
        <v>246</v>
      </c>
      <c r="C10" s="273">
        <v>124821.82499999998</v>
      </c>
      <c r="D10" s="273">
        <v>266867</v>
      </c>
      <c r="E10" s="273">
        <v>286939</v>
      </c>
    </row>
    <row r="11" spans="2:5" ht="12.75">
      <c r="B11" s="275" t="s">
        <v>232</v>
      </c>
      <c r="C11" s="276">
        <f>SUM(C7:C10)</f>
        <v>3453403.825</v>
      </c>
      <c r="D11" s="276">
        <f>SUM(D7:D10)</f>
        <v>3075992</v>
      </c>
      <c r="E11" s="276">
        <f>SUM(E7:E10)</f>
        <v>3307347</v>
      </c>
    </row>
    <row r="12" spans="2:5" ht="16.5" customHeight="1">
      <c r="B12" s="271" t="s">
        <v>251</v>
      </c>
      <c r="C12" s="300">
        <f>+AVERAGE('precio mayorista3'!F14:F35)/50</f>
        <v>203.04153571428574</v>
      </c>
      <c r="D12" s="300">
        <f>+AVERAGE('precio mayorista3'!H14:H35)/50</f>
        <v>191.68739999999997</v>
      </c>
      <c r="E12" s="300">
        <f>+AVERAGE('precio mayorista3'!I14:J35)/50</f>
        <v>198.18574516129033</v>
      </c>
    </row>
    <row r="13" spans="2:5" ht="12.75">
      <c r="B13" s="277" t="s">
        <v>233</v>
      </c>
      <c r="C13" s="276">
        <f>C12*C6*1000</f>
        <v>5279079.928571429</v>
      </c>
      <c r="D13" s="276">
        <f>D12*D6*1000</f>
        <v>5750621.999999999</v>
      </c>
      <c r="E13" s="276">
        <f>E12*E6*1000</f>
        <v>5945572.354838709</v>
      </c>
    </row>
    <row r="14" spans="2:5" ht="12.75">
      <c r="B14" s="277" t="s">
        <v>234</v>
      </c>
      <c r="C14" s="278">
        <f>C13-C11</f>
        <v>1825676.103571429</v>
      </c>
      <c r="D14" s="278">
        <f>D13-D11</f>
        <v>2674629.999999999</v>
      </c>
      <c r="E14" s="278">
        <f>E13-E11</f>
        <v>2638225.3548387093</v>
      </c>
    </row>
    <row r="15" spans="2:5" ht="12.75">
      <c r="B15" s="279"/>
      <c r="C15" s="280"/>
      <c r="D15" s="280"/>
      <c r="E15" s="280"/>
    </row>
    <row r="16" spans="2:5" ht="26.25" customHeight="1">
      <c r="B16" s="347" t="s">
        <v>247</v>
      </c>
      <c r="C16" s="347"/>
      <c r="D16" s="347"/>
      <c r="E16" s="347"/>
    </row>
    <row r="17" spans="2:5" ht="14.25">
      <c r="B17" s="350" t="s">
        <v>235</v>
      </c>
      <c r="C17" s="352" t="s">
        <v>248</v>
      </c>
      <c r="D17" s="353"/>
      <c r="E17" s="354"/>
    </row>
    <row r="18" spans="2:5" ht="12.75">
      <c r="B18" s="351"/>
      <c r="C18" s="281">
        <v>170</v>
      </c>
      <c r="D18" s="281">
        <v>180</v>
      </c>
      <c r="E18" s="281">
        <v>190</v>
      </c>
    </row>
    <row r="19" spans="2:5" ht="12.75">
      <c r="B19" s="282">
        <v>23400</v>
      </c>
      <c r="C19" s="288">
        <f aca="true" t="shared" si="0" ref="C19:E21">+$B19*C$18-$C$11</f>
        <v>524596.1749999998</v>
      </c>
      <c r="D19" s="288">
        <f t="shared" si="0"/>
        <v>758596.1749999998</v>
      </c>
      <c r="E19" s="288">
        <f t="shared" si="0"/>
        <v>992596.1749999998</v>
      </c>
    </row>
    <row r="20" spans="2:5" ht="12.75">
      <c r="B20" s="282">
        <v>26000</v>
      </c>
      <c r="C20" s="288">
        <f t="shared" si="0"/>
        <v>966596.1749999998</v>
      </c>
      <c r="D20" s="288">
        <f t="shared" si="0"/>
        <v>1226596.1749999998</v>
      </c>
      <c r="E20" s="288">
        <f t="shared" si="0"/>
        <v>1486596.1749999998</v>
      </c>
    </row>
    <row r="21" spans="2:5" ht="12.75">
      <c r="B21" s="282">
        <v>28600</v>
      </c>
      <c r="C21" s="288">
        <f t="shared" si="0"/>
        <v>1408596.1749999998</v>
      </c>
      <c r="D21" s="288">
        <f t="shared" si="0"/>
        <v>1694596.1749999998</v>
      </c>
      <c r="E21" s="288">
        <f t="shared" si="0"/>
        <v>1980596.1749999998</v>
      </c>
    </row>
    <row r="22" spans="2:5" ht="12.75">
      <c r="B22" s="285"/>
      <c r="C22" s="286"/>
      <c r="D22" s="286"/>
      <c r="E22" s="286"/>
    </row>
    <row r="23" spans="2:5" ht="15" customHeight="1">
      <c r="B23" s="347" t="s">
        <v>257</v>
      </c>
      <c r="C23" s="347"/>
      <c r="D23" s="347"/>
      <c r="E23" s="347"/>
    </row>
    <row r="24" spans="2:5" ht="12.75">
      <c r="B24" s="289" t="s">
        <v>250</v>
      </c>
      <c r="C24" s="287">
        <v>23400</v>
      </c>
      <c r="D24" s="287">
        <v>26000</v>
      </c>
      <c r="E24" s="287">
        <v>28600</v>
      </c>
    </row>
    <row r="25" spans="2:5" ht="12.75">
      <c r="B25" s="289" t="s">
        <v>255</v>
      </c>
      <c r="C25" s="288">
        <f>+$C11/C24</f>
        <v>147.58136004273504</v>
      </c>
      <c r="D25" s="288">
        <f>+$C11/D24</f>
        <v>132.82322403846155</v>
      </c>
      <c r="E25" s="288">
        <f>+$C11/E24</f>
        <v>120.7483854895105</v>
      </c>
    </row>
    <row r="26" spans="2:5" ht="12.75">
      <c r="B26" s="283" t="s">
        <v>249</v>
      </c>
      <c r="C26" s="283"/>
      <c r="D26" s="283"/>
      <c r="E26" s="283"/>
    </row>
    <row r="27" spans="2:5" ht="12.75">
      <c r="B27" s="284" t="s">
        <v>236</v>
      </c>
      <c r="C27" s="284"/>
      <c r="D27" s="284"/>
      <c r="E27" s="284"/>
    </row>
    <row r="28" spans="2:5" ht="12.75">
      <c r="B28" s="346" t="s">
        <v>253</v>
      </c>
      <c r="C28" s="346"/>
      <c r="D28" s="346"/>
      <c r="E28" s="346"/>
    </row>
    <row r="29" spans="2:5" ht="12.75">
      <c r="B29" s="346" t="s">
        <v>237</v>
      </c>
      <c r="C29" s="346"/>
      <c r="D29" s="346"/>
      <c r="E29" s="346"/>
    </row>
    <row r="30" spans="2:5" ht="12.75">
      <c r="B30" s="346" t="s">
        <v>256</v>
      </c>
      <c r="C30" s="346"/>
      <c r="D30" s="346"/>
      <c r="E30" s="346"/>
    </row>
    <row r="31" spans="2:5" ht="12.75">
      <c r="B31" s="346" t="s">
        <v>254</v>
      </c>
      <c r="C31" s="346"/>
      <c r="D31" s="346"/>
      <c r="E31" s="346"/>
    </row>
    <row r="32" spans="2:5" ht="12.75">
      <c r="B32" s="346" t="s">
        <v>238</v>
      </c>
      <c r="C32" s="346"/>
      <c r="D32" s="346"/>
      <c r="E32" s="346"/>
    </row>
    <row r="33" spans="2:5" ht="12.75">
      <c r="B33" s="346" t="s">
        <v>252</v>
      </c>
      <c r="C33" s="346"/>
      <c r="D33" s="346"/>
      <c r="E33" s="346"/>
    </row>
  </sheetData>
  <sheetProtection/>
  <mergeCells count="12">
    <mergeCell ref="B23:E23"/>
    <mergeCell ref="B31:E31"/>
    <mergeCell ref="B2:E2"/>
    <mergeCell ref="B3:E3"/>
    <mergeCell ref="B16:E16"/>
    <mergeCell ref="B17:B18"/>
    <mergeCell ref="C17:E17"/>
    <mergeCell ref="B33:E33"/>
    <mergeCell ref="B28:E28"/>
    <mergeCell ref="B29:E29"/>
    <mergeCell ref="B30:E30"/>
    <mergeCell ref="B32:E32"/>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59" r:id="rId1"/>
</worksheet>
</file>

<file path=xl/worksheets/sheet16.xml><?xml version="1.0" encoding="utf-8"?>
<worksheet xmlns="http://schemas.openxmlformats.org/spreadsheetml/2006/main" xmlns:r="http://schemas.openxmlformats.org/officeDocument/2006/relationships">
  <sheetPr>
    <pageSetUpPr fitToPage="1"/>
  </sheetPr>
  <dimension ref="B2:S36"/>
  <sheetViews>
    <sheetView zoomScale="80" zoomScaleNormal="80" zoomScalePageLayoutView="70" workbookViewId="0" topLeftCell="A1">
      <selection activeCell="A1" sqref="A1"/>
    </sheetView>
  </sheetViews>
  <sheetFormatPr defaultColWidth="10.8515625" defaultRowHeight="15"/>
  <cols>
    <col min="1" max="1" width="1.421875" style="39" customWidth="1"/>
    <col min="2" max="2" width="15.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13.57421875" style="197" customWidth="1"/>
    <col min="15" max="18" width="10.8515625" style="230" hidden="1" customWidth="1"/>
    <col min="19" max="19" width="10.8515625" style="197" customWidth="1"/>
    <col min="20" max="16384" width="10.8515625" style="39" customWidth="1"/>
  </cols>
  <sheetData>
    <row r="1" ht="5.25" customHeight="1"/>
    <row r="2" spans="2:13" ht="12.75">
      <c r="B2" s="361" t="s">
        <v>239</v>
      </c>
      <c r="C2" s="362"/>
      <c r="D2" s="362"/>
      <c r="E2" s="362"/>
      <c r="F2" s="362"/>
      <c r="G2" s="362"/>
      <c r="H2" s="362"/>
      <c r="I2" s="362"/>
      <c r="J2" s="362"/>
      <c r="K2" s="363"/>
      <c r="L2" s="135"/>
      <c r="M2" s="52" t="s">
        <v>158</v>
      </c>
    </row>
    <row r="3" spans="2:12" ht="12.75">
      <c r="B3" s="367" t="s">
        <v>72</v>
      </c>
      <c r="C3" s="368" t="s">
        <v>73</v>
      </c>
      <c r="D3" s="364" t="s">
        <v>74</v>
      </c>
      <c r="E3" s="365"/>
      <c r="F3" s="365"/>
      <c r="G3" s="366"/>
      <c r="H3" s="364" t="s">
        <v>75</v>
      </c>
      <c r="I3" s="365"/>
      <c r="J3" s="365"/>
      <c r="K3" s="366"/>
      <c r="L3" s="135"/>
    </row>
    <row r="4" spans="2:18" ht="27.75" customHeight="1">
      <c r="B4" s="367"/>
      <c r="C4" s="368"/>
      <c r="D4" s="40" t="s">
        <v>204</v>
      </c>
      <c r="E4" s="41" t="s">
        <v>258</v>
      </c>
      <c r="F4" s="41" t="s">
        <v>259</v>
      </c>
      <c r="G4" s="42" t="s">
        <v>45</v>
      </c>
      <c r="H4" s="40" t="str">
        <f>+D4</f>
        <v>2015</v>
      </c>
      <c r="I4" s="43" t="str">
        <f>+E4</f>
        <v>ene-may 2015</v>
      </c>
      <c r="J4" s="43" t="str">
        <f>+F4</f>
        <v>ene-may 2016</v>
      </c>
      <c r="K4" s="44" t="s">
        <v>45</v>
      </c>
      <c r="L4" s="136"/>
      <c r="M4" s="48"/>
      <c r="O4" s="249" t="s">
        <v>205</v>
      </c>
      <c r="P4" s="249" t="s">
        <v>199</v>
      </c>
      <c r="Q4" s="249" t="s">
        <v>213</v>
      </c>
      <c r="R4" s="249" t="s">
        <v>214</v>
      </c>
    </row>
    <row r="5" spans="2:19" ht="12.75" customHeight="1">
      <c r="B5" s="355" t="s">
        <v>92</v>
      </c>
      <c r="C5" s="77" t="s">
        <v>80</v>
      </c>
      <c r="D5" s="45">
        <v>384050.24</v>
      </c>
      <c r="E5" s="46">
        <v>68694.08</v>
      </c>
      <c r="F5" s="46">
        <v>285174.12</v>
      </c>
      <c r="G5" s="47">
        <v>315.13638438712616</v>
      </c>
      <c r="H5" s="45">
        <v>2511736.37</v>
      </c>
      <c r="I5" s="46">
        <v>444530.56</v>
      </c>
      <c r="J5" s="46">
        <v>1740825.68</v>
      </c>
      <c r="K5" s="47">
        <v>291.6098996658407</v>
      </c>
      <c r="L5" s="137"/>
      <c r="O5" s="236">
        <f>+F5-E5</f>
        <v>216480.03999999998</v>
      </c>
      <c r="P5" s="236">
        <f>+J5-I5</f>
        <v>1296295.1199999999</v>
      </c>
      <c r="Q5" s="250">
        <f>+IF(E5=0,"",I5/E5)</f>
        <v>6.471162580530957</v>
      </c>
      <c r="R5" s="250">
        <f>+IF(F5=0,"",J5/F5)</f>
        <v>6.10443079477198</v>
      </c>
      <c r="S5" s="228"/>
    </row>
    <row r="6" spans="2:19" ht="12.75">
      <c r="B6" s="356"/>
      <c r="C6" s="107" t="s">
        <v>93</v>
      </c>
      <c r="D6" s="49">
        <v>217167.83</v>
      </c>
      <c r="E6" s="50">
        <v>111020.76</v>
      </c>
      <c r="F6" s="50">
        <v>59781.93</v>
      </c>
      <c r="G6" s="51">
        <v>-46.15247634766687</v>
      </c>
      <c r="H6" s="49">
        <v>850841.11</v>
      </c>
      <c r="I6" s="50">
        <v>459840.35</v>
      </c>
      <c r="J6" s="50">
        <v>219747.91</v>
      </c>
      <c r="K6" s="51">
        <v>-52.21212970980036</v>
      </c>
      <c r="L6" s="137"/>
      <c r="O6" s="236">
        <f aca="true" t="shared" si="0" ref="O6:O35">+F6-E6</f>
        <v>-51238.829999999994</v>
      </c>
      <c r="P6" s="236">
        <f aca="true" t="shared" si="1" ref="P6:P35">+J6-I6</f>
        <v>-240092.43999999997</v>
      </c>
      <c r="Q6" s="250">
        <f aca="true" t="shared" si="2" ref="Q6:Q35">+IF(E6=0,"",I6/E6)</f>
        <v>4.14193120277685</v>
      </c>
      <c r="R6" s="250">
        <f aca="true" t="shared" si="3" ref="R6:R35">+IF(F6=0,"",J6/F6)</f>
        <v>3.6758249524563693</v>
      </c>
      <c r="S6" s="228"/>
    </row>
    <row r="7" spans="2:19" ht="12.75" customHeight="1">
      <c r="B7" s="356"/>
      <c r="C7" s="107" t="s">
        <v>91</v>
      </c>
      <c r="D7" s="49">
        <v>18144.63</v>
      </c>
      <c r="E7" s="50">
        <v>5265.92</v>
      </c>
      <c r="F7" s="50">
        <v>9134.16</v>
      </c>
      <c r="G7" s="51">
        <v>73.45800923675255</v>
      </c>
      <c r="H7" s="49">
        <v>105131.04</v>
      </c>
      <c r="I7" s="50">
        <v>33391.29</v>
      </c>
      <c r="J7" s="50">
        <v>65661.74</v>
      </c>
      <c r="K7" s="51">
        <v>96.6433162660083</v>
      </c>
      <c r="L7" s="137"/>
      <c r="O7" s="236">
        <f t="shared" si="0"/>
        <v>3868.24</v>
      </c>
      <c r="P7" s="236">
        <f t="shared" si="1"/>
        <v>32270.450000000004</v>
      </c>
      <c r="Q7" s="250">
        <f t="shared" si="2"/>
        <v>6.3410173341030625</v>
      </c>
      <c r="R7" s="250">
        <f t="shared" si="3"/>
        <v>7.1885909596503685</v>
      </c>
      <c r="S7" s="228"/>
    </row>
    <row r="8" spans="2:19" ht="12.75" customHeight="1">
      <c r="B8" s="356"/>
      <c r="C8" s="107" t="s">
        <v>78</v>
      </c>
      <c r="D8" s="49">
        <v>7991.14</v>
      </c>
      <c r="E8" s="50">
        <v>2587.9</v>
      </c>
      <c r="F8" s="50">
        <v>3346.56</v>
      </c>
      <c r="G8" s="51">
        <v>29.315661347038137</v>
      </c>
      <c r="H8" s="49">
        <v>50755.05</v>
      </c>
      <c r="I8" s="50">
        <v>9589.1</v>
      </c>
      <c r="J8" s="50">
        <v>29651.52</v>
      </c>
      <c r="K8" s="51">
        <v>209.22109478470347</v>
      </c>
      <c r="L8" s="137"/>
      <c r="O8" s="236">
        <f t="shared" si="0"/>
        <v>758.6599999999999</v>
      </c>
      <c r="P8" s="236">
        <f t="shared" si="1"/>
        <v>20062.42</v>
      </c>
      <c r="Q8" s="250">
        <f t="shared" si="2"/>
        <v>3.7053595579427334</v>
      </c>
      <c r="R8" s="250">
        <f t="shared" si="3"/>
        <v>8.86029833620195</v>
      </c>
      <c r="S8" s="228"/>
    </row>
    <row r="9" spans="2:19" ht="12.75">
      <c r="B9" s="356"/>
      <c r="C9" s="107" t="s">
        <v>88</v>
      </c>
      <c r="D9" s="49">
        <v>3841.6</v>
      </c>
      <c r="E9" s="50">
        <v>1058.4</v>
      </c>
      <c r="F9" s="50">
        <v>121.52</v>
      </c>
      <c r="G9" s="51">
        <v>-88.51851851851852</v>
      </c>
      <c r="H9" s="49">
        <v>26718.37</v>
      </c>
      <c r="I9" s="50">
        <v>7350.29</v>
      </c>
      <c r="J9" s="50">
        <v>851.16</v>
      </c>
      <c r="K9" s="51">
        <v>-88.42004873277108</v>
      </c>
      <c r="L9" s="137"/>
      <c r="O9" s="236">
        <f t="shared" si="0"/>
        <v>-936.8800000000001</v>
      </c>
      <c r="P9" s="236">
        <f t="shared" si="1"/>
        <v>-6499.13</v>
      </c>
      <c r="Q9" s="250">
        <f t="shared" si="2"/>
        <v>6.944718442932728</v>
      </c>
      <c r="R9" s="250">
        <f t="shared" si="3"/>
        <v>7.004279131007242</v>
      </c>
      <c r="S9" s="228"/>
    </row>
    <row r="10" spans="2:19" ht="12.75">
      <c r="B10" s="356"/>
      <c r="C10" s="107" t="s">
        <v>96</v>
      </c>
      <c r="D10" s="49">
        <v>826.4</v>
      </c>
      <c r="E10" s="50">
        <v>0</v>
      </c>
      <c r="F10" s="50">
        <v>0</v>
      </c>
      <c r="G10" s="51" t="s">
        <v>153</v>
      </c>
      <c r="H10" s="49">
        <v>4804.8</v>
      </c>
      <c r="I10" s="50">
        <v>0</v>
      </c>
      <c r="J10" s="50">
        <v>0</v>
      </c>
      <c r="K10" s="51" t="s">
        <v>153</v>
      </c>
      <c r="L10" s="137"/>
      <c r="O10" s="236">
        <f t="shared" si="0"/>
        <v>0</v>
      </c>
      <c r="P10" s="236">
        <f t="shared" si="1"/>
        <v>0</v>
      </c>
      <c r="Q10" s="250">
        <f t="shared" si="2"/>
      </c>
      <c r="R10" s="250">
        <f t="shared" si="3"/>
      </c>
      <c r="S10" s="228"/>
    </row>
    <row r="11" spans="2:19" ht="12.75">
      <c r="B11" s="356"/>
      <c r="C11" s="107" t="s">
        <v>191</v>
      </c>
      <c r="D11" s="49">
        <v>509.6</v>
      </c>
      <c r="E11" s="50">
        <v>0</v>
      </c>
      <c r="F11" s="50">
        <v>58.8</v>
      </c>
      <c r="G11" s="51" t="s">
        <v>153</v>
      </c>
      <c r="H11" s="49">
        <v>3562</v>
      </c>
      <c r="I11" s="50">
        <v>0</v>
      </c>
      <c r="J11" s="50">
        <v>411</v>
      </c>
      <c r="K11" s="51" t="s">
        <v>153</v>
      </c>
      <c r="L11" s="137"/>
      <c r="O11" s="236">
        <f t="shared" si="0"/>
        <v>58.8</v>
      </c>
      <c r="P11" s="236">
        <f t="shared" si="1"/>
        <v>411</v>
      </c>
      <c r="Q11" s="250">
        <f t="shared" si="2"/>
      </c>
      <c r="R11" s="250">
        <f t="shared" si="3"/>
        <v>6.9897959183673475</v>
      </c>
      <c r="S11" s="228"/>
    </row>
    <row r="12" spans="2:19" ht="12.75">
      <c r="B12" s="356"/>
      <c r="C12" s="107" t="s">
        <v>122</v>
      </c>
      <c r="D12" s="49">
        <v>104.2</v>
      </c>
      <c r="E12" s="50">
        <v>2.9</v>
      </c>
      <c r="F12" s="50">
        <v>205.6</v>
      </c>
      <c r="G12" s="51">
        <v>6989.6551724137935</v>
      </c>
      <c r="H12" s="49">
        <v>1514.68</v>
      </c>
      <c r="I12" s="50">
        <v>48.72</v>
      </c>
      <c r="J12" s="50">
        <v>2159.7</v>
      </c>
      <c r="K12" s="51">
        <v>4332.8817733990145</v>
      </c>
      <c r="L12" s="137"/>
      <c r="O12" s="236">
        <f t="shared" si="0"/>
        <v>202.7</v>
      </c>
      <c r="P12" s="236">
        <f t="shared" si="1"/>
        <v>2110.98</v>
      </c>
      <c r="Q12" s="250">
        <f t="shared" si="2"/>
        <v>16.8</v>
      </c>
      <c r="R12" s="250">
        <f t="shared" si="3"/>
        <v>10.504377431906613</v>
      </c>
      <c r="S12" s="228"/>
    </row>
    <row r="13" spans="2:19" ht="12.75">
      <c r="B13" s="356"/>
      <c r="C13" s="107" t="s">
        <v>187</v>
      </c>
      <c r="D13" s="49">
        <v>25.56</v>
      </c>
      <c r="E13" s="50">
        <v>25.56</v>
      </c>
      <c r="F13" s="50">
        <v>0</v>
      </c>
      <c r="G13" s="51">
        <v>-100</v>
      </c>
      <c r="H13" s="49">
        <v>648</v>
      </c>
      <c r="I13" s="50">
        <v>648</v>
      </c>
      <c r="J13" s="50">
        <v>0</v>
      </c>
      <c r="K13" s="51">
        <v>-100</v>
      </c>
      <c r="L13" s="138"/>
      <c r="O13" s="236">
        <f t="shared" si="0"/>
        <v>-25.56</v>
      </c>
      <c r="P13" s="236">
        <f t="shared" si="1"/>
        <v>-648</v>
      </c>
      <c r="Q13" s="250">
        <f t="shared" si="2"/>
        <v>25.35211267605634</v>
      </c>
      <c r="R13" s="250">
        <f t="shared" si="3"/>
      </c>
      <c r="S13" s="228"/>
    </row>
    <row r="14" spans="2:19" ht="12.75" customHeight="1">
      <c r="B14" s="356"/>
      <c r="C14" s="107" t="s">
        <v>104</v>
      </c>
      <c r="D14" s="49">
        <v>20</v>
      </c>
      <c r="E14" s="50">
        <v>20</v>
      </c>
      <c r="F14" s="50">
        <v>0</v>
      </c>
      <c r="G14" s="51">
        <v>-100</v>
      </c>
      <c r="H14" s="49">
        <v>100</v>
      </c>
      <c r="I14" s="50">
        <v>100</v>
      </c>
      <c r="J14" s="50">
        <v>0</v>
      </c>
      <c r="K14" s="51">
        <v>-100</v>
      </c>
      <c r="L14" s="137"/>
      <c r="O14" s="236">
        <f t="shared" si="0"/>
        <v>-20</v>
      </c>
      <c r="P14" s="236">
        <f t="shared" si="1"/>
        <v>-100</v>
      </c>
      <c r="Q14" s="250">
        <f t="shared" si="2"/>
        <v>5</v>
      </c>
      <c r="R14" s="250">
        <f t="shared" si="3"/>
      </c>
      <c r="S14" s="228"/>
    </row>
    <row r="15" spans="2:19" ht="12.75">
      <c r="B15" s="154" t="s">
        <v>115</v>
      </c>
      <c r="C15" s="155"/>
      <c r="D15" s="72">
        <v>632681.2000000001</v>
      </c>
      <c r="E15" s="73">
        <v>188675.51999999996</v>
      </c>
      <c r="F15" s="73">
        <v>357822.68999999994</v>
      </c>
      <c r="G15" s="74">
        <v>89.64977014506175</v>
      </c>
      <c r="H15" s="73">
        <v>3555811.42</v>
      </c>
      <c r="I15" s="73">
        <v>955498.3099999998</v>
      </c>
      <c r="J15" s="73">
        <v>2059308.7099999997</v>
      </c>
      <c r="K15" s="74">
        <v>115.52196256631788</v>
      </c>
      <c r="L15" s="138"/>
      <c r="O15" s="236">
        <f t="shared" si="0"/>
        <v>169147.16999999998</v>
      </c>
      <c r="P15" s="236">
        <f t="shared" si="1"/>
        <v>1103810.4</v>
      </c>
      <c r="Q15" s="250">
        <f t="shared" si="2"/>
        <v>5.064241031374924</v>
      </c>
      <c r="R15" s="250">
        <f t="shared" si="3"/>
        <v>5.755109353182718</v>
      </c>
      <c r="S15" s="228"/>
    </row>
    <row r="16" spans="2:19" ht="12.75" customHeight="1">
      <c r="B16" s="355" t="s">
        <v>133</v>
      </c>
      <c r="C16" s="75" t="s">
        <v>77</v>
      </c>
      <c r="D16" s="45">
        <v>550000</v>
      </c>
      <c r="E16" s="46">
        <v>0</v>
      </c>
      <c r="F16" s="46">
        <v>75000</v>
      </c>
      <c r="G16" s="47" t="s">
        <v>153</v>
      </c>
      <c r="H16" s="46">
        <v>560050</v>
      </c>
      <c r="I16" s="46">
        <v>0</v>
      </c>
      <c r="J16" s="46">
        <v>75000</v>
      </c>
      <c r="K16" s="47" t="s">
        <v>153</v>
      </c>
      <c r="L16" s="137"/>
      <c r="O16" s="236">
        <f t="shared" si="0"/>
        <v>75000</v>
      </c>
      <c r="P16" s="236">
        <f t="shared" si="1"/>
        <v>75000</v>
      </c>
      <c r="Q16" s="250">
        <f t="shared" si="2"/>
      </c>
      <c r="R16" s="250">
        <f t="shared" si="3"/>
        <v>1</v>
      </c>
      <c r="S16" s="228"/>
    </row>
    <row r="17" spans="2:19" ht="12.75">
      <c r="B17" s="356"/>
      <c r="C17" s="76" t="s">
        <v>83</v>
      </c>
      <c r="D17" s="49">
        <v>192000</v>
      </c>
      <c r="E17" s="50">
        <v>0</v>
      </c>
      <c r="F17" s="50">
        <v>0</v>
      </c>
      <c r="G17" s="51" t="s">
        <v>153</v>
      </c>
      <c r="H17" s="50">
        <v>220800</v>
      </c>
      <c r="I17" s="50">
        <v>0</v>
      </c>
      <c r="J17" s="50">
        <v>0</v>
      </c>
      <c r="K17" s="51" t="s">
        <v>153</v>
      </c>
      <c r="L17" s="137"/>
      <c r="O17" s="236">
        <f t="shared" si="0"/>
        <v>0</v>
      </c>
      <c r="P17" s="236">
        <f t="shared" si="1"/>
        <v>0</v>
      </c>
      <c r="Q17" s="250">
        <f t="shared" si="2"/>
      </c>
      <c r="R17" s="250">
        <f t="shared" si="3"/>
      </c>
      <c r="S17" s="228"/>
    </row>
    <row r="18" spans="2:19" ht="12.75">
      <c r="B18" s="154" t="s">
        <v>134</v>
      </c>
      <c r="C18" s="155"/>
      <c r="D18" s="72">
        <v>742000</v>
      </c>
      <c r="E18" s="73">
        <v>0</v>
      </c>
      <c r="F18" s="73">
        <v>75000</v>
      </c>
      <c r="G18" s="47" t="s">
        <v>153</v>
      </c>
      <c r="H18" s="73">
        <v>780850</v>
      </c>
      <c r="I18" s="73">
        <v>0</v>
      </c>
      <c r="J18" s="73">
        <v>75000</v>
      </c>
      <c r="K18" s="47" t="s">
        <v>153</v>
      </c>
      <c r="L18" s="137"/>
      <c r="O18" s="236">
        <f t="shared" si="0"/>
        <v>75000</v>
      </c>
      <c r="P18" s="236">
        <f t="shared" si="1"/>
        <v>75000</v>
      </c>
      <c r="Q18" s="250">
        <f t="shared" si="2"/>
      </c>
      <c r="R18" s="250">
        <f t="shared" si="3"/>
        <v>1</v>
      </c>
      <c r="S18" s="228"/>
    </row>
    <row r="19" spans="2:19" ht="12.75">
      <c r="B19" s="355" t="s">
        <v>87</v>
      </c>
      <c r="C19" s="75" t="s">
        <v>93</v>
      </c>
      <c r="D19" s="45">
        <v>222000</v>
      </c>
      <c r="E19" s="46">
        <v>197375</v>
      </c>
      <c r="F19" s="46">
        <v>0</v>
      </c>
      <c r="G19" s="47">
        <v>-100</v>
      </c>
      <c r="H19" s="46">
        <v>148108.2</v>
      </c>
      <c r="I19" s="46">
        <v>132348.2</v>
      </c>
      <c r="J19" s="46">
        <v>0</v>
      </c>
      <c r="K19" s="47">
        <v>-100</v>
      </c>
      <c r="L19" s="137"/>
      <c r="O19" s="236">
        <f t="shared" si="0"/>
        <v>-197375</v>
      </c>
      <c r="P19" s="236">
        <f t="shared" si="1"/>
        <v>-132348.2</v>
      </c>
      <c r="Q19" s="250">
        <f t="shared" si="2"/>
        <v>0.6705418619379354</v>
      </c>
      <c r="R19" s="250">
        <f t="shared" si="3"/>
      </c>
      <c r="S19" s="228"/>
    </row>
    <row r="20" spans="2:19" ht="12.75">
      <c r="B20" s="356"/>
      <c r="C20" s="76" t="s">
        <v>122</v>
      </c>
      <c r="D20" s="49">
        <v>600</v>
      </c>
      <c r="E20" s="50">
        <v>600</v>
      </c>
      <c r="F20" s="50">
        <v>300</v>
      </c>
      <c r="G20" s="51">
        <v>-50</v>
      </c>
      <c r="H20" s="50">
        <v>1092</v>
      </c>
      <c r="I20" s="50">
        <v>1092</v>
      </c>
      <c r="J20" s="50">
        <v>297</v>
      </c>
      <c r="K20" s="51">
        <v>-72.80219780219781</v>
      </c>
      <c r="L20" s="137"/>
      <c r="O20" s="236">
        <f t="shared" si="0"/>
        <v>-300</v>
      </c>
      <c r="P20" s="236">
        <f t="shared" si="1"/>
        <v>-795</v>
      </c>
      <c r="Q20" s="250">
        <f t="shared" si="2"/>
        <v>1.82</v>
      </c>
      <c r="R20" s="250">
        <f t="shared" si="3"/>
        <v>0.99</v>
      </c>
      <c r="S20" s="228"/>
    </row>
    <row r="21" spans="2:19" ht="12.75">
      <c r="B21" s="356"/>
      <c r="C21" s="76" t="s">
        <v>80</v>
      </c>
      <c r="D21" s="49">
        <v>0</v>
      </c>
      <c r="E21" s="50">
        <v>0</v>
      </c>
      <c r="F21" s="50">
        <v>112000</v>
      </c>
      <c r="G21" s="51" t="s">
        <v>153</v>
      </c>
      <c r="H21" s="50">
        <v>0</v>
      </c>
      <c r="I21" s="50">
        <v>0</v>
      </c>
      <c r="J21" s="50">
        <v>28000</v>
      </c>
      <c r="K21" s="51" t="s">
        <v>153</v>
      </c>
      <c r="L21" s="138"/>
      <c r="O21" s="236">
        <f t="shared" si="0"/>
        <v>112000</v>
      </c>
      <c r="P21" s="236">
        <f t="shared" si="1"/>
        <v>28000</v>
      </c>
      <c r="Q21" s="250">
        <f t="shared" si="2"/>
      </c>
      <c r="R21" s="250">
        <f t="shared" si="3"/>
        <v>0.25</v>
      </c>
      <c r="S21" s="228"/>
    </row>
    <row r="22" spans="2:19" ht="12.75" customHeight="1">
      <c r="B22" s="360"/>
      <c r="C22" s="76" t="s">
        <v>77</v>
      </c>
      <c r="D22" s="49">
        <v>0</v>
      </c>
      <c r="E22" s="50">
        <v>0</v>
      </c>
      <c r="F22" s="50">
        <v>593600</v>
      </c>
      <c r="G22" s="51" t="s">
        <v>153</v>
      </c>
      <c r="H22" s="50">
        <v>0</v>
      </c>
      <c r="I22" s="50">
        <v>0</v>
      </c>
      <c r="J22" s="50">
        <v>213128</v>
      </c>
      <c r="K22" s="51" t="s">
        <v>153</v>
      </c>
      <c r="L22" s="137"/>
      <c r="O22" s="236">
        <f t="shared" si="0"/>
        <v>593600</v>
      </c>
      <c r="P22" s="236">
        <f t="shared" si="1"/>
        <v>213128</v>
      </c>
      <c r="Q22" s="250">
        <f t="shared" si="2"/>
      </c>
      <c r="R22" s="250">
        <f t="shared" si="3"/>
        <v>0.3590431266846361</v>
      </c>
      <c r="S22" s="228"/>
    </row>
    <row r="23" spans="2:19" ht="12.75">
      <c r="B23" s="154" t="s">
        <v>119</v>
      </c>
      <c r="C23" s="155"/>
      <c r="D23" s="72">
        <v>222600</v>
      </c>
      <c r="E23" s="73">
        <v>197975</v>
      </c>
      <c r="F23" s="110">
        <v>705900</v>
      </c>
      <c r="G23" s="74">
        <v>256.5601717388559</v>
      </c>
      <c r="H23" s="73">
        <v>149200.2</v>
      </c>
      <c r="I23" s="73">
        <v>133440.2</v>
      </c>
      <c r="J23" s="73">
        <v>241425</v>
      </c>
      <c r="K23" s="74">
        <v>80.9237396226924</v>
      </c>
      <c r="L23" s="137"/>
      <c r="O23" s="236">
        <f t="shared" si="0"/>
        <v>507925</v>
      </c>
      <c r="P23" s="236">
        <f t="shared" si="1"/>
        <v>107984.79999999999</v>
      </c>
      <c r="Q23" s="250">
        <f t="shared" si="2"/>
        <v>0.6740255082712464</v>
      </c>
      <c r="R23" s="250">
        <f t="shared" si="3"/>
        <v>0.34201019974500635</v>
      </c>
      <c r="S23" s="228"/>
    </row>
    <row r="24" spans="2:19" ht="12.75" customHeight="1">
      <c r="B24" s="355" t="s">
        <v>76</v>
      </c>
      <c r="C24" s="75" t="s">
        <v>81</v>
      </c>
      <c r="D24" s="45">
        <v>24815.5</v>
      </c>
      <c r="E24" s="46">
        <v>10459</v>
      </c>
      <c r="F24" s="46">
        <v>10305</v>
      </c>
      <c r="G24" s="47">
        <v>-1.4724161009656789</v>
      </c>
      <c r="H24" s="46">
        <v>59166.14</v>
      </c>
      <c r="I24" s="46">
        <v>24023.92</v>
      </c>
      <c r="J24" s="46">
        <v>20535</v>
      </c>
      <c r="K24" s="47">
        <v>-14.522692383258018</v>
      </c>
      <c r="L24" s="137"/>
      <c r="O24" s="236">
        <f t="shared" si="0"/>
        <v>-154</v>
      </c>
      <c r="P24" s="236">
        <f t="shared" si="1"/>
        <v>-3488.9199999999983</v>
      </c>
      <c r="Q24" s="250">
        <f t="shared" si="2"/>
        <v>2.2969614685916433</v>
      </c>
      <c r="R24" s="250">
        <f t="shared" si="3"/>
        <v>1.992721979621543</v>
      </c>
      <c r="S24" s="228"/>
    </row>
    <row r="25" spans="2:19" ht="12.75" customHeight="1">
      <c r="B25" s="356"/>
      <c r="C25" s="76" t="s">
        <v>79</v>
      </c>
      <c r="D25" s="49">
        <v>1200</v>
      </c>
      <c r="E25" s="50">
        <v>1200</v>
      </c>
      <c r="F25" s="50">
        <v>0</v>
      </c>
      <c r="G25" s="51">
        <v>-100</v>
      </c>
      <c r="H25" s="50">
        <v>3526.82</v>
      </c>
      <c r="I25" s="50">
        <v>3526.82</v>
      </c>
      <c r="J25" s="50">
        <v>0</v>
      </c>
      <c r="K25" s="51">
        <v>-100</v>
      </c>
      <c r="L25" s="137"/>
      <c r="O25" s="236">
        <f t="shared" si="0"/>
        <v>-1200</v>
      </c>
      <c r="P25" s="236">
        <f t="shared" si="1"/>
        <v>-3526.82</v>
      </c>
      <c r="Q25" s="250">
        <f t="shared" si="2"/>
        <v>2.939016666666667</v>
      </c>
      <c r="R25" s="250">
        <f t="shared" si="3"/>
      </c>
      <c r="S25" s="228"/>
    </row>
    <row r="26" spans="2:19" ht="12.75">
      <c r="B26" s="356"/>
      <c r="C26" s="76" t="s">
        <v>78</v>
      </c>
      <c r="D26" s="49">
        <v>630</v>
      </c>
      <c r="E26" s="50">
        <v>426</v>
      </c>
      <c r="F26" s="50">
        <v>90</v>
      </c>
      <c r="G26" s="51">
        <v>-78.87323943661973</v>
      </c>
      <c r="H26" s="50">
        <v>1156</v>
      </c>
      <c r="I26" s="50">
        <v>808</v>
      </c>
      <c r="J26" s="50">
        <v>150</v>
      </c>
      <c r="K26" s="51">
        <v>-81.43564356435644</v>
      </c>
      <c r="L26" s="137"/>
      <c r="O26" s="236">
        <f t="shared" si="0"/>
        <v>-336</v>
      </c>
      <c r="P26" s="236">
        <f t="shared" si="1"/>
        <v>-658</v>
      </c>
      <c r="Q26" s="250">
        <f t="shared" si="2"/>
        <v>1.8967136150234742</v>
      </c>
      <c r="R26" s="250">
        <f t="shared" si="3"/>
        <v>1.6666666666666667</v>
      </c>
      <c r="S26" s="228"/>
    </row>
    <row r="27" spans="2:19" ht="12.75" customHeight="1">
      <c r="B27" s="360"/>
      <c r="C27" s="76" t="s">
        <v>85</v>
      </c>
      <c r="D27" s="49">
        <v>0</v>
      </c>
      <c r="E27" s="50">
        <v>0</v>
      </c>
      <c r="F27" s="50">
        <v>45</v>
      </c>
      <c r="G27" s="51" t="s">
        <v>153</v>
      </c>
      <c r="H27" s="50">
        <v>0</v>
      </c>
      <c r="I27" s="50">
        <v>0</v>
      </c>
      <c r="J27" s="50">
        <v>139.07</v>
      </c>
      <c r="K27" s="51" t="s">
        <v>153</v>
      </c>
      <c r="L27" s="138"/>
      <c r="O27" s="236">
        <f t="shared" si="0"/>
        <v>45</v>
      </c>
      <c r="P27" s="236">
        <f t="shared" si="1"/>
        <v>139.07</v>
      </c>
      <c r="Q27" s="250">
        <f t="shared" si="2"/>
      </c>
      <c r="R27" s="250">
        <f t="shared" si="3"/>
        <v>3.090444444444444</v>
      </c>
      <c r="S27" s="228"/>
    </row>
    <row r="28" spans="2:19" ht="12.75">
      <c r="B28" s="154" t="s">
        <v>116</v>
      </c>
      <c r="C28" s="155"/>
      <c r="D28" s="72">
        <v>26645.5</v>
      </c>
      <c r="E28" s="73">
        <v>12085</v>
      </c>
      <c r="F28" s="73">
        <v>10440</v>
      </c>
      <c r="G28" s="74">
        <v>-13.611915597848567</v>
      </c>
      <c r="H28" s="73">
        <v>63848.96</v>
      </c>
      <c r="I28" s="73">
        <v>28358.739999999998</v>
      </c>
      <c r="J28" s="73">
        <v>20824.07</v>
      </c>
      <c r="K28" s="74">
        <v>-26.56912824758787</v>
      </c>
      <c r="L28" s="137"/>
      <c r="O28" s="236">
        <f t="shared" si="0"/>
        <v>-1645</v>
      </c>
      <c r="P28" s="236">
        <f t="shared" si="1"/>
        <v>-7534.669999999998</v>
      </c>
      <c r="Q28" s="250">
        <f t="shared" si="2"/>
        <v>2.346606537029375</v>
      </c>
      <c r="R28" s="250">
        <f t="shared" si="3"/>
        <v>1.9946427203065134</v>
      </c>
      <c r="S28" s="228"/>
    </row>
    <row r="29" spans="2:19" ht="12.75">
      <c r="B29" s="355" t="s">
        <v>89</v>
      </c>
      <c r="C29" s="77" t="s">
        <v>91</v>
      </c>
      <c r="D29" s="45">
        <v>2519.7</v>
      </c>
      <c r="E29" s="46">
        <v>1511.82</v>
      </c>
      <c r="F29" s="46">
        <v>0</v>
      </c>
      <c r="G29" s="47">
        <v>-100</v>
      </c>
      <c r="H29" s="45">
        <v>5541.57</v>
      </c>
      <c r="I29" s="46">
        <v>3313.14</v>
      </c>
      <c r="J29" s="46">
        <v>0</v>
      </c>
      <c r="K29" s="47">
        <v>-100</v>
      </c>
      <c r="O29" s="236">
        <f t="shared" si="0"/>
        <v>-1511.82</v>
      </c>
      <c r="P29" s="236">
        <f t="shared" si="1"/>
        <v>-3313.14</v>
      </c>
      <c r="Q29" s="250">
        <f t="shared" si="2"/>
        <v>2.1914910505218876</v>
      </c>
      <c r="R29" s="250">
        <f t="shared" si="3"/>
      </c>
      <c r="S29" s="228"/>
    </row>
    <row r="30" spans="2:19" ht="12.75">
      <c r="B30" s="356"/>
      <c r="C30" s="107" t="s">
        <v>90</v>
      </c>
      <c r="D30" s="49">
        <v>300</v>
      </c>
      <c r="E30" s="50">
        <v>0</v>
      </c>
      <c r="F30" s="50">
        <v>0</v>
      </c>
      <c r="G30" s="51" t="s">
        <v>153</v>
      </c>
      <c r="H30" s="49">
        <v>561</v>
      </c>
      <c r="I30" s="50">
        <v>0</v>
      </c>
      <c r="J30" s="50">
        <v>0</v>
      </c>
      <c r="K30" s="51" t="s">
        <v>153</v>
      </c>
      <c r="O30" s="236">
        <f t="shared" si="0"/>
        <v>0</v>
      </c>
      <c r="P30" s="236">
        <f t="shared" si="1"/>
        <v>0</v>
      </c>
      <c r="Q30" s="250">
        <f t="shared" si="2"/>
      </c>
      <c r="R30" s="250">
        <f t="shared" si="3"/>
      </c>
      <c r="S30" s="228"/>
    </row>
    <row r="31" spans="2:19" ht="12.75">
      <c r="B31" s="356"/>
      <c r="C31" s="107" t="s">
        <v>78</v>
      </c>
      <c r="D31" s="49">
        <v>0</v>
      </c>
      <c r="E31" s="50">
        <v>0</v>
      </c>
      <c r="F31" s="50">
        <v>3330</v>
      </c>
      <c r="G31" s="51" t="s">
        <v>153</v>
      </c>
      <c r="H31" s="49">
        <v>0</v>
      </c>
      <c r="I31" s="50">
        <v>0</v>
      </c>
      <c r="J31" s="50">
        <v>5843.75</v>
      </c>
      <c r="K31" s="51" t="s">
        <v>153</v>
      </c>
      <c r="M31" s="221"/>
      <c r="O31" s="236">
        <f t="shared" si="0"/>
        <v>3330</v>
      </c>
      <c r="P31" s="236">
        <f t="shared" si="1"/>
        <v>5843.75</v>
      </c>
      <c r="Q31" s="250">
        <f t="shared" si="2"/>
      </c>
      <c r="R31" s="250">
        <f t="shared" si="3"/>
        <v>1.75487987987988</v>
      </c>
      <c r="S31" s="228"/>
    </row>
    <row r="32" spans="2:19" ht="12.75">
      <c r="B32" s="154" t="s">
        <v>114</v>
      </c>
      <c r="C32" s="155"/>
      <c r="D32" s="72">
        <v>2819.7</v>
      </c>
      <c r="E32" s="73">
        <v>1511.82</v>
      </c>
      <c r="F32" s="73">
        <v>3330</v>
      </c>
      <c r="G32" s="74">
        <v>120.26431718061676</v>
      </c>
      <c r="H32" s="73">
        <v>6102.57</v>
      </c>
      <c r="I32" s="73">
        <v>3313.14</v>
      </c>
      <c r="J32" s="73">
        <v>5843.75</v>
      </c>
      <c r="K32" s="74">
        <v>76.38101619611608</v>
      </c>
      <c r="O32" s="236">
        <f t="shared" si="0"/>
        <v>1818.18</v>
      </c>
      <c r="P32" s="236">
        <f t="shared" si="1"/>
        <v>2530.61</v>
      </c>
      <c r="Q32" s="250">
        <f t="shared" si="2"/>
        <v>2.1914910505218876</v>
      </c>
      <c r="R32" s="250">
        <f t="shared" si="3"/>
        <v>1.75487987987988</v>
      </c>
      <c r="S32" s="228"/>
    </row>
    <row r="33" spans="2:19" ht="12.75">
      <c r="B33" s="207" t="s">
        <v>86</v>
      </c>
      <c r="C33" s="75" t="s">
        <v>187</v>
      </c>
      <c r="D33" s="45">
        <v>45.26</v>
      </c>
      <c r="E33" s="46">
        <v>45.26</v>
      </c>
      <c r="F33" s="46">
        <v>0</v>
      </c>
      <c r="G33" s="47">
        <v>-100</v>
      </c>
      <c r="H33" s="46">
        <v>300</v>
      </c>
      <c r="I33" s="46">
        <v>300</v>
      </c>
      <c r="J33" s="46">
        <v>0</v>
      </c>
      <c r="K33" s="47">
        <v>-100</v>
      </c>
      <c r="O33" s="236">
        <f t="shared" si="0"/>
        <v>-45.26</v>
      </c>
      <c r="P33" s="236">
        <f t="shared" si="1"/>
        <v>-300</v>
      </c>
      <c r="Q33" s="250">
        <f t="shared" si="2"/>
        <v>6.628369421122404</v>
      </c>
      <c r="R33" s="250">
        <f t="shared" si="3"/>
      </c>
      <c r="S33" s="228"/>
    </row>
    <row r="34" spans="2:18" ht="12.75">
      <c r="B34" s="154" t="s">
        <v>118</v>
      </c>
      <c r="C34" s="155"/>
      <c r="D34" s="72">
        <v>45.26</v>
      </c>
      <c r="E34" s="73">
        <v>45.26</v>
      </c>
      <c r="F34" s="73">
        <v>0</v>
      </c>
      <c r="G34" s="74">
        <v>-100</v>
      </c>
      <c r="H34" s="73">
        <v>300</v>
      </c>
      <c r="I34" s="73">
        <v>300</v>
      </c>
      <c r="J34" s="73">
        <v>0</v>
      </c>
      <c r="K34" s="74">
        <v>-100</v>
      </c>
      <c r="O34" s="236">
        <f t="shared" si="0"/>
        <v>-45.26</v>
      </c>
      <c r="P34" s="236">
        <f t="shared" si="1"/>
        <v>-300</v>
      </c>
      <c r="Q34" s="250">
        <f t="shared" si="2"/>
        <v>6.628369421122404</v>
      </c>
      <c r="R34" s="250">
        <f t="shared" si="3"/>
      </c>
    </row>
    <row r="35" spans="2:18" ht="12.75">
      <c r="B35" s="154" t="s">
        <v>94</v>
      </c>
      <c r="C35" s="155"/>
      <c r="D35" s="69">
        <v>1626791.66</v>
      </c>
      <c r="E35" s="70">
        <v>400292.6000000001</v>
      </c>
      <c r="F35" s="70">
        <v>1152492.6900000002</v>
      </c>
      <c r="G35" s="71">
        <v>187.91256445909818</v>
      </c>
      <c r="H35" s="70">
        <v>4556113.15</v>
      </c>
      <c r="I35" s="70">
        <v>1120910.3900000001</v>
      </c>
      <c r="J35" s="70">
        <v>2402401.5300000003</v>
      </c>
      <c r="K35" s="71">
        <v>114.3259221640367</v>
      </c>
      <c r="O35" s="236">
        <f t="shared" si="0"/>
        <v>752200.0900000001</v>
      </c>
      <c r="P35" s="236">
        <f t="shared" si="1"/>
        <v>1281491.1400000001</v>
      </c>
      <c r="Q35" s="250">
        <f t="shared" si="2"/>
        <v>2.800227608504379</v>
      </c>
      <c r="R35" s="250">
        <f t="shared" si="3"/>
        <v>2.084526479729776</v>
      </c>
    </row>
    <row r="36" spans="2:11" ht="12.75">
      <c r="B36" s="357" t="s">
        <v>159</v>
      </c>
      <c r="C36" s="358"/>
      <c r="D36" s="358"/>
      <c r="E36" s="358"/>
      <c r="F36" s="358"/>
      <c r="G36" s="358"/>
      <c r="H36" s="358"/>
      <c r="I36" s="358"/>
      <c r="J36" s="358"/>
      <c r="K36" s="359"/>
    </row>
  </sheetData>
  <sheetProtection/>
  <mergeCells count="11">
    <mergeCell ref="B5:B14"/>
    <mergeCell ref="B2:K2"/>
    <mergeCell ref="D3:G3"/>
    <mergeCell ref="H3:K3"/>
    <mergeCell ref="B3:B4"/>
    <mergeCell ref="C3:C4"/>
    <mergeCell ref="B16:B17"/>
    <mergeCell ref="B36:K36"/>
    <mergeCell ref="B29:B31"/>
    <mergeCell ref="B24:B27"/>
    <mergeCell ref="B19:B22"/>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differentFirst="1">
    <oddFooter>&amp;C&amp;P</oddFooter>
  </headerFooter>
  <ignoredErrors>
    <ignoredError sqref="D4"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Q118"/>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2" width="18.421875" style="39" customWidth="1"/>
    <col min="3" max="3" width="27.57421875" style="39" customWidth="1"/>
    <col min="4" max="11" width="11.7109375" style="39" customWidth="1"/>
    <col min="12" max="12" width="2.8515625" style="39" customWidth="1"/>
    <col min="13" max="13" width="10.8515625" style="39" customWidth="1"/>
    <col min="14" max="14" width="10.8515625" style="203" customWidth="1"/>
    <col min="15" max="15" width="10.8515625" style="251" hidden="1" customWidth="1"/>
    <col min="16" max="16" width="11.57421875" style="230" hidden="1" customWidth="1"/>
    <col min="17" max="17" width="10.8515625" style="230" hidden="1" customWidth="1"/>
    <col min="18" max="18" width="10.8515625" style="197" customWidth="1"/>
    <col min="19" max="16384" width="10.8515625" style="39" customWidth="1"/>
  </cols>
  <sheetData>
    <row r="1" ht="6" customHeight="1"/>
    <row r="2" spans="2:13" ht="15">
      <c r="B2" s="361" t="s">
        <v>240</v>
      </c>
      <c r="C2" s="362"/>
      <c r="D2" s="362"/>
      <c r="E2" s="362"/>
      <c r="F2" s="362"/>
      <c r="G2" s="362"/>
      <c r="H2" s="362"/>
      <c r="I2" s="362"/>
      <c r="J2" s="362"/>
      <c r="K2" s="363"/>
      <c r="L2" s="135"/>
      <c r="M2" s="52" t="s">
        <v>158</v>
      </c>
    </row>
    <row r="3" spans="2:12" ht="15">
      <c r="B3" s="369" t="s">
        <v>72</v>
      </c>
      <c r="C3" s="369" t="s">
        <v>73</v>
      </c>
      <c r="D3" s="361" t="s">
        <v>74</v>
      </c>
      <c r="E3" s="362"/>
      <c r="F3" s="362"/>
      <c r="G3" s="363"/>
      <c r="H3" s="361" t="s">
        <v>95</v>
      </c>
      <c r="I3" s="362"/>
      <c r="J3" s="362"/>
      <c r="K3" s="363"/>
      <c r="L3" s="135"/>
    </row>
    <row r="4" spans="2:17" ht="25.5">
      <c r="B4" s="370"/>
      <c r="C4" s="370"/>
      <c r="D4" s="40" t="str">
        <f>+export!D4</f>
        <v>2015</v>
      </c>
      <c r="E4" s="41" t="str">
        <f>+export!E4</f>
        <v>ene-may 2015</v>
      </c>
      <c r="F4" s="41" t="str">
        <f>+export!F4</f>
        <v>ene-may 2016</v>
      </c>
      <c r="G4" s="42" t="s">
        <v>45</v>
      </c>
      <c r="H4" s="40" t="str">
        <f>+export!H4</f>
        <v>2015</v>
      </c>
      <c r="I4" s="43" t="str">
        <f>+export!I4</f>
        <v>ene-may 2015</v>
      </c>
      <c r="J4" s="43" t="str">
        <f>+export!J4</f>
        <v>ene-may 2016</v>
      </c>
      <c r="K4" s="44" t="s">
        <v>45</v>
      </c>
      <c r="L4" s="136"/>
      <c r="O4" s="237" t="s">
        <v>205</v>
      </c>
      <c r="P4" s="237" t="s">
        <v>199</v>
      </c>
      <c r="Q4" s="252" t="s">
        <v>200</v>
      </c>
    </row>
    <row r="5" spans="2:17" ht="12.75" customHeight="1">
      <c r="B5" s="355" t="s">
        <v>89</v>
      </c>
      <c r="C5" s="75" t="s">
        <v>97</v>
      </c>
      <c r="D5" s="45">
        <v>41307358.52</v>
      </c>
      <c r="E5" s="46">
        <v>12891476.82</v>
      </c>
      <c r="F5" s="46">
        <v>18189146.67</v>
      </c>
      <c r="G5" s="47">
        <v>41.09435966080417</v>
      </c>
      <c r="H5" s="46">
        <v>29075287.24</v>
      </c>
      <c r="I5" s="46">
        <v>8903295.6</v>
      </c>
      <c r="J5" s="46">
        <v>13864872.2</v>
      </c>
      <c r="K5" s="47">
        <v>55.727416261457165</v>
      </c>
      <c r="L5" s="137"/>
      <c r="N5" s="204"/>
      <c r="O5" s="239">
        <f>+F5-E5</f>
        <v>5297669.8500000015</v>
      </c>
      <c r="P5" s="239">
        <f>+J5-I5</f>
        <v>4961576.6</v>
      </c>
      <c r="Q5" s="243">
        <f>+IF(F5=0,0,J5/F5)</f>
        <v>0.7622607289690956</v>
      </c>
    </row>
    <row r="6" spans="2:17" ht="15">
      <c r="B6" s="356"/>
      <c r="C6" s="76" t="s">
        <v>130</v>
      </c>
      <c r="D6" s="49">
        <v>17247981.74</v>
      </c>
      <c r="E6" s="50">
        <v>6312684.31</v>
      </c>
      <c r="F6" s="50">
        <v>10575904.3077</v>
      </c>
      <c r="G6" s="51">
        <v>67.53418654163623</v>
      </c>
      <c r="H6" s="50">
        <v>12669707.84</v>
      </c>
      <c r="I6" s="50">
        <v>4609250</v>
      </c>
      <c r="J6" s="50">
        <v>8347712.25</v>
      </c>
      <c r="K6" s="51">
        <v>81.10782122905027</v>
      </c>
      <c r="L6" s="137"/>
      <c r="N6" s="204"/>
      <c r="O6" s="239">
        <f aca="true" t="shared" si="0" ref="O6:O16">+F6-E6</f>
        <v>4263219.997700001</v>
      </c>
      <c r="P6" s="239">
        <f aca="true" t="shared" si="1" ref="P6:P16">+J6-I6</f>
        <v>3738462.25</v>
      </c>
      <c r="Q6" s="243">
        <f aca="true" t="shared" si="2" ref="Q6:Q16">+IF(F6=0,0,J6/F6)</f>
        <v>0.789314275841384</v>
      </c>
    </row>
    <row r="7" spans="2:17" ht="15">
      <c r="B7" s="356"/>
      <c r="C7" s="76" t="s">
        <v>80</v>
      </c>
      <c r="D7" s="49">
        <v>10945465.1892</v>
      </c>
      <c r="E7" s="50">
        <v>2519017.3076</v>
      </c>
      <c r="F7" s="50">
        <v>4363252.8</v>
      </c>
      <c r="G7" s="51">
        <v>73.21249785921876</v>
      </c>
      <c r="H7" s="50">
        <v>11825190.35</v>
      </c>
      <c r="I7" s="50">
        <v>2961652.48</v>
      </c>
      <c r="J7" s="50">
        <v>4936677.67</v>
      </c>
      <c r="K7" s="51">
        <v>66.68659484316</v>
      </c>
      <c r="L7" s="137"/>
      <c r="N7" s="204"/>
      <c r="O7" s="239">
        <f t="shared" si="0"/>
        <v>1844235.4923999999</v>
      </c>
      <c r="P7" s="239">
        <f t="shared" si="1"/>
        <v>1975025.19</v>
      </c>
      <c r="Q7" s="243">
        <f t="shared" si="2"/>
        <v>1.1314214179843076</v>
      </c>
    </row>
    <row r="8" spans="2:17" ht="15">
      <c r="B8" s="356"/>
      <c r="C8" s="76" t="s">
        <v>96</v>
      </c>
      <c r="D8" s="49">
        <v>7728995.88</v>
      </c>
      <c r="E8" s="50">
        <v>2457710</v>
      </c>
      <c r="F8" s="50">
        <v>4225350</v>
      </c>
      <c r="G8" s="51">
        <v>71.92223655353969</v>
      </c>
      <c r="H8" s="50">
        <v>5076355.6</v>
      </c>
      <c r="I8" s="50">
        <v>1538044.55</v>
      </c>
      <c r="J8" s="50">
        <v>3182519.48</v>
      </c>
      <c r="K8" s="51">
        <v>106.91985027351775</v>
      </c>
      <c r="L8" s="137"/>
      <c r="N8" s="204"/>
      <c r="O8" s="239">
        <f t="shared" si="0"/>
        <v>1767640</v>
      </c>
      <c r="P8" s="239">
        <f t="shared" si="1"/>
        <v>1644474.93</v>
      </c>
      <c r="Q8" s="243">
        <f t="shared" si="2"/>
        <v>0.7531966535316601</v>
      </c>
    </row>
    <row r="9" spans="2:17" ht="15">
      <c r="B9" s="356"/>
      <c r="C9" s="76" t="s">
        <v>128</v>
      </c>
      <c r="D9" s="49">
        <v>1136958.6537</v>
      </c>
      <c r="E9" s="50">
        <v>793267.5771</v>
      </c>
      <c r="F9" s="50">
        <v>212569.525</v>
      </c>
      <c r="G9" s="51">
        <v>-73.20330098740399</v>
      </c>
      <c r="H9" s="50">
        <v>1576275.06</v>
      </c>
      <c r="I9" s="50">
        <v>1059280.47</v>
      </c>
      <c r="J9" s="50">
        <v>291324.18</v>
      </c>
      <c r="K9" s="51">
        <v>-72.49791832752284</v>
      </c>
      <c r="L9" s="137"/>
      <c r="N9" s="204"/>
      <c r="O9" s="239">
        <f t="shared" si="0"/>
        <v>-580698.0521</v>
      </c>
      <c r="P9" s="239">
        <f t="shared" si="1"/>
        <v>-767956.29</v>
      </c>
      <c r="Q9" s="243">
        <f t="shared" si="2"/>
        <v>1.370488925917297</v>
      </c>
    </row>
    <row r="10" spans="2:17" ht="15">
      <c r="B10" s="356"/>
      <c r="C10" s="76" t="s">
        <v>101</v>
      </c>
      <c r="D10" s="49">
        <v>1540421.6908</v>
      </c>
      <c r="E10" s="50">
        <v>1120676.6154</v>
      </c>
      <c r="F10" s="50">
        <v>248145.5462</v>
      </c>
      <c r="G10" s="51">
        <v>-77.85752439284815</v>
      </c>
      <c r="H10" s="50">
        <v>1338731.27</v>
      </c>
      <c r="I10" s="50">
        <v>946675.41</v>
      </c>
      <c r="J10" s="50">
        <v>197458.72</v>
      </c>
      <c r="K10" s="51">
        <v>-79.14187715090223</v>
      </c>
      <c r="L10" s="137"/>
      <c r="N10" s="204"/>
      <c r="O10" s="239">
        <f t="shared" si="0"/>
        <v>-872531.0692</v>
      </c>
      <c r="P10" s="239">
        <f t="shared" si="1"/>
        <v>-749216.6900000001</v>
      </c>
      <c r="Q10" s="243">
        <f t="shared" si="2"/>
        <v>0.7957375138252633</v>
      </c>
    </row>
    <row r="11" spans="2:17" ht="15">
      <c r="B11" s="356"/>
      <c r="C11" s="76" t="s">
        <v>93</v>
      </c>
      <c r="D11" s="49">
        <v>23625</v>
      </c>
      <c r="E11" s="50">
        <v>0</v>
      </c>
      <c r="F11" s="50">
        <v>0</v>
      </c>
      <c r="G11" s="51" t="s">
        <v>153</v>
      </c>
      <c r="H11" s="50">
        <v>35516.12</v>
      </c>
      <c r="I11" s="50">
        <v>0</v>
      </c>
      <c r="J11" s="50">
        <v>0</v>
      </c>
      <c r="K11" s="51" t="s">
        <v>153</v>
      </c>
      <c r="L11" s="137"/>
      <c r="N11" s="204"/>
      <c r="O11" s="239">
        <f t="shared" si="0"/>
        <v>0</v>
      </c>
      <c r="P11" s="239">
        <f t="shared" si="1"/>
        <v>0</v>
      </c>
      <c r="Q11" s="243">
        <f t="shared" si="2"/>
        <v>0</v>
      </c>
    </row>
    <row r="12" spans="2:17" ht="15">
      <c r="B12" s="356"/>
      <c r="C12" s="76" t="s">
        <v>78</v>
      </c>
      <c r="D12" s="49">
        <v>19205</v>
      </c>
      <c r="E12" s="50">
        <v>2010</v>
      </c>
      <c r="F12" s="50">
        <v>2505</v>
      </c>
      <c r="G12" s="51">
        <v>24.626865671641784</v>
      </c>
      <c r="H12" s="50">
        <v>33959.96</v>
      </c>
      <c r="I12" s="50">
        <v>2223.15</v>
      </c>
      <c r="J12" s="50">
        <v>5414.02</v>
      </c>
      <c r="K12" s="51">
        <v>143.52922654791627</v>
      </c>
      <c r="L12" s="137"/>
      <c r="N12" s="204"/>
      <c r="O12" s="239">
        <f t="shared" si="0"/>
        <v>495</v>
      </c>
      <c r="P12" s="239">
        <f t="shared" si="1"/>
        <v>3190.8700000000003</v>
      </c>
      <c r="Q12" s="243">
        <f t="shared" si="2"/>
        <v>2.1612854291417167</v>
      </c>
    </row>
    <row r="13" spans="2:17" ht="15">
      <c r="B13" s="356"/>
      <c r="C13" s="76" t="s">
        <v>100</v>
      </c>
      <c r="D13" s="49">
        <v>10764</v>
      </c>
      <c r="E13" s="50">
        <v>0</v>
      </c>
      <c r="F13" s="50">
        <v>0</v>
      </c>
      <c r="G13" s="51" t="s">
        <v>153</v>
      </c>
      <c r="H13" s="50">
        <v>31921.1</v>
      </c>
      <c r="I13" s="50">
        <v>0</v>
      </c>
      <c r="J13" s="50">
        <v>0</v>
      </c>
      <c r="K13" s="51" t="s">
        <v>153</v>
      </c>
      <c r="L13" s="137"/>
      <c r="N13" s="204"/>
      <c r="O13" s="239">
        <f t="shared" si="0"/>
        <v>0</v>
      </c>
      <c r="P13" s="239">
        <f t="shared" si="1"/>
        <v>0</v>
      </c>
      <c r="Q13" s="243">
        <f t="shared" si="2"/>
        <v>0</v>
      </c>
    </row>
    <row r="14" spans="2:17" ht="15">
      <c r="B14" s="356"/>
      <c r="C14" s="76" t="s">
        <v>104</v>
      </c>
      <c r="D14" s="49">
        <v>25690.0591</v>
      </c>
      <c r="E14" s="50">
        <v>24000</v>
      </c>
      <c r="F14" s="50">
        <v>875.9782</v>
      </c>
      <c r="G14" s="51">
        <v>-96.35009083333334</v>
      </c>
      <c r="H14" s="50">
        <v>18827.18</v>
      </c>
      <c r="I14" s="50">
        <v>14405.76</v>
      </c>
      <c r="J14" s="50">
        <v>3768.02</v>
      </c>
      <c r="K14" s="51">
        <v>-73.84365698165179</v>
      </c>
      <c r="L14" s="137"/>
      <c r="N14" s="204"/>
      <c r="O14" s="239">
        <f t="shared" si="0"/>
        <v>-23124.0218</v>
      </c>
      <c r="P14" s="239">
        <f t="shared" si="1"/>
        <v>-10637.74</v>
      </c>
      <c r="Q14" s="243">
        <f t="shared" si="2"/>
        <v>4.301499740518657</v>
      </c>
    </row>
    <row r="15" spans="2:17" ht="15">
      <c r="B15" s="356"/>
      <c r="C15" s="76" t="s">
        <v>82</v>
      </c>
      <c r="D15" s="49">
        <v>4487.7431</v>
      </c>
      <c r="E15" s="50">
        <v>1063.0631</v>
      </c>
      <c r="F15" s="50">
        <v>363</v>
      </c>
      <c r="G15" s="51">
        <v>-65.85339101695845</v>
      </c>
      <c r="H15" s="50">
        <v>12581.15</v>
      </c>
      <c r="I15" s="50">
        <v>3159.54</v>
      </c>
      <c r="J15" s="50">
        <v>890.58</v>
      </c>
      <c r="K15" s="51">
        <v>-71.81298543458858</v>
      </c>
      <c r="L15" s="138"/>
      <c r="N15" s="204"/>
      <c r="O15" s="239">
        <f t="shared" si="0"/>
        <v>-700.0631000000001</v>
      </c>
      <c r="P15" s="239">
        <f t="shared" si="1"/>
        <v>-2268.96</v>
      </c>
      <c r="Q15" s="243">
        <f t="shared" si="2"/>
        <v>2.4533884297520663</v>
      </c>
    </row>
    <row r="16" spans="2:17" ht="12.75" customHeight="1">
      <c r="B16" s="356"/>
      <c r="C16" s="76" t="s">
        <v>120</v>
      </c>
      <c r="D16" s="49">
        <v>637</v>
      </c>
      <c r="E16" s="50">
        <v>0</v>
      </c>
      <c r="F16" s="50">
        <v>75600</v>
      </c>
      <c r="G16" s="51" t="s">
        <v>153</v>
      </c>
      <c r="H16" s="50">
        <v>2191.07</v>
      </c>
      <c r="I16" s="50">
        <v>0</v>
      </c>
      <c r="J16" s="50">
        <v>55192.78</v>
      </c>
      <c r="K16" s="51" t="s">
        <v>153</v>
      </c>
      <c r="L16" s="137"/>
      <c r="N16" s="204"/>
      <c r="O16" s="239">
        <f t="shared" si="0"/>
        <v>75600</v>
      </c>
      <c r="P16" s="239">
        <f t="shared" si="1"/>
        <v>55192.78</v>
      </c>
      <c r="Q16" s="243">
        <f t="shared" si="2"/>
        <v>0.7300632275132275</v>
      </c>
    </row>
    <row r="17" spans="2:17" ht="12.75" customHeight="1">
      <c r="B17" s="356"/>
      <c r="C17" s="76" t="s">
        <v>85</v>
      </c>
      <c r="D17" s="49">
        <v>0</v>
      </c>
      <c r="E17" s="50">
        <v>0</v>
      </c>
      <c r="F17" s="50">
        <v>8976.67</v>
      </c>
      <c r="G17" s="51" t="s">
        <v>153</v>
      </c>
      <c r="H17" s="50">
        <v>0</v>
      </c>
      <c r="I17" s="50">
        <v>0</v>
      </c>
      <c r="J17" s="50">
        <v>51485.8</v>
      </c>
      <c r="K17" s="51" t="s">
        <v>153</v>
      </c>
      <c r="L17" s="137"/>
      <c r="N17" s="204"/>
      <c r="O17" s="239">
        <f>+F18-E18</f>
        <v>8.2</v>
      </c>
      <c r="P17" s="239">
        <f>+J18-I18</f>
        <v>116.84</v>
      </c>
      <c r="Q17" s="243">
        <f>+IF(F18=0,0,J18/F18)</f>
        <v>14.24878048780488</v>
      </c>
    </row>
    <row r="18" spans="2:17" ht="12.75" customHeight="1">
      <c r="B18" s="360"/>
      <c r="C18" s="76" t="s">
        <v>77</v>
      </c>
      <c r="D18" s="49">
        <v>0</v>
      </c>
      <c r="E18" s="50">
        <v>0</v>
      </c>
      <c r="F18" s="50">
        <v>8.2</v>
      </c>
      <c r="G18" s="51" t="s">
        <v>153</v>
      </c>
      <c r="H18" s="50">
        <v>0</v>
      </c>
      <c r="I18" s="50">
        <v>0</v>
      </c>
      <c r="J18" s="50">
        <v>116.84</v>
      </c>
      <c r="K18" s="51" t="s">
        <v>153</v>
      </c>
      <c r="L18" s="137"/>
      <c r="N18" s="204"/>
      <c r="O18" s="239">
        <f>+F17-E17</f>
        <v>8976.67</v>
      </c>
      <c r="P18" s="239">
        <f>+J17-I17</f>
        <v>51485.8</v>
      </c>
      <c r="Q18" s="243">
        <f>+IF(F17=0,0,J17/F17)</f>
        <v>5.7355121665383715</v>
      </c>
    </row>
    <row r="19" spans="2:17" ht="12.75" customHeight="1">
      <c r="B19" s="290"/>
      <c r="C19" s="76" t="s">
        <v>103</v>
      </c>
      <c r="D19" s="49">
        <v>0</v>
      </c>
      <c r="E19" s="50">
        <v>0</v>
      </c>
      <c r="F19" s="50">
        <v>102.4</v>
      </c>
      <c r="G19" s="51" t="s">
        <v>153</v>
      </c>
      <c r="H19" s="50">
        <v>0</v>
      </c>
      <c r="I19" s="50">
        <v>0</v>
      </c>
      <c r="J19" s="50">
        <v>394.73</v>
      </c>
      <c r="K19" s="51" t="s">
        <v>153</v>
      </c>
      <c r="L19" s="137"/>
      <c r="N19" s="204"/>
      <c r="O19" s="239"/>
      <c r="P19" s="239"/>
      <c r="Q19" s="243"/>
    </row>
    <row r="20" spans="2:17" ht="15">
      <c r="B20" s="156" t="s">
        <v>114</v>
      </c>
      <c r="C20" s="157"/>
      <c r="D20" s="69">
        <v>79991590.4759</v>
      </c>
      <c r="E20" s="70">
        <v>26121905.6932</v>
      </c>
      <c r="F20" s="70">
        <v>37902800.097100005</v>
      </c>
      <c r="G20" s="71">
        <v>45.09967435862379</v>
      </c>
      <c r="H20" s="70">
        <v>61696543.94</v>
      </c>
      <c r="I20" s="70">
        <v>20037986.959999997</v>
      </c>
      <c r="J20" s="70">
        <v>30937827.27</v>
      </c>
      <c r="K20" s="71">
        <v>54.39588483493056</v>
      </c>
      <c r="L20" s="137"/>
      <c r="O20" s="239">
        <f aca="true" t="shared" si="3" ref="O20:O51">+F20-E20</f>
        <v>11780894.403900005</v>
      </c>
      <c r="P20" s="239">
        <f aca="true" t="shared" si="4" ref="P20:P51">+J20-I20</f>
        <v>10899840.310000002</v>
      </c>
      <c r="Q20" s="243">
        <f aca="true" t="shared" si="5" ref="Q20:Q51">+IF(F20=0,0,J20/F20)</f>
        <v>0.8162412062101738</v>
      </c>
    </row>
    <row r="21" spans="2:17" ht="15">
      <c r="B21" s="355" t="s">
        <v>76</v>
      </c>
      <c r="C21" s="179" t="s">
        <v>128</v>
      </c>
      <c r="D21" s="45">
        <v>2700049.9686</v>
      </c>
      <c r="E21" s="46">
        <v>1685781.1884</v>
      </c>
      <c r="F21" s="46">
        <v>523749.3251</v>
      </c>
      <c r="G21" s="47">
        <v>-68.9313578355268</v>
      </c>
      <c r="H21" s="45">
        <v>4143123.76</v>
      </c>
      <c r="I21" s="46">
        <v>2581277.78</v>
      </c>
      <c r="J21" s="46">
        <v>739954.95</v>
      </c>
      <c r="K21" s="47">
        <v>-71.33377291924002</v>
      </c>
      <c r="L21" s="137"/>
      <c r="O21" s="239">
        <f t="shared" si="3"/>
        <v>-1162031.8633</v>
      </c>
      <c r="P21" s="239">
        <f t="shared" si="4"/>
        <v>-1841322.8299999998</v>
      </c>
      <c r="Q21" s="243">
        <f t="shared" si="5"/>
        <v>1.412803634369781</v>
      </c>
    </row>
    <row r="22" spans="2:17" ht="15">
      <c r="B22" s="356"/>
      <c r="C22" s="180" t="s">
        <v>96</v>
      </c>
      <c r="D22" s="49">
        <v>2759936.17</v>
      </c>
      <c r="E22" s="50">
        <v>1145335.2</v>
      </c>
      <c r="F22" s="50">
        <v>956982.816</v>
      </c>
      <c r="G22" s="51">
        <v>-16.445175525907175</v>
      </c>
      <c r="H22" s="49">
        <v>3626667.66</v>
      </c>
      <c r="I22" s="50">
        <v>1533983.87</v>
      </c>
      <c r="J22" s="50">
        <v>1199706.15</v>
      </c>
      <c r="K22" s="51">
        <v>-21.791475551825734</v>
      </c>
      <c r="L22" s="137"/>
      <c r="O22" s="239">
        <f t="shared" si="3"/>
        <v>-188352.38399999996</v>
      </c>
      <c r="P22" s="239">
        <f t="shared" si="4"/>
        <v>-334277.7200000002</v>
      </c>
      <c r="Q22" s="243">
        <f t="shared" si="5"/>
        <v>1.2536339523989948</v>
      </c>
    </row>
    <row r="23" spans="2:17" ht="15">
      <c r="B23" s="356"/>
      <c r="C23" s="180" t="s">
        <v>130</v>
      </c>
      <c r="D23" s="49">
        <v>1869514.77</v>
      </c>
      <c r="E23" s="50">
        <v>482400.7</v>
      </c>
      <c r="F23" s="50">
        <v>1267565</v>
      </c>
      <c r="G23" s="51">
        <v>162.76184922617233</v>
      </c>
      <c r="H23" s="49">
        <v>2492251.77</v>
      </c>
      <c r="I23" s="50">
        <v>638137.41</v>
      </c>
      <c r="J23" s="50">
        <v>1607809.58</v>
      </c>
      <c r="K23" s="51">
        <v>151.95350637725502</v>
      </c>
      <c r="L23" s="137"/>
      <c r="O23" s="239">
        <f t="shared" si="3"/>
        <v>785164.3</v>
      </c>
      <c r="P23" s="239">
        <f t="shared" si="4"/>
        <v>969672.17</v>
      </c>
      <c r="Q23" s="243">
        <f t="shared" si="5"/>
        <v>1.2684237731398391</v>
      </c>
    </row>
    <row r="24" spans="2:17" ht="15">
      <c r="B24" s="356"/>
      <c r="C24" s="180" t="s">
        <v>100</v>
      </c>
      <c r="D24" s="49">
        <v>437051</v>
      </c>
      <c r="E24" s="50">
        <v>184050</v>
      </c>
      <c r="F24" s="50">
        <v>0</v>
      </c>
      <c r="G24" s="51">
        <v>-100</v>
      </c>
      <c r="H24" s="49">
        <v>503259.09</v>
      </c>
      <c r="I24" s="50">
        <v>218931.86</v>
      </c>
      <c r="J24" s="50">
        <v>0</v>
      </c>
      <c r="K24" s="51">
        <v>-100</v>
      </c>
      <c r="L24" s="137"/>
      <c r="O24" s="239">
        <f t="shared" si="3"/>
        <v>-184050</v>
      </c>
      <c r="P24" s="239">
        <f t="shared" si="4"/>
        <v>-218931.86</v>
      </c>
      <c r="Q24" s="243">
        <f t="shared" si="5"/>
        <v>0</v>
      </c>
    </row>
    <row r="25" spans="2:17" ht="15">
      <c r="B25" s="356"/>
      <c r="C25" s="180" t="s">
        <v>102</v>
      </c>
      <c r="D25" s="49">
        <v>381350</v>
      </c>
      <c r="E25" s="50">
        <v>36300</v>
      </c>
      <c r="F25" s="50">
        <v>350675</v>
      </c>
      <c r="G25" s="51">
        <v>866.0468319559229</v>
      </c>
      <c r="H25" s="49">
        <v>446910.48</v>
      </c>
      <c r="I25" s="50">
        <v>42200.8</v>
      </c>
      <c r="J25" s="50">
        <v>443509.96</v>
      </c>
      <c r="K25" s="51">
        <v>950.951545942257</v>
      </c>
      <c r="L25" s="137"/>
      <c r="O25" s="239">
        <f t="shared" si="3"/>
        <v>314375</v>
      </c>
      <c r="P25" s="239">
        <f t="shared" si="4"/>
        <v>401309.16000000003</v>
      </c>
      <c r="Q25" s="243">
        <f t="shared" si="5"/>
        <v>1.264732187923291</v>
      </c>
    </row>
    <row r="26" spans="2:17" ht="15">
      <c r="B26" s="356"/>
      <c r="C26" s="180" t="s">
        <v>97</v>
      </c>
      <c r="D26" s="49">
        <v>134726</v>
      </c>
      <c r="E26" s="50">
        <v>104675</v>
      </c>
      <c r="F26" s="50">
        <v>193608.5</v>
      </c>
      <c r="G26" s="51">
        <v>84.9615476474803</v>
      </c>
      <c r="H26" s="49">
        <v>177932.98</v>
      </c>
      <c r="I26" s="50">
        <v>135780.96</v>
      </c>
      <c r="J26" s="50">
        <v>247785.45</v>
      </c>
      <c r="K26" s="51">
        <v>82.48909861883436</v>
      </c>
      <c r="L26" s="137"/>
      <c r="O26" s="239">
        <f t="shared" si="3"/>
        <v>88933.5</v>
      </c>
      <c r="P26" s="239">
        <f t="shared" si="4"/>
        <v>112004.49000000002</v>
      </c>
      <c r="Q26" s="243">
        <f t="shared" si="5"/>
        <v>1.2798273319611484</v>
      </c>
    </row>
    <row r="27" spans="2:17" ht="15">
      <c r="B27" s="356"/>
      <c r="C27" s="180" t="s">
        <v>196</v>
      </c>
      <c r="D27" s="49">
        <v>23500</v>
      </c>
      <c r="E27" s="50">
        <v>0</v>
      </c>
      <c r="F27" s="50">
        <v>277546.8538</v>
      </c>
      <c r="G27" s="51" t="s">
        <v>153</v>
      </c>
      <c r="H27" s="49">
        <v>27553.76</v>
      </c>
      <c r="I27" s="50">
        <v>0</v>
      </c>
      <c r="J27" s="50">
        <v>314570.83</v>
      </c>
      <c r="K27" s="51" t="s">
        <v>153</v>
      </c>
      <c r="L27" s="137"/>
      <c r="O27" s="239">
        <f t="shared" si="3"/>
        <v>277546.8538</v>
      </c>
      <c r="P27" s="239">
        <f t="shared" si="4"/>
        <v>314570.83</v>
      </c>
      <c r="Q27" s="243">
        <f t="shared" si="5"/>
        <v>1.1333972109324628</v>
      </c>
    </row>
    <row r="28" spans="2:17" ht="15">
      <c r="B28" s="356"/>
      <c r="C28" s="180" t="s">
        <v>78</v>
      </c>
      <c r="D28" s="49">
        <v>1232.5</v>
      </c>
      <c r="E28" s="50">
        <v>1232.5</v>
      </c>
      <c r="F28" s="50">
        <v>0</v>
      </c>
      <c r="G28" s="51">
        <v>-100</v>
      </c>
      <c r="H28" s="49">
        <v>725.35</v>
      </c>
      <c r="I28" s="50">
        <v>725.35</v>
      </c>
      <c r="J28" s="50">
        <v>0</v>
      </c>
      <c r="K28" s="51">
        <v>-100</v>
      </c>
      <c r="L28" s="137"/>
      <c r="O28" s="239">
        <f t="shared" si="3"/>
        <v>-1232.5</v>
      </c>
      <c r="P28" s="239">
        <f t="shared" si="4"/>
        <v>-725.35</v>
      </c>
      <c r="Q28" s="243">
        <f t="shared" si="5"/>
        <v>0</v>
      </c>
    </row>
    <row r="29" spans="2:17" ht="15">
      <c r="B29" s="356"/>
      <c r="C29" s="76" t="s">
        <v>189</v>
      </c>
      <c r="D29" s="49">
        <v>61</v>
      </c>
      <c r="E29" s="50">
        <v>0</v>
      </c>
      <c r="F29" s="50">
        <v>0</v>
      </c>
      <c r="G29" s="51" t="s">
        <v>153</v>
      </c>
      <c r="H29" s="50">
        <v>540.17</v>
      </c>
      <c r="I29" s="50">
        <v>0</v>
      </c>
      <c r="J29" s="50">
        <v>0</v>
      </c>
      <c r="K29" s="51" t="s">
        <v>153</v>
      </c>
      <c r="L29" s="137"/>
      <c r="O29" s="239">
        <f t="shared" si="3"/>
        <v>0</v>
      </c>
      <c r="P29" s="239">
        <f t="shared" si="4"/>
        <v>0</v>
      </c>
      <c r="Q29" s="243">
        <f t="shared" si="5"/>
        <v>0</v>
      </c>
    </row>
    <row r="30" spans="2:17" ht="15">
      <c r="B30" s="356"/>
      <c r="C30" s="76" t="s">
        <v>99</v>
      </c>
      <c r="D30" s="49">
        <v>20</v>
      </c>
      <c r="E30" s="50">
        <v>20</v>
      </c>
      <c r="F30" s="50">
        <v>0</v>
      </c>
      <c r="G30" s="51">
        <v>-100</v>
      </c>
      <c r="H30" s="50">
        <v>525.56</v>
      </c>
      <c r="I30" s="50">
        <v>525.56</v>
      </c>
      <c r="J30" s="50">
        <v>0</v>
      </c>
      <c r="K30" s="51">
        <v>-100</v>
      </c>
      <c r="L30" s="137"/>
      <c r="O30" s="239">
        <f t="shared" si="3"/>
        <v>-20</v>
      </c>
      <c r="P30" s="239">
        <f t="shared" si="4"/>
        <v>-525.56</v>
      </c>
      <c r="Q30" s="243">
        <f t="shared" si="5"/>
        <v>0</v>
      </c>
    </row>
    <row r="31" spans="2:17" ht="15">
      <c r="B31" s="356"/>
      <c r="C31" s="76" t="s">
        <v>120</v>
      </c>
      <c r="D31" s="49">
        <v>7.8</v>
      </c>
      <c r="E31" s="50">
        <v>0</v>
      </c>
      <c r="F31" s="50">
        <v>0</v>
      </c>
      <c r="G31" s="51" t="s">
        <v>153</v>
      </c>
      <c r="H31" s="50">
        <v>129.82</v>
      </c>
      <c r="I31" s="50">
        <v>0</v>
      </c>
      <c r="J31" s="50">
        <v>0</v>
      </c>
      <c r="K31" s="51" t="s">
        <v>153</v>
      </c>
      <c r="L31" s="137"/>
      <c r="O31" s="239">
        <f t="shared" si="3"/>
        <v>0</v>
      </c>
      <c r="P31" s="239">
        <f t="shared" si="4"/>
        <v>0</v>
      </c>
      <c r="Q31" s="243">
        <f t="shared" si="5"/>
        <v>0</v>
      </c>
    </row>
    <row r="32" spans="2:17" ht="15">
      <c r="B32" s="156" t="s">
        <v>116</v>
      </c>
      <c r="C32" s="157"/>
      <c r="D32" s="69">
        <v>8307449.2086</v>
      </c>
      <c r="E32" s="70">
        <v>3639794.5884</v>
      </c>
      <c r="F32" s="70">
        <v>3570127.4949000003</v>
      </c>
      <c r="G32" s="71">
        <v>-1.9140391527046052</v>
      </c>
      <c r="H32" s="70">
        <v>11419620.399999999</v>
      </c>
      <c r="I32" s="70">
        <v>5151563.59</v>
      </c>
      <c r="J32" s="70">
        <v>4553336.92</v>
      </c>
      <c r="K32" s="71">
        <v>-11.612526168972327</v>
      </c>
      <c r="L32" s="137"/>
      <c r="O32" s="239">
        <f t="shared" si="3"/>
        <v>-69667.0934999995</v>
      </c>
      <c r="P32" s="239">
        <f t="shared" si="4"/>
        <v>-598226.6699999999</v>
      </c>
      <c r="Q32" s="243">
        <f t="shared" si="5"/>
        <v>1.2753989672650443</v>
      </c>
    </row>
    <row r="33" spans="2:17" ht="15" customHeight="1">
      <c r="B33" s="372" t="s">
        <v>92</v>
      </c>
      <c r="C33" s="179" t="s">
        <v>128</v>
      </c>
      <c r="D33" s="45">
        <v>522338.181</v>
      </c>
      <c r="E33" s="46">
        <v>141586.092</v>
      </c>
      <c r="F33" s="46">
        <v>218213.776</v>
      </c>
      <c r="G33" s="47">
        <v>54.12091181950274</v>
      </c>
      <c r="H33" s="45">
        <v>3785401.85</v>
      </c>
      <c r="I33" s="46">
        <v>984972.67</v>
      </c>
      <c r="J33" s="46">
        <v>1413887.74</v>
      </c>
      <c r="K33" s="47">
        <v>43.54588538989614</v>
      </c>
      <c r="L33" s="137"/>
      <c r="O33" s="239">
        <f t="shared" si="3"/>
        <v>76627.68400000001</v>
      </c>
      <c r="P33" s="239">
        <f t="shared" si="4"/>
        <v>428915.06999999995</v>
      </c>
      <c r="Q33" s="243">
        <f t="shared" si="5"/>
        <v>6.479369753447647</v>
      </c>
    </row>
    <row r="34" spans="2:17" ht="15">
      <c r="B34" s="372"/>
      <c r="C34" s="180" t="s">
        <v>85</v>
      </c>
      <c r="D34" s="49">
        <v>317234.6352</v>
      </c>
      <c r="E34" s="50">
        <v>95272.68</v>
      </c>
      <c r="F34" s="50">
        <v>98231.07</v>
      </c>
      <c r="G34" s="51">
        <v>3.105181884250574</v>
      </c>
      <c r="H34" s="49">
        <v>1661288.36</v>
      </c>
      <c r="I34" s="50">
        <v>486630.55</v>
      </c>
      <c r="J34" s="50">
        <v>577337.62</v>
      </c>
      <c r="K34" s="51">
        <v>18.63982234571997</v>
      </c>
      <c r="L34" s="137"/>
      <c r="O34" s="239">
        <f t="shared" si="3"/>
        <v>2958.390000000014</v>
      </c>
      <c r="P34" s="239">
        <f t="shared" si="4"/>
        <v>90707.07</v>
      </c>
      <c r="Q34" s="243">
        <f t="shared" si="5"/>
        <v>5.877342270627816</v>
      </c>
    </row>
    <row r="35" spans="2:17" ht="15">
      <c r="B35" s="372"/>
      <c r="C35" s="180" t="s">
        <v>130</v>
      </c>
      <c r="D35" s="49">
        <v>1652890.08</v>
      </c>
      <c r="E35" s="50">
        <v>652188</v>
      </c>
      <c r="F35" s="50">
        <v>796500</v>
      </c>
      <c r="G35" s="51">
        <v>22.127362048979737</v>
      </c>
      <c r="H35" s="49">
        <v>1271855.12</v>
      </c>
      <c r="I35" s="50">
        <v>393576.05</v>
      </c>
      <c r="J35" s="50">
        <v>723664.7</v>
      </c>
      <c r="K35" s="51">
        <v>83.86908959526373</v>
      </c>
      <c r="L35" s="137"/>
      <c r="O35" s="239">
        <f t="shared" si="3"/>
        <v>144312</v>
      </c>
      <c r="P35" s="239">
        <f t="shared" si="4"/>
        <v>330088.64999999997</v>
      </c>
      <c r="Q35" s="243">
        <f t="shared" si="5"/>
        <v>0.9085558066541117</v>
      </c>
    </row>
    <row r="36" spans="2:17" ht="15">
      <c r="B36" s="372"/>
      <c r="C36" s="76" t="s">
        <v>78</v>
      </c>
      <c r="D36" s="49">
        <v>40728.8433</v>
      </c>
      <c r="E36" s="50">
        <v>18886.7638</v>
      </c>
      <c r="F36" s="50">
        <v>6576.9077</v>
      </c>
      <c r="G36" s="51">
        <v>-65.177159148885</v>
      </c>
      <c r="H36" s="50">
        <v>243159.43</v>
      </c>
      <c r="I36" s="50">
        <v>113773.54</v>
      </c>
      <c r="J36" s="50">
        <v>34142.69</v>
      </c>
      <c r="K36" s="51">
        <v>-69.99065863644569</v>
      </c>
      <c r="L36" s="137"/>
      <c r="O36" s="239">
        <f t="shared" si="3"/>
        <v>-12309.8561</v>
      </c>
      <c r="P36" s="239">
        <f t="shared" si="4"/>
        <v>-79630.84999999999</v>
      </c>
      <c r="Q36" s="243">
        <f t="shared" si="5"/>
        <v>5.1912983361466365</v>
      </c>
    </row>
    <row r="37" spans="2:17" ht="15">
      <c r="B37" s="372"/>
      <c r="C37" s="76" t="s">
        <v>91</v>
      </c>
      <c r="D37" s="49">
        <v>12965.68</v>
      </c>
      <c r="E37" s="50">
        <v>12965.68</v>
      </c>
      <c r="F37" s="50">
        <v>0</v>
      </c>
      <c r="G37" s="51">
        <v>-100</v>
      </c>
      <c r="H37" s="50">
        <v>130285.58</v>
      </c>
      <c r="I37" s="50">
        <v>130285.58</v>
      </c>
      <c r="J37" s="50">
        <v>0</v>
      </c>
      <c r="K37" s="51">
        <v>-100</v>
      </c>
      <c r="L37" s="137"/>
      <c r="O37" s="239">
        <f t="shared" si="3"/>
        <v>-12965.68</v>
      </c>
      <c r="P37" s="239">
        <f t="shared" si="4"/>
        <v>-130285.58</v>
      </c>
      <c r="Q37" s="243">
        <f t="shared" si="5"/>
        <v>0</v>
      </c>
    </row>
    <row r="38" spans="2:17" ht="15">
      <c r="B38" s="372"/>
      <c r="C38" s="76" t="s">
        <v>93</v>
      </c>
      <c r="D38" s="49">
        <v>19240</v>
      </c>
      <c r="E38" s="50">
        <v>19240</v>
      </c>
      <c r="F38" s="50">
        <v>0</v>
      </c>
      <c r="G38" s="51">
        <v>-100</v>
      </c>
      <c r="H38" s="50">
        <v>110573.94</v>
      </c>
      <c r="I38" s="50">
        <v>110573.94</v>
      </c>
      <c r="J38" s="50">
        <v>0</v>
      </c>
      <c r="K38" s="51">
        <v>-100</v>
      </c>
      <c r="L38" s="137"/>
      <c r="O38" s="239">
        <f t="shared" si="3"/>
        <v>-19240</v>
      </c>
      <c r="P38" s="239">
        <f t="shared" si="4"/>
        <v>-110573.94</v>
      </c>
      <c r="Q38" s="243">
        <f t="shared" si="5"/>
        <v>0</v>
      </c>
    </row>
    <row r="39" spans="2:17" ht="15">
      <c r="B39" s="372"/>
      <c r="C39" s="76" t="s">
        <v>80</v>
      </c>
      <c r="D39" s="49">
        <v>40000</v>
      </c>
      <c r="E39" s="50">
        <v>40000</v>
      </c>
      <c r="F39" s="50">
        <v>20000</v>
      </c>
      <c r="G39" s="51">
        <v>-50</v>
      </c>
      <c r="H39" s="50">
        <v>84962</v>
      </c>
      <c r="I39" s="50">
        <v>84962</v>
      </c>
      <c r="J39" s="50">
        <v>45606</v>
      </c>
      <c r="K39" s="51">
        <v>-46.32188507803489</v>
      </c>
      <c r="L39" s="137"/>
      <c r="O39" s="239">
        <f t="shared" si="3"/>
        <v>-20000</v>
      </c>
      <c r="P39" s="239">
        <f t="shared" si="4"/>
        <v>-39356</v>
      </c>
      <c r="Q39" s="243">
        <f t="shared" si="5"/>
        <v>2.2803</v>
      </c>
    </row>
    <row r="40" spans="2:17" ht="15">
      <c r="B40" s="372"/>
      <c r="C40" s="76" t="s">
        <v>97</v>
      </c>
      <c r="D40" s="49">
        <v>78000</v>
      </c>
      <c r="E40" s="50">
        <v>0</v>
      </c>
      <c r="F40" s="50">
        <v>0</v>
      </c>
      <c r="G40" s="51" t="s">
        <v>153</v>
      </c>
      <c r="H40" s="50">
        <v>74619.97</v>
      </c>
      <c r="I40" s="50">
        <v>0</v>
      </c>
      <c r="J40" s="50">
        <v>0</v>
      </c>
      <c r="K40" s="51" t="s">
        <v>153</v>
      </c>
      <c r="L40" s="137"/>
      <c r="O40" s="239">
        <f t="shared" si="3"/>
        <v>0</v>
      </c>
      <c r="P40" s="239">
        <f t="shared" si="4"/>
        <v>0</v>
      </c>
      <c r="Q40" s="243">
        <f t="shared" si="5"/>
        <v>0</v>
      </c>
    </row>
    <row r="41" spans="2:17" ht="15">
      <c r="B41" s="372"/>
      <c r="C41" s="76" t="s">
        <v>79</v>
      </c>
      <c r="D41" s="49">
        <v>3764.76</v>
      </c>
      <c r="E41" s="50">
        <v>937.44</v>
      </c>
      <c r="F41" s="50">
        <v>129.48</v>
      </c>
      <c r="G41" s="51">
        <v>-86.1879160266257</v>
      </c>
      <c r="H41" s="50">
        <v>42976.84</v>
      </c>
      <c r="I41" s="50">
        <v>11104.5</v>
      </c>
      <c r="J41" s="50">
        <v>1521.33</v>
      </c>
      <c r="K41" s="51">
        <v>-86.29987842766447</v>
      </c>
      <c r="L41" s="137"/>
      <c r="O41" s="239">
        <f t="shared" si="3"/>
        <v>-807.96</v>
      </c>
      <c r="P41" s="239">
        <f t="shared" si="4"/>
        <v>-9583.17</v>
      </c>
      <c r="Q41" s="243">
        <f t="shared" si="5"/>
        <v>11.749536607970343</v>
      </c>
    </row>
    <row r="42" spans="2:17" ht="12.75" customHeight="1">
      <c r="B42" s="372"/>
      <c r="C42" s="76" t="s">
        <v>82</v>
      </c>
      <c r="D42" s="49">
        <v>2109.8254</v>
      </c>
      <c r="E42" s="50">
        <v>1492.5854</v>
      </c>
      <c r="F42" s="50">
        <v>2239.2</v>
      </c>
      <c r="G42" s="51">
        <v>50.0215666051671</v>
      </c>
      <c r="H42" s="50">
        <v>11124.47</v>
      </c>
      <c r="I42" s="50">
        <v>7229.36</v>
      </c>
      <c r="J42" s="50">
        <v>15297.74</v>
      </c>
      <c r="K42" s="51">
        <v>111.60572996779798</v>
      </c>
      <c r="L42" s="138"/>
      <c r="O42" s="239">
        <f t="shared" si="3"/>
        <v>746.6145999999999</v>
      </c>
      <c r="P42" s="239">
        <f t="shared" si="4"/>
        <v>8068.38</v>
      </c>
      <c r="Q42" s="243">
        <f t="shared" si="5"/>
        <v>6.8317881386209365</v>
      </c>
    </row>
    <row r="43" spans="2:17" ht="12.75" customHeight="1">
      <c r="B43" s="372"/>
      <c r="C43" s="76" t="s">
        <v>104</v>
      </c>
      <c r="D43" s="49">
        <v>1800</v>
      </c>
      <c r="E43" s="50">
        <v>1200</v>
      </c>
      <c r="F43" s="50">
        <v>2030.88</v>
      </c>
      <c r="G43" s="51">
        <v>69.24000000000001</v>
      </c>
      <c r="H43" s="50">
        <v>7396.43</v>
      </c>
      <c r="I43" s="50">
        <v>4842.71</v>
      </c>
      <c r="J43" s="50">
        <v>4648.64</v>
      </c>
      <c r="K43" s="51">
        <v>-4.007466893536882</v>
      </c>
      <c r="L43" s="137"/>
      <c r="O43" s="239">
        <f t="shared" si="3"/>
        <v>830.8800000000001</v>
      </c>
      <c r="P43" s="239">
        <f t="shared" si="4"/>
        <v>-194.0699999999997</v>
      </c>
      <c r="Q43" s="243">
        <f t="shared" si="5"/>
        <v>2.288978176947924</v>
      </c>
    </row>
    <row r="44" spans="2:17" ht="15">
      <c r="B44" s="372"/>
      <c r="C44" s="76" t="s">
        <v>101</v>
      </c>
      <c r="D44" s="49">
        <v>1140</v>
      </c>
      <c r="E44" s="50">
        <v>0</v>
      </c>
      <c r="F44" s="50">
        <v>0</v>
      </c>
      <c r="G44" s="51" t="s">
        <v>153</v>
      </c>
      <c r="H44" s="50">
        <v>3243.35</v>
      </c>
      <c r="I44" s="50">
        <v>0</v>
      </c>
      <c r="J44" s="50">
        <v>0</v>
      </c>
      <c r="K44" s="51" t="s">
        <v>153</v>
      </c>
      <c r="L44" s="137"/>
      <c r="O44" s="239">
        <f t="shared" si="3"/>
        <v>0</v>
      </c>
      <c r="P44" s="239">
        <f t="shared" si="4"/>
        <v>0</v>
      </c>
      <c r="Q44" s="243">
        <f t="shared" si="5"/>
        <v>0</v>
      </c>
    </row>
    <row r="45" spans="2:17" ht="15">
      <c r="B45" s="372"/>
      <c r="C45" s="76" t="s">
        <v>103</v>
      </c>
      <c r="D45" s="49">
        <v>796</v>
      </c>
      <c r="E45" s="50">
        <v>242</v>
      </c>
      <c r="F45" s="50">
        <v>293</v>
      </c>
      <c r="G45" s="51">
        <v>21.074380165289263</v>
      </c>
      <c r="H45" s="50">
        <v>2957.06</v>
      </c>
      <c r="I45" s="50">
        <v>721.48</v>
      </c>
      <c r="J45" s="50">
        <v>1307.96</v>
      </c>
      <c r="K45" s="51">
        <v>81.28846260464601</v>
      </c>
      <c r="L45" s="137"/>
      <c r="O45" s="239">
        <f t="shared" si="3"/>
        <v>51</v>
      </c>
      <c r="P45" s="239">
        <f t="shared" si="4"/>
        <v>586.48</v>
      </c>
      <c r="Q45" s="243">
        <f t="shared" si="5"/>
        <v>4.464027303754266</v>
      </c>
    </row>
    <row r="46" spans="2:17" ht="15">
      <c r="B46" s="372"/>
      <c r="C46" s="76" t="s">
        <v>100</v>
      </c>
      <c r="D46" s="49">
        <v>447.36</v>
      </c>
      <c r="E46" s="50">
        <v>367.36</v>
      </c>
      <c r="F46" s="50">
        <v>80</v>
      </c>
      <c r="G46" s="51">
        <v>-78.22299651567944</v>
      </c>
      <c r="H46" s="50">
        <v>2632.47</v>
      </c>
      <c r="I46" s="50">
        <v>2054.24</v>
      </c>
      <c r="J46" s="50">
        <v>556.81</v>
      </c>
      <c r="K46" s="51">
        <v>-72.89459848897889</v>
      </c>
      <c r="L46" s="138"/>
      <c r="O46" s="239">
        <f t="shared" si="3"/>
        <v>-287.36</v>
      </c>
      <c r="P46" s="239">
        <f t="shared" si="4"/>
        <v>-1497.4299999999998</v>
      </c>
      <c r="Q46" s="243">
        <f t="shared" si="5"/>
        <v>6.960125</v>
      </c>
    </row>
    <row r="47" spans="2:17" ht="12.75" customHeight="1">
      <c r="B47" s="372"/>
      <c r="C47" s="76" t="s">
        <v>99</v>
      </c>
      <c r="D47" s="49">
        <v>1162.5232</v>
      </c>
      <c r="E47" s="50">
        <v>312.0385</v>
      </c>
      <c r="F47" s="50">
        <v>2163.86</v>
      </c>
      <c r="G47" s="51">
        <v>593.4593006952668</v>
      </c>
      <c r="H47" s="50">
        <v>2451.04</v>
      </c>
      <c r="I47" s="50">
        <v>730.05</v>
      </c>
      <c r="J47" s="50">
        <v>1994.47</v>
      </c>
      <c r="K47" s="51">
        <v>173.19635641394427</v>
      </c>
      <c r="L47" s="137"/>
      <c r="O47" s="239">
        <f t="shared" si="3"/>
        <v>1851.8215</v>
      </c>
      <c r="P47" s="239">
        <f t="shared" si="4"/>
        <v>1264.42</v>
      </c>
      <c r="Q47" s="243">
        <f t="shared" si="5"/>
        <v>0.9217185954729049</v>
      </c>
    </row>
    <row r="48" spans="2:17" ht="15">
      <c r="B48" s="372"/>
      <c r="C48" s="76" t="s">
        <v>96</v>
      </c>
      <c r="D48" s="49">
        <v>80</v>
      </c>
      <c r="E48" s="50">
        <v>0</v>
      </c>
      <c r="F48" s="50">
        <v>0</v>
      </c>
      <c r="G48" s="51" t="s">
        <v>153</v>
      </c>
      <c r="H48" s="50">
        <v>547.45</v>
      </c>
      <c r="I48" s="50">
        <v>0</v>
      </c>
      <c r="J48" s="50">
        <v>0</v>
      </c>
      <c r="K48" s="51" t="s">
        <v>153</v>
      </c>
      <c r="L48" s="137"/>
      <c r="O48" s="239">
        <f t="shared" si="3"/>
        <v>0</v>
      </c>
      <c r="P48" s="239">
        <f t="shared" si="4"/>
        <v>0</v>
      </c>
      <c r="Q48" s="243">
        <f t="shared" si="5"/>
        <v>0</v>
      </c>
    </row>
    <row r="49" spans="2:17" ht="15">
      <c r="B49" s="372"/>
      <c r="C49" s="76" t="s">
        <v>176</v>
      </c>
      <c r="D49" s="49">
        <v>43.4692</v>
      </c>
      <c r="E49" s="50">
        <v>0</v>
      </c>
      <c r="F49" s="50">
        <v>0</v>
      </c>
      <c r="G49" s="51" t="s">
        <v>153</v>
      </c>
      <c r="H49" s="50">
        <v>83.1</v>
      </c>
      <c r="I49" s="50">
        <v>0</v>
      </c>
      <c r="J49" s="50">
        <v>0</v>
      </c>
      <c r="K49" s="51" t="s">
        <v>153</v>
      </c>
      <c r="L49" s="137"/>
      <c r="O49" s="239">
        <f t="shared" si="3"/>
        <v>0</v>
      </c>
      <c r="P49" s="239">
        <f t="shared" si="4"/>
        <v>0</v>
      </c>
      <c r="Q49" s="243">
        <f t="shared" si="5"/>
        <v>0</v>
      </c>
    </row>
    <row r="50" spans="2:17" ht="15">
      <c r="B50" s="372"/>
      <c r="C50" s="76" t="s">
        <v>189</v>
      </c>
      <c r="D50" s="49">
        <v>0.4231</v>
      </c>
      <c r="E50" s="50">
        <v>0</v>
      </c>
      <c r="F50" s="50">
        <v>4920</v>
      </c>
      <c r="G50" s="51" t="s">
        <v>153</v>
      </c>
      <c r="H50" s="50">
        <v>74.3</v>
      </c>
      <c r="I50" s="50">
        <v>0</v>
      </c>
      <c r="J50" s="50">
        <v>11285.55</v>
      </c>
      <c r="K50" s="51" t="s">
        <v>153</v>
      </c>
      <c r="L50" s="137"/>
      <c r="O50" s="239">
        <f t="shared" si="3"/>
        <v>4920</v>
      </c>
      <c r="P50" s="239">
        <f t="shared" si="4"/>
        <v>11285.55</v>
      </c>
      <c r="Q50" s="243">
        <f t="shared" si="5"/>
        <v>2.2938109756097558</v>
      </c>
    </row>
    <row r="51" spans="2:17" ht="15">
      <c r="B51" s="372"/>
      <c r="C51" s="76" t="s">
        <v>221</v>
      </c>
      <c r="D51" s="49">
        <v>0</v>
      </c>
      <c r="E51" s="50">
        <v>0</v>
      </c>
      <c r="F51" s="50">
        <v>3</v>
      </c>
      <c r="G51" s="51" t="s">
        <v>153</v>
      </c>
      <c r="H51" s="50">
        <v>0</v>
      </c>
      <c r="I51" s="50">
        <v>0</v>
      </c>
      <c r="J51" s="50">
        <v>230.91</v>
      </c>
      <c r="K51" s="51" t="s">
        <v>153</v>
      </c>
      <c r="L51" s="137"/>
      <c r="O51" s="239">
        <f t="shared" si="3"/>
        <v>3</v>
      </c>
      <c r="P51" s="239">
        <f t="shared" si="4"/>
        <v>230.91</v>
      </c>
      <c r="Q51" s="243">
        <f t="shared" si="5"/>
        <v>76.97</v>
      </c>
    </row>
    <row r="52" spans="2:17" ht="15">
      <c r="B52" s="372"/>
      <c r="C52" s="76" t="s">
        <v>211</v>
      </c>
      <c r="D52" s="49">
        <v>0</v>
      </c>
      <c r="E52" s="50">
        <v>0</v>
      </c>
      <c r="F52" s="50">
        <v>10.05</v>
      </c>
      <c r="G52" s="51" t="s">
        <v>153</v>
      </c>
      <c r="H52" s="50">
        <v>0</v>
      </c>
      <c r="I52" s="50">
        <v>0</v>
      </c>
      <c r="J52" s="50">
        <v>51.27</v>
      </c>
      <c r="K52" s="51" t="s">
        <v>153</v>
      </c>
      <c r="L52" s="137"/>
      <c r="O52" s="239"/>
      <c r="P52" s="239"/>
      <c r="Q52" s="243"/>
    </row>
    <row r="53" spans="2:17" ht="15">
      <c r="B53" s="156" t="s">
        <v>115</v>
      </c>
      <c r="C53" s="157"/>
      <c r="D53" s="69">
        <v>2694741.7803999996</v>
      </c>
      <c r="E53" s="70">
        <v>984690.6396999998</v>
      </c>
      <c r="F53" s="70">
        <v>1151391.2237</v>
      </c>
      <c r="G53" s="71">
        <v>16.929234145130877</v>
      </c>
      <c r="H53" s="70">
        <v>7435632.760000001</v>
      </c>
      <c r="I53" s="70">
        <v>2331456.67</v>
      </c>
      <c r="J53" s="70">
        <v>2831533.43</v>
      </c>
      <c r="K53" s="71">
        <v>21.449112326844144</v>
      </c>
      <c r="L53" s="137"/>
      <c r="O53" s="239">
        <f aca="true" t="shared" si="6" ref="O53:O71">+F53-E53</f>
        <v>166700.58400000015</v>
      </c>
      <c r="P53" s="239">
        <f aca="true" t="shared" si="7" ref="P53:P71">+J53-I53</f>
        <v>500076.76000000024</v>
      </c>
      <c r="Q53" s="243">
        <f aca="true" t="shared" si="8" ref="Q53:Q71">+IF(F53=0,0,J53/F53)</f>
        <v>2.4592279076966186</v>
      </c>
    </row>
    <row r="54" spans="2:17" ht="15">
      <c r="B54" s="355" t="s">
        <v>84</v>
      </c>
      <c r="C54" s="76" t="s">
        <v>130</v>
      </c>
      <c r="D54" s="49">
        <v>527825</v>
      </c>
      <c r="E54" s="50">
        <v>60000</v>
      </c>
      <c r="F54" s="50">
        <v>305500</v>
      </c>
      <c r="G54" s="51">
        <v>409.1666666666667</v>
      </c>
      <c r="H54" s="50">
        <v>614862.91</v>
      </c>
      <c r="I54" s="50">
        <v>50926.33</v>
      </c>
      <c r="J54" s="50">
        <v>380763.35</v>
      </c>
      <c r="K54" s="51">
        <v>647.6748275400956</v>
      </c>
      <c r="L54" s="137"/>
      <c r="O54" s="239">
        <f t="shared" si="6"/>
        <v>245500</v>
      </c>
      <c r="P54" s="239">
        <f t="shared" si="7"/>
        <v>329837.01999999996</v>
      </c>
      <c r="Q54" s="243">
        <f t="shared" si="8"/>
        <v>1.246361211129296</v>
      </c>
    </row>
    <row r="55" spans="2:17" ht="12.75" customHeight="1">
      <c r="B55" s="356"/>
      <c r="C55" s="76" t="s">
        <v>128</v>
      </c>
      <c r="D55" s="49">
        <v>419530</v>
      </c>
      <c r="E55" s="50">
        <v>225666</v>
      </c>
      <c r="F55" s="50">
        <v>57834</v>
      </c>
      <c r="G55" s="51">
        <v>-74.37185929648241</v>
      </c>
      <c r="H55" s="50">
        <v>561780.2</v>
      </c>
      <c r="I55" s="50">
        <v>322835.58</v>
      </c>
      <c r="J55" s="50">
        <v>69291.14</v>
      </c>
      <c r="K55" s="51">
        <v>-78.53670899595392</v>
      </c>
      <c r="L55" s="137"/>
      <c r="N55" s="197"/>
      <c r="O55" s="239">
        <f t="shared" si="6"/>
        <v>-167832</v>
      </c>
      <c r="P55" s="239">
        <f t="shared" si="7"/>
        <v>-253544.44</v>
      </c>
      <c r="Q55" s="243">
        <f t="shared" si="8"/>
        <v>1.19810388352872</v>
      </c>
    </row>
    <row r="56" spans="2:17" ht="12.75" customHeight="1">
      <c r="B56" s="356"/>
      <c r="C56" s="76" t="s">
        <v>102</v>
      </c>
      <c r="D56" s="49">
        <v>441336</v>
      </c>
      <c r="E56" s="50">
        <v>168336</v>
      </c>
      <c r="F56" s="50">
        <v>126000</v>
      </c>
      <c r="G56" s="51">
        <v>-25.149700598802394</v>
      </c>
      <c r="H56" s="50">
        <v>303623.02</v>
      </c>
      <c r="I56" s="50">
        <v>131724.36</v>
      </c>
      <c r="J56" s="50">
        <v>82700.64</v>
      </c>
      <c r="K56" s="51">
        <v>-37.21689746680112</v>
      </c>
      <c r="L56" s="137"/>
      <c r="N56" s="197"/>
      <c r="O56" s="239">
        <f t="shared" si="6"/>
        <v>-42336</v>
      </c>
      <c r="P56" s="239">
        <f t="shared" si="7"/>
        <v>-49023.71999999999</v>
      </c>
      <c r="Q56" s="243">
        <f t="shared" si="8"/>
        <v>0.6563542857142857</v>
      </c>
    </row>
    <row r="57" spans="2:17" ht="12.75" customHeight="1">
      <c r="B57" s="356"/>
      <c r="C57" s="76" t="s">
        <v>96</v>
      </c>
      <c r="D57" s="49">
        <v>444036</v>
      </c>
      <c r="E57" s="50">
        <v>239136</v>
      </c>
      <c r="F57" s="50">
        <v>140025</v>
      </c>
      <c r="G57" s="51">
        <v>-41.44545363307909</v>
      </c>
      <c r="H57" s="50">
        <v>293163.52</v>
      </c>
      <c r="I57" s="50">
        <v>162388.44</v>
      </c>
      <c r="J57" s="50">
        <v>102935.17</v>
      </c>
      <c r="K57" s="51">
        <v>-36.61176251215912</v>
      </c>
      <c r="L57" s="137"/>
      <c r="N57" s="197"/>
      <c r="O57" s="239">
        <f t="shared" si="6"/>
        <v>-99111</v>
      </c>
      <c r="P57" s="239">
        <f t="shared" si="7"/>
        <v>-59453.270000000004</v>
      </c>
      <c r="Q57" s="243">
        <f t="shared" si="8"/>
        <v>0.735119942867345</v>
      </c>
    </row>
    <row r="58" spans="2:17" ht="12.75">
      <c r="B58" s="356"/>
      <c r="C58" s="76" t="s">
        <v>100</v>
      </c>
      <c r="D58" s="49">
        <v>124320</v>
      </c>
      <c r="E58" s="50">
        <v>63000</v>
      </c>
      <c r="F58" s="50">
        <v>126000</v>
      </c>
      <c r="G58" s="51">
        <v>100</v>
      </c>
      <c r="H58" s="50">
        <v>83268.54</v>
      </c>
      <c r="I58" s="50">
        <v>42474</v>
      </c>
      <c r="J58" s="50">
        <v>91665</v>
      </c>
      <c r="K58" s="51">
        <v>115.8143805622263</v>
      </c>
      <c r="L58" s="137"/>
      <c r="N58" s="197"/>
      <c r="O58" s="239">
        <f t="shared" si="6"/>
        <v>63000</v>
      </c>
      <c r="P58" s="239">
        <f t="shared" si="7"/>
        <v>49191</v>
      </c>
      <c r="Q58" s="243">
        <f t="shared" si="8"/>
        <v>0.7275</v>
      </c>
    </row>
    <row r="59" spans="2:17" ht="12.75">
      <c r="B59" s="356"/>
      <c r="C59" s="76" t="s">
        <v>101</v>
      </c>
      <c r="D59" s="49">
        <v>52050</v>
      </c>
      <c r="E59" s="50">
        <v>0</v>
      </c>
      <c r="F59" s="50">
        <v>43000</v>
      </c>
      <c r="G59" s="51" t="s">
        <v>153</v>
      </c>
      <c r="H59" s="50">
        <v>36152.24</v>
      </c>
      <c r="I59" s="50">
        <v>0</v>
      </c>
      <c r="J59" s="50">
        <v>30153.47</v>
      </c>
      <c r="K59" s="51" t="s">
        <v>153</v>
      </c>
      <c r="L59" s="138"/>
      <c r="N59" s="197"/>
      <c r="O59" s="239">
        <f t="shared" si="6"/>
        <v>43000</v>
      </c>
      <c r="P59" s="239">
        <f t="shared" si="7"/>
        <v>30153.47</v>
      </c>
      <c r="Q59" s="243">
        <f t="shared" si="8"/>
        <v>0.701243488372093</v>
      </c>
    </row>
    <row r="60" spans="2:17" ht="12.75">
      <c r="B60" s="356"/>
      <c r="C60" s="76" t="s">
        <v>187</v>
      </c>
      <c r="D60" s="49">
        <v>60000</v>
      </c>
      <c r="E60" s="50">
        <v>0</v>
      </c>
      <c r="F60" s="50">
        <v>40000</v>
      </c>
      <c r="G60" s="51" t="s">
        <v>153</v>
      </c>
      <c r="H60" s="50">
        <v>35415.13</v>
      </c>
      <c r="I60" s="50">
        <v>0</v>
      </c>
      <c r="J60" s="50">
        <v>25635.99</v>
      </c>
      <c r="K60" s="51" t="s">
        <v>153</v>
      </c>
      <c r="L60" s="138"/>
      <c r="N60" s="197"/>
      <c r="O60" s="239">
        <f t="shared" si="6"/>
        <v>40000</v>
      </c>
      <c r="P60" s="239">
        <f t="shared" si="7"/>
        <v>25635.99</v>
      </c>
      <c r="Q60" s="243">
        <f t="shared" si="8"/>
        <v>0.64089975</v>
      </c>
    </row>
    <row r="61" spans="2:17" ht="12.75">
      <c r="B61" s="356"/>
      <c r="C61" s="76" t="s">
        <v>111</v>
      </c>
      <c r="D61" s="49">
        <v>17500</v>
      </c>
      <c r="E61" s="50">
        <v>17500</v>
      </c>
      <c r="F61" s="50">
        <v>0</v>
      </c>
      <c r="G61" s="51">
        <v>-100</v>
      </c>
      <c r="H61" s="50">
        <v>11423.48</v>
      </c>
      <c r="I61" s="50">
        <v>11423.48</v>
      </c>
      <c r="J61" s="50">
        <v>0</v>
      </c>
      <c r="K61" s="51">
        <v>-100</v>
      </c>
      <c r="L61" s="138"/>
      <c r="N61" s="197"/>
      <c r="O61" s="239">
        <f t="shared" si="6"/>
        <v>-17500</v>
      </c>
      <c r="P61" s="239">
        <f t="shared" si="7"/>
        <v>-11423.48</v>
      </c>
      <c r="Q61" s="243">
        <f t="shared" si="8"/>
        <v>0</v>
      </c>
    </row>
    <row r="62" spans="2:17" ht="12.75" customHeight="1">
      <c r="B62" s="356"/>
      <c r="C62" s="76" t="s">
        <v>103</v>
      </c>
      <c r="D62" s="49">
        <v>3971.6363</v>
      </c>
      <c r="E62" s="50">
        <v>3000</v>
      </c>
      <c r="F62" s="50">
        <v>3000</v>
      </c>
      <c r="G62" s="51">
        <v>0</v>
      </c>
      <c r="H62" s="50">
        <v>4352.71</v>
      </c>
      <c r="I62" s="50">
        <v>2194.87</v>
      </c>
      <c r="J62" s="50">
        <v>2188.74</v>
      </c>
      <c r="K62" s="51">
        <v>-0.2792876115669807</v>
      </c>
      <c r="L62" s="137"/>
      <c r="N62" s="197"/>
      <c r="O62" s="239">
        <f t="shared" si="6"/>
        <v>0</v>
      </c>
      <c r="P62" s="239">
        <f t="shared" si="7"/>
        <v>-6.130000000000109</v>
      </c>
      <c r="Q62" s="243">
        <f t="shared" si="8"/>
        <v>0.7295799999999999</v>
      </c>
    </row>
    <row r="63" spans="2:17" ht="12.75">
      <c r="B63" s="356"/>
      <c r="C63" s="76" t="s">
        <v>98</v>
      </c>
      <c r="D63" s="49">
        <v>10</v>
      </c>
      <c r="E63" s="50">
        <v>7.5</v>
      </c>
      <c r="F63" s="50">
        <v>48000</v>
      </c>
      <c r="G63" s="51">
        <v>639900</v>
      </c>
      <c r="H63" s="50">
        <v>950.23</v>
      </c>
      <c r="I63" s="50">
        <v>701.37</v>
      </c>
      <c r="J63" s="50">
        <v>27360</v>
      </c>
      <c r="K63" s="51">
        <v>3800.936738098293</v>
      </c>
      <c r="L63" s="137"/>
      <c r="N63" s="197"/>
      <c r="O63" s="239">
        <f t="shared" si="6"/>
        <v>47992.5</v>
      </c>
      <c r="P63" s="239">
        <f t="shared" si="7"/>
        <v>26658.63</v>
      </c>
      <c r="Q63" s="243">
        <f t="shared" si="8"/>
        <v>0.57</v>
      </c>
    </row>
    <row r="64" spans="2:17" ht="12.75">
      <c r="B64" s="356"/>
      <c r="C64" s="76" t="s">
        <v>81</v>
      </c>
      <c r="D64" s="49">
        <v>4725</v>
      </c>
      <c r="E64" s="50">
        <v>450</v>
      </c>
      <c r="F64" s="50">
        <v>0</v>
      </c>
      <c r="G64" s="51">
        <v>-100</v>
      </c>
      <c r="H64" s="50">
        <v>851.47</v>
      </c>
      <c r="I64" s="50">
        <v>70.19</v>
      </c>
      <c r="J64" s="50">
        <v>0</v>
      </c>
      <c r="K64" s="51">
        <v>-100</v>
      </c>
      <c r="L64" s="137"/>
      <c r="N64" s="197"/>
      <c r="O64" s="239">
        <f t="shared" si="6"/>
        <v>-450</v>
      </c>
      <c r="P64" s="239">
        <f t="shared" si="7"/>
        <v>-70.19</v>
      </c>
      <c r="Q64" s="243">
        <f t="shared" si="8"/>
        <v>0</v>
      </c>
    </row>
    <row r="65" spans="2:17" ht="12.75" customHeight="1">
      <c r="B65" s="356"/>
      <c r="C65" s="76" t="s">
        <v>195</v>
      </c>
      <c r="D65" s="49">
        <v>1.628</v>
      </c>
      <c r="E65" s="50">
        <v>0.7286</v>
      </c>
      <c r="F65" s="50">
        <v>0</v>
      </c>
      <c r="G65" s="51">
        <v>-100</v>
      </c>
      <c r="H65" s="50">
        <v>381.74</v>
      </c>
      <c r="I65" s="50">
        <v>230.23</v>
      </c>
      <c r="J65" s="50">
        <v>0</v>
      </c>
      <c r="K65" s="51">
        <v>-100</v>
      </c>
      <c r="L65" s="137"/>
      <c r="N65" s="197"/>
      <c r="O65" s="239">
        <f t="shared" si="6"/>
        <v>-0.7286</v>
      </c>
      <c r="P65" s="239">
        <f t="shared" si="7"/>
        <v>-230.23</v>
      </c>
      <c r="Q65" s="243">
        <f t="shared" si="8"/>
        <v>0</v>
      </c>
    </row>
    <row r="66" spans="2:17" ht="12.75" customHeight="1">
      <c r="B66" s="356"/>
      <c r="C66" s="76" t="s">
        <v>176</v>
      </c>
      <c r="D66" s="49">
        <v>30</v>
      </c>
      <c r="E66" s="50">
        <v>0</v>
      </c>
      <c r="F66" s="50">
        <v>112.9692</v>
      </c>
      <c r="G66" s="51" t="s">
        <v>153</v>
      </c>
      <c r="H66" s="50">
        <v>139.98</v>
      </c>
      <c r="I66" s="50">
        <v>0</v>
      </c>
      <c r="J66" s="50">
        <v>724.35</v>
      </c>
      <c r="K66" s="51" t="s">
        <v>153</v>
      </c>
      <c r="L66" s="137"/>
      <c r="N66" s="197"/>
      <c r="O66" s="239">
        <f t="shared" si="6"/>
        <v>112.9692</v>
      </c>
      <c r="P66" s="239">
        <f t="shared" si="7"/>
        <v>724.35</v>
      </c>
      <c r="Q66" s="243">
        <f t="shared" si="8"/>
        <v>6.411924666192201</v>
      </c>
    </row>
    <row r="67" spans="2:17" ht="12.75">
      <c r="B67" s="356"/>
      <c r="C67" s="76" t="s">
        <v>97</v>
      </c>
      <c r="D67" s="49">
        <v>0.5</v>
      </c>
      <c r="E67" s="50">
        <v>0</v>
      </c>
      <c r="F67" s="50">
        <v>0</v>
      </c>
      <c r="G67" s="51" t="s">
        <v>153</v>
      </c>
      <c r="H67" s="50">
        <v>69.4</v>
      </c>
      <c r="I67" s="50">
        <v>0</v>
      </c>
      <c r="J67" s="50">
        <v>0</v>
      </c>
      <c r="K67" s="51" t="s">
        <v>153</v>
      </c>
      <c r="L67" s="137"/>
      <c r="N67" s="197"/>
      <c r="O67" s="239">
        <f t="shared" si="6"/>
        <v>0</v>
      </c>
      <c r="P67" s="239">
        <f t="shared" si="7"/>
        <v>0</v>
      </c>
      <c r="Q67" s="243">
        <f t="shared" si="8"/>
        <v>0</v>
      </c>
    </row>
    <row r="68" spans="2:17" ht="12.75" customHeight="1">
      <c r="B68" s="356"/>
      <c r="C68" s="76" t="s">
        <v>99</v>
      </c>
      <c r="D68" s="49">
        <v>40</v>
      </c>
      <c r="E68" s="50">
        <v>40</v>
      </c>
      <c r="F68" s="50">
        <v>0</v>
      </c>
      <c r="G68" s="51">
        <v>-100</v>
      </c>
      <c r="H68" s="50">
        <v>60.4</v>
      </c>
      <c r="I68" s="50">
        <v>60.4</v>
      </c>
      <c r="J68" s="50">
        <v>0</v>
      </c>
      <c r="K68" s="51">
        <v>-100</v>
      </c>
      <c r="L68" s="138"/>
      <c r="N68" s="197"/>
      <c r="O68" s="239">
        <f t="shared" si="6"/>
        <v>-40</v>
      </c>
      <c r="P68" s="239">
        <f t="shared" si="7"/>
        <v>-60.4</v>
      </c>
      <c r="Q68" s="243">
        <f t="shared" si="8"/>
        <v>0</v>
      </c>
    </row>
    <row r="69" spans="2:17" ht="12.75" customHeight="1">
      <c r="B69" s="156" t="s">
        <v>117</v>
      </c>
      <c r="C69" s="157"/>
      <c r="D69" s="69">
        <v>2095375.7643</v>
      </c>
      <c r="E69" s="70">
        <v>777136.2286</v>
      </c>
      <c r="F69" s="70">
        <v>889471.9692</v>
      </c>
      <c r="G69" s="71">
        <v>14.455089914206077</v>
      </c>
      <c r="H69" s="70">
        <v>1946494.97</v>
      </c>
      <c r="I69" s="70">
        <v>725029.2499999999</v>
      </c>
      <c r="J69" s="70">
        <v>813417.85</v>
      </c>
      <c r="K69" s="71">
        <v>12.191039189108599</v>
      </c>
      <c r="L69" s="137"/>
      <c r="N69" s="197"/>
      <c r="O69" s="239">
        <f t="shared" si="6"/>
        <v>112335.74060000002</v>
      </c>
      <c r="P69" s="239">
        <f t="shared" si="7"/>
        <v>88388.6000000001</v>
      </c>
      <c r="Q69" s="243">
        <f t="shared" si="8"/>
        <v>0.91449520408338</v>
      </c>
    </row>
    <row r="70" spans="2:17" ht="12.75" customHeight="1">
      <c r="B70" s="355" t="s">
        <v>87</v>
      </c>
      <c r="C70" s="76" t="s">
        <v>80</v>
      </c>
      <c r="D70" s="49">
        <v>2700351.2</v>
      </c>
      <c r="E70" s="50">
        <v>144000</v>
      </c>
      <c r="F70" s="50">
        <v>0</v>
      </c>
      <c r="G70" s="51">
        <v>-100</v>
      </c>
      <c r="H70" s="50">
        <v>526560.05</v>
      </c>
      <c r="I70" s="50">
        <v>29046.4</v>
      </c>
      <c r="J70" s="50">
        <v>0</v>
      </c>
      <c r="K70" s="51">
        <v>-100</v>
      </c>
      <c r="L70" s="137"/>
      <c r="N70" s="197"/>
      <c r="O70" s="239">
        <f t="shared" si="6"/>
        <v>-144000</v>
      </c>
      <c r="P70" s="239">
        <f t="shared" si="7"/>
        <v>-29046.4</v>
      </c>
      <c r="Q70" s="243">
        <f t="shared" si="8"/>
        <v>0</v>
      </c>
    </row>
    <row r="71" spans="2:17" ht="12.75">
      <c r="B71" s="356"/>
      <c r="C71" s="76" t="s">
        <v>97</v>
      </c>
      <c r="D71" s="49">
        <v>103976</v>
      </c>
      <c r="E71" s="50">
        <v>0</v>
      </c>
      <c r="F71" s="50">
        <v>57323.0769</v>
      </c>
      <c r="G71" s="51" t="s">
        <v>153</v>
      </c>
      <c r="H71" s="50">
        <v>75689.76</v>
      </c>
      <c r="I71" s="50">
        <v>0</v>
      </c>
      <c r="J71" s="50">
        <v>58523.86</v>
      </c>
      <c r="K71" s="51" t="s">
        <v>153</v>
      </c>
      <c r="L71" s="137"/>
      <c r="N71" s="197"/>
      <c r="O71" s="239">
        <f t="shared" si="6"/>
        <v>57323.0769</v>
      </c>
      <c r="P71" s="239">
        <f t="shared" si="7"/>
        <v>58523.86</v>
      </c>
      <c r="Q71" s="243">
        <f t="shared" si="8"/>
        <v>1.0209476386289376</v>
      </c>
    </row>
    <row r="72" spans="2:17" ht="12.75" customHeight="1">
      <c r="B72" s="356"/>
      <c r="C72" s="76" t="s">
        <v>128</v>
      </c>
      <c r="D72" s="49">
        <v>704</v>
      </c>
      <c r="E72" s="50">
        <v>0</v>
      </c>
      <c r="F72" s="50">
        <v>0</v>
      </c>
      <c r="G72" s="51" t="s">
        <v>153</v>
      </c>
      <c r="H72" s="50">
        <v>52908.14</v>
      </c>
      <c r="I72" s="50">
        <v>0</v>
      </c>
      <c r="J72" s="50">
        <v>0</v>
      </c>
      <c r="K72" s="51" t="s">
        <v>153</v>
      </c>
      <c r="L72" s="137"/>
      <c r="N72" s="197"/>
      <c r="O72" s="239">
        <f aca="true" t="shared" si="9" ref="O72:O93">+F72-E72</f>
        <v>0</v>
      </c>
      <c r="P72" s="239">
        <f aca="true" t="shared" si="10" ref="P72:P93">+J72-I72</f>
        <v>0</v>
      </c>
      <c r="Q72" s="243">
        <f aca="true" t="shared" si="11" ref="Q72:Q93">+IF(F72=0,0,J72/F72)</f>
        <v>0</v>
      </c>
    </row>
    <row r="73" spans="2:17" ht="12.75" customHeight="1">
      <c r="B73" s="356"/>
      <c r="C73" s="76" t="s">
        <v>78</v>
      </c>
      <c r="D73" s="49">
        <v>10598.4346</v>
      </c>
      <c r="E73" s="50">
        <v>6485.9346</v>
      </c>
      <c r="F73" s="50">
        <v>1256.69</v>
      </c>
      <c r="G73" s="51">
        <v>-80.62438064053251</v>
      </c>
      <c r="H73" s="50">
        <v>9606.6</v>
      </c>
      <c r="I73" s="50">
        <v>2147.17</v>
      </c>
      <c r="J73" s="50">
        <v>209.94</v>
      </c>
      <c r="K73" s="51">
        <v>-90.22247889081908</v>
      </c>
      <c r="L73" s="137"/>
      <c r="N73" s="197"/>
      <c r="O73" s="239">
        <f t="shared" si="9"/>
        <v>-5229.2446</v>
      </c>
      <c r="P73" s="239">
        <f t="shared" si="10"/>
        <v>-1937.23</v>
      </c>
      <c r="Q73" s="243">
        <f t="shared" si="11"/>
        <v>0.16705790608662438</v>
      </c>
    </row>
    <row r="74" spans="2:17" ht="12.75" customHeight="1">
      <c r="B74" s="356"/>
      <c r="C74" s="76" t="s">
        <v>77</v>
      </c>
      <c r="D74" s="49">
        <v>2880</v>
      </c>
      <c r="E74" s="50">
        <v>0</v>
      </c>
      <c r="F74" s="50">
        <v>0</v>
      </c>
      <c r="G74" s="51" t="s">
        <v>153</v>
      </c>
      <c r="H74" s="50">
        <v>5350</v>
      </c>
      <c r="I74" s="50">
        <v>0</v>
      </c>
      <c r="J74" s="50">
        <v>0</v>
      </c>
      <c r="K74" s="51" t="s">
        <v>153</v>
      </c>
      <c r="L74" s="137"/>
      <c r="N74" s="197"/>
      <c r="O74" s="239">
        <f t="shared" si="9"/>
        <v>0</v>
      </c>
      <c r="P74" s="239">
        <f t="shared" si="10"/>
        <v>0</v>
      </c>
      <c r="Q74" s="243">
        <f t="shared" si="11"/>
        <v>0</v>
      </c>
    </row>
    <row r="75" spans="2:17" ht="15" customHeight="1">
      <c r="B75" s="356"/>
      <c r="C75" s="76" t="s">
        <v>99</v>
      </c>
      <c r="D75" s="49">
        <v>297.4182</v>
      </c>
      <c r="E75" s="50">
        <v>0</v>
      </c>
      <c r="F75" s="50">
        <v>0</v>
      </c>
      <c r="G75" s="51" t="s">
        <v>153</v>
      </c>
      <c r="H75" s="50">
        <v>465.57</v>
      </c>
      <c r="I75" s="50">
        <v>0</v>
      </c>
      <c r="J75" s="50">
        <v>0</v>
      </c>
      <c r="K75" s="51" t="s">
        <v>153</v>
      </c>
      <c r="L75" s="137"/>
      <c r="N75" s="197"/>
      <c r="O75" s="239">
        <f t="shared" si="9"/>
        <v>0</v>
      </c>
      <c r="P75" s="239">
        <f t="shared" si="10"/>
        <v>0</v>
      </c>
      <c r="Q75" s="243">
        <f t="shared" si="11"/>
        <v>0</v>
      </c>
    </row>
    <row r="76" spans="2:17" ht="12.75">
      <c r="B76" s="156" t="s">
        <v>119</v>
      </c>
      <c r="C76" s="157"/>
      <c r="D76" s="69">
        <v>2818807.0528</v>
      </c>
      <c r="E76" s="70">
        <v>150485.9346</v>
      </c>
      <c r="F76" s="70">
        <v>58579.7669</v>
      </c>
      <c r="G76" s="71">
        <v>-61.07292880513499</v>
      </c>
      <c r="H76" s="70">
        <v>670580.12</v>
      </c>
      <c r="I76" s="70">
        <v>31193.57</v>
      </c>
      <c r="J76" s="70">
        <v>58733.8</v>
      </c>
      <c r="K76" s="71">
        <v>88.28816323364079</v>
      </c>
      <c r="L76" s="138"/>
      <c r="N76" s="197"/>
      <c r="O76" s="239">
        <f t="shared" si="9"/>
        <v>-91906.1677</v>
      </c>
      <c r="P76" s="239">
        <f t="shared" si="10"/>
        <v>27540.230000000003</v>
      </c>
      <c r="Q76" s="243">
        <f t="shared" si="11"/>
        <v>1.0026294590803502</v>
      </c>
    </row>
    <row r="77" spans="2:17" ht="12.75">
      <c r="B77" s="371" t="s">
        <v>126</v>
      </c>
      <c r="C77" s="75" t="s">
        <v>97</v>
      </c>
      <c r="D77" s="45">
        <v>166088</v>
      </c>
      <c r="E77" s="46">
        <v>72838</v>
      </c>
      <c r="F77" s="46">
        <v>116143.75</v>
      </c>
      <c r="G77" s="47">
        <v>59.454886185782144</v>
      </c>
      <c r="H77" s="46">
        <v>123699.09</v>
      </c>
      <c r="I77" s="46">
        <v>52570.42</v>
      </c>
      <c r="J77" s="46">
        <v>87336.33</v>
      </c>
      <c r="K77" s="47">
        <v>66.13207579471498</v>
      </c>
      <c r="L77" s="137"/>
      <c r="N77" s="197"/>
      <c r="O77" s="239">
        <f t="shared" si="9"/>
        <v>43305.75</v>
      </c>
      <c r="P77" s="239">
        <f t="shared" si="10"/>
        <v>34765.91</v>
      </c>
      <c r="Q77" s="243">
        <f t="shared" si="11"/>
        <v>0.7519675402249368</v>
      </c>
    </row>
    <row r="78" spans="2:17" ht="12.75">
      <c r="B78" s="371"/>
      <c r="C78" s="76" t="s">
        <v>128</v>
      </c>
      <c r="D78" s="49">
        <v>6853.01</v>
      </c>
      <c r="E78" s="50">
        <v>2335.91</v>
      </c>
      <c r="F78" s="50">
        <v>312.06</v>
      </c>
      <c r="G78" s="51">
        <v>-86.6407524262493</v>
      </c>
      <c r="H78" s="50">
        <v>53289.97</v>
      </c>
      <c r="I78" s="50">
        <v>23986.93</v>
      </c>
      <c r="J78" s="50">
        <v>21065.7</v>
      </c>
      <c r="K78" s="51">
        <v>-12.178423833312557</v>
      </c>
      <c r="L78" s="138"/>
      <c r="N78" s="197"/>
      <c r="O78" s="239">
        <f t="shared" si="9"/>
        <v>-2023.85</v>
      </c>
      <c r="P78" s="239">
        <f t="shared" si="10"/>
        <v>-2921.2299999999996</v>
      </c>
      <c r="Q78" s="243">
        <f t="shared" si="11"/>
        <v>67.50528744472217</v>
      </c>
    </row>
    <row r="79" spans="2:17" ht="12.75">
      <c r="B79" s="371"/>
      <c r="C79" s="76" t="s">
        <v>78</v>
      </c>
      <c r="D79" s="49">
        <v>42294.58</v>
      </c>
      <c r="E79" s="50">
        <v>22361.62</v>
      </c>
      <c r="F79" s="50">
        <v>26476.6538</v>
      </c>
      <c r="G79" s="51">
        <v>18.40221683402188</v>
      </c>
      <c r="H79" s="50">
        <v>36314.46</v>
      </c>
      <c r="I79" s="50">
        <v>21353.26</v>
      </c>
      <c r="J79" s="50">
        <v>48001.65</v>
      </c>
      <c r="K79" s="51">
        <v>124.79775921803045</v>
      </c>
      <c r="L79" s="138"/>
      <c r="N79" s="197"/>
      <c r="O79" s="239">
        <f t="shared" si="9"/>
        <v>4115.033800000001</v>
      </c>
      <c r="P79" s="239">
        <f t="shared" si="10"/>
        <v>26648.390000000003</v>
      </c>
      <c r="Q79" s="243">
        <f t="shared" si="11"/>
        <v>1.812980233929712</v>
      </c>
    </row>
    <row r="80" spans="2:17" ht="12.75">
      <c r="B80" s="371"/>
      <c r="C80" s="76" t="s">
        <v>120</v>
      </c>
      <c r="D80" s="49">
        <v>21212</v>
      </c>
      <c r="E80" s="50">
        <v>21212</v>
      </c>
      <c r="F80" s="50">
        <v>0</v>
      </c>
      <c r="G80" s="51">
        <v>-100</v>
      </c>
      <c r="H80" s="50">
        <v>16478.15</v>
      </c>
      <c r="I80" s="50">
        <v>16478.15</v>
      </c>
      <c r="J80" s="50">
        <v>0</v>
      </c>
      <c r="K80" s="51">
        <v>-100</v>
      </c>
      <c r="L80" s="139"/>
      <c r="N80" s="197"/>
      <c r="O80" s="239">
        <f t="shared" si="9"/>
        <v>-21212</v>
      </c>
      <c r="P80" s="239">
        <f t="shared" si="10"/>
        <v>-16478.15</v>
      </c>
      <c r="Q80" s="243">
        <f t="shared" si="11"/>
        <v>0</v>
      </c>
    </row>
    <row r="81" spans="2:17" ht="12.75" customHeight="1">
      <c r="B81" s="156" t="s">
        <v>127</v>
      </c>
      <c r="C81" s="157"/>
      <c r="D81" s="69">
        <v>236447.59000000003</v>
      </c>
      <c r="E81" s="70">
        <v>118747.53</v>
      </c>
      <c r="F81" s="70">
        <v>142932.4638</v>
      </c>
      <c r="G81" s="71">
        <v>20.366683669125575</v>
      </c>
      <c r="H81" s="70">
        <v>229781.66999999998</v>
      </c>
      <c r="I81" s="70">
        <v>114388.75999999998</v>
      </c>
      <c r="J81" s="70">
        <v>156403.68000000002</v>
      </c>
      <c r="K81" s="71">
        <v>36.72993745189655</v>
      </c>
      <c r="N81" s="197"/>
      <c r="O81" s="239">
        <f t="shared" si="9"/>
        <v>24184.9338</v>
      </c>
      <c r="P81" s="239">
        <f t="shared" si="10"/>
        <v>42014.92000000004</v>
      </c>
      <c r="Q81" s="243">
        <f t="shared" si="11"/>
        <v>1.0942488210295582</v>
      </c>
    </row>
    <row r="82" spans="2:17" ht="12.75">
      <c r="B82" s="355" t="s">
        <v>86</v>
      </c>
      <c r="C82" s="76" t="s">
        <v>128</v>
      </c>
      <c r="D82" s="49">
        <v>17045.3933</v>
      </c>
      <c r="E82" s="50">
        <v>2061.5329</v>
      </c>
      <c r="F82" s="50">
        <v>13608</v>
      </c>
      <c r="G82" s="51">
        <v>560.0913330075886</v>
      </c>
      <c r="H82" s="50">
        <v>34035.93</v>
      </c>
      <c r="I82" s="50">
        <v>7442.18</v>
      </c>
      <c r="J82" s="50">
        <v>22676</v>
      </c>
      <c r="K82" s="51">
        <v>204.69566712979258</v>
      </c>
      <c r="N82" s="197"/>
      <c r="O82" s="239">
        <f t="shared" si="9"/>
        <v>11546.4671</v>
      </c>
      <c r="P82" s="239">
        <f t="shared" si="10"/>
        <v>15233.82</v>
      </c>
      <c r="Q82" s="243">
        <f t="shared" si="11"/>
        <v>1.6663727219282776</v>
      </c>
    </row>
    <row r="83" spans="2:17" ht="12.75" customHeight="1">
      <c r="B83" s="356"/>
      <c r="C83" s="76" t="s">
        <v>130</v>
      </c>
      <c r="D83" s="49">
        <v>20000</v>
      </c>
      <c r="E83" s="50">
        <v>0</v>
      </c>
      <c r="F83" s="50">
        <v>0</v>
      </c>
      <c r="G83" s="51" t="s">
        <v>153</v>
      </c>
      <c r="H83" s="50">
        <v>14500</v>
      </c>
      <c r="I83" s="50">
        <v>0</v>
      </c>
      <c r="J83" s="50">
        <v>0</v>
      </c>
      <c r="K83" s="51" t="s">
        <v>153</v>
      </c>
      <c r="N83" s="197"/>
      <c r="O83" s="239">
        <f t="shared" si="9"/>
        <v>0</v>
      </c>
      <c r="P83" s="239">
        <f t="shared" si="10"/>
        <v>0</v>
      </c>
      <c r="Q83" s="243">
        <f t="shared" si="11"/>
        <v>0</v>
      </c>
    </row>
    <row r="84" spans="2:17" ht="12.75">
      <c r="B84" s="356"/>
      <c r="C84" s="76" t="s">
        <v>101</v>
      </c>
      <c r="D84" s="49">
        <v>541.8</v>
      </c>
      <c r="E84" s="50">
        <v>541.8</v>
      </c>
      <c r="F84" s="50">
        <v>0</v>
      </c>
      <c r="G84" s="51">
        <v>-100</v>
      </c>
      <c r="H84" s="50">
        <v>1443.24</v>
      </c>
      <c r="I84" s="50">
        <v>1443.24</v>
      </c>
      <c r="J84" s="50">
        <v>0</v>
      </c>
      <c r="K84" s="51">
        <v>-100</v>
      </c>
      <c r="N84" s="197"/>
      <c r="O84" s="239">
        <f t="shared" si="9"/>
        <v>-541.8</v>
      </c>
      <c r="P84" s="239">
        <f t="shared" si="10"/>
        <v>-1443.24</v>
      </c>
      <c r="Q84" s="243">
        <f t="shared" si="11"/>
        <v>0</v>
      </c>
    </row>
    <row r="85" spans="2:17" ht="12.75">
      <c r="B85" s="356"/>
      <c r="C85" s="76" t="s">
        <v>99</v>
      </c>
      <c r="D85" s="49">
        <v>152.6277</v>
      </c>
      <c r="E85" s="50">
        <v>62.6277</v>
      </c>
      <c r="F85" s="50">
        <v>21</v>
      </c>
      <c r="G85" s="51">
        <v>-66.46851153722714</v>
      </c>
      <c r="H85" s="50">
        <v>212.45</v>
      </c>
      <c r="I85" s="50">
        <v>117.07</v>
      </c>
      <c r="J85" s="50">
        <v>34.5</v>
      </c>
      <c r="K85" s="51">
        <v>-70.53045186640472</v>
      </c>
      <c r="N85" s="197"/>
      <c r="O85" s="239">
        <f t="shared" si="9"/>
        <v>-41.6277</v>
      </c>
      <c r="P85" s="239">
        <f t="shared" si="10"/>
        <v>-82.57</v>
      </c>
      <c r="Q85" s="243">
        <f t="shared" si="11"/>
        <v>1.6428571428571428</v>
      </c>
    </row>
    <row r="86" spans="2:17" ht="12.75">
      <c r="B86" s="356"/>
      <c r="C86" s="76" t="s">
        <v>102</v>
      </c>
      <c r="D86" s="49">
        <v>6.3</v>
      </c>
      <c r="E86" s="50">
        <v>0</v>
      </c>
      <c r="F86" s="50">
        <v>0</v>
      </c>
      <c r="G86" s="51" t="s">
        <v>153</v>
      </c>
      <c r="H86" s="50">
        <v>117.95</v>
      </c>
      <c r="I86" s="50">
        <v>0</v>
      </c>
      <c r="J86" s="50">
        <v>0</v>
      </c>
      <c r="K86" s="51" t="s">
        <v>153</v>
      </c>
      <c r="N86" s="197"/>
      <c r="O86" s="239">
        <f t="shared" si="9"/>
        <v>0</v>
      </c>
      <c r="P86" s="239">
        <f t="shared" si="10"/>
        <v>0</v>
      </c>
      <c r="Q86" s="243">
        <f t="shared" si="11"/>
        <v>0</v>
      </c>
    </row>
    <row r="87" spans="2:17" ht="12.75">
      <c r="B87" s="356"/>
      <c r="C87" s="76" t="s">
        <v>85</v>
      </c>
      <c r="D87" s="49">
        <v>30</v>
      </c>
      <c r="E87" s="50">
        <v>30</v>
      </c>
      <c r="F87" s="50">
        <v>0</v>
      </c>
      <c r="G87" s="51">
        <v>-100</v>
      </c>
      <c r="H87" s="50">
        <v>113.08</v>
      </c>
      <c r="I87" s="50">
        <v>113.08</v>
      </c>
      <c r="J87" s="50">
        <v>0</v>
      </c>
      <c r="K87" s="51">
        <v>-100</v>
      </c>
      <c r="N87" s="197"/>
      <c r="O87" s="239">
        <f t="shared" si="9"/>
        <v>-30</v>
      </c>
      <c r="P87" s="239">
        <f t="shared" si="10"/>
        <v>-113.08</v>
      </c>
      <c r="Q87" s="243">
        <f t="shared" si="11"/>
        <v>0</v>
      </c>
    </row>
    <row r="88" spans="2:17" ht="12.75">
      <c r="B88" s="356"/>
      <c r="C88" s="76" t="s">
        <v>96</v>
      </c>
      <c r="D88" s="49">
        <v>0</v>
      </c>
      <c r="E88" s="50">
        <v>0</v>
      </c>
      <c r="F88" s="50">
        <v>1.38</v>
      </c>
      <c r="G88" s="51" t="s">
        <v>153</v>
      </c>
      <c r="H88" s="50">
        <v>0</v>
      </c>
      <c r="I88" s="50">
        <v>0</v>
      </c>
      <c r="J88" s="50">
        <v>167.27</v>
      </c>
      <c r="K88" s="51" t="s">
        <v>153</v>
      </c>
      <c r="N88" s="197"/>
      <c r="O88" s="239">
        <f t="shared" si="9"/>
        <v>1.38</v>
      </c>
      <c r="P88" s="239">
        <f t="shared" si="10"/>
        <v>167.27</v>
      </c>
      <c r="Q88" s="243">
        <f t="shared" si="11"/>
        <v>121.21014492753625</v>
      </c>
    </row>
    <row r="89" spans="2:17" ht="12.75">
      <c r="B89" s="291"/>
      <c r="C89" s="76" t="s">
        <v>78</v>
      </c>
      <c r="D89" s="49">
        <v>0</v>
      </c>
      <c r="E89" s="50">
        <v>0</v>
      </c>
      <c r="F89" s="50">
        <v>964.6308</v>
      </c>
      <c r="G89" s="51" t="s">
        <v>153</v>
      </c>
      <c r="H89" s="50">
        <v>0</v>
      </c>
      <c r="I89" s="50">
        <v>0</v>
      </c>
      <c r="J89" s="50">
        <v>216.91</v>
      </c>
      <c r="K89" s="51" t="s">
        <v>153</v>
      </c>
      <c r="N89" s="197"/>
      <c r="O89" s="239"/>
      <c r="P89" s="239"/>
      <c r="Q89" s="243"/>
    </row>
    <row r="90" spans="2:17" ht="12.75">
      <c r="B90" s="156" t="s">
        <v>118</v>
      </c>
      <c r="C90" s="157"/>
      <c r="D90" s="69">
        <v>37776.121</v>
      </c>
      <c r="E90" s="70">
        <v>2695.9606000000003</v>
      </c>
      <c r="F90" s="70">
        <v>14595.0108</v>
      </c>
      <c r="G90" s="71">
        <v>441.3658790117332</v>
      </c>
      <c r="H90" s="70">
        <v>50422.65</v>
      </c>
      <c r="I90" s="70">
        <v>9115.57</v>
      </c>
      <c r="J90" s="70">
        <v>23094.68</v>
      </c>
      <c r="K90" s="71">
        <v>153.354206045261</v>
      </c>
      <c r="N90" s="197"/>
      <c r="O90" s="239">
        <f t="shared" si="9"/>
        <v>11899.0502</v>
      </c>
      <c r="P90" s="239">
        <f t="shared" si="10"/>
        <v>13979.11</v>
      </c>
      <c r="Q90" s="243">
        <f t="shared" si="11"/>
        <v>1.5823681336364617</v>
      </c>
    </row>
    <row r="91" spans="2:17" ht="25.5">
      <c r="B91" s="223" t="s">
        <v>207</v>
      </c>
      <c r="C91" s="217" t="s">
        <v>96</v>
      </c>
      <c r="D91" s="218">
        <v>0.8</v>
      </c>
      <c r="E91" s="218">
        <v>0</v>
      </c>
      <c r="F91" s="218">
        <v>1.339</v>
      </c>
      <c r="G91" s="219" t="s">
        <v>153</v>
      </c>
      <c r="H91" s="218">
        <v>101.4</v>
      </c>
      <c r="I91" s="218">
        <v>0</v>
      </c>
      <c r="J91" s="218">
        <v>203.57</v>
      </c>
      <c r="K91" s="219" t="s">
        <v>153</v>
      </c>
      <c r="N91" s="197"/>
      <c r="O91" s="239">
        <f t="shared" si="9"/>
        <v>1.339</v>
      </c>
      <c r="P91" s="239">
        <f t="shared" si="10"/>
        <v>203.57</v>
      </c>
      <c r="Q91" s="243">
        <f t="shared" si="11"/>
        <v>152.03136669156086</v>
      </c>
    </row>
    <row r="92" spans="2:17" ht="12.75">
      <c r="B92" s="156" t="s">
        <v>208</v>
      </c>
      <c r="C92" s="157"/>
      <c r="D92" s="69">
        <v>0.8</v>
      </c>
      <c r="E92" s="70">
        <v>0</v>
      </c>
      <c r="F92" s="70">
        <v>1.339</v>
      </c>
      <c r="G92" s="71" t="s">
        <v>153</v>
      </c>
      <c r="H92" s="70">
        <v>101.4</v>
      </c>
      <c r="I92" s="70">
        <v>0</v>
      </c>
      <c r="J92" s="70">
        <v>203.57</v>
      </c>
      <c r="K92" s="71" t="s">
        <v>153</v>
      </c>
      <c r="N92" s="197"/>
      <c r="O92" s="239">
        <f t="shared" si="9"/>
        <v>1.339</v>
      </c>
      <c r="P92" s="239">
        <f t="shared" si="10"/>
        <v>203.57</v>
      </c>
      <c r="Q92" s="243">
        <f t="shared" si="11"/>
        <v>152.03136669156086</v>
      </c>
    </row>
    <row r="93" spans="2:17" ht="12.75">
      <c r="B93" s="156" t="s">
        <v>94</v>
      </c>
      <c r="C93" s="157"/>
      <c r="D93" s="69">
        <v>96182188.79299998</v>
      </c>
      <c r="E93" s="70">
        <v>31795456.5751</v>
      </c>
      <c r="F93" s="70">
        <v>43729899.36540001</v>
      </c>
      <c r="G93" s="71">
        <v>37.535057130288976</v>
      </c>
      <c r="H93" s="70">
        <v>83449177.91</v>
      </c>
      <c r="I93" s="70">
        <v>28400734.37</v>
      </c>
      <c r="J93" s="70">
        <v>39374551.2</v>
      </c>
      <c r="K93" s="71">
        <v>38.63920096936564</v>
      </c>
      <c r="N93" s="197"/>
      <c r="O93" s="239">
        <f t="shared" si="9"/>
        <v>11934442.790300008</v>
      </c>
      <c r="P93" s="239">
        <f t="shared" si="10"/>
        <v>10973816.830000002</v>
      </c>
      <c r="Q93" s="243">
        <f t="shared" si="11"/>
        <v>0.9004034258344065</v>
      </c>
    </row>
    <row r="94" spans="2:17" ht="12.75">
      <c r="B94" s="183" t="s">
        <v>159</v>
      </c>
      <c r="C94" s="184"/>
      <c r="D94" s="184"/>
      <c r="E94" s="184"/>
      <c r="F94" s="184"/>
      <c r="G94" s="184"/>
      <c r="H94" s="184"/>
      <c r="I94" s="184"/>
      <c r="J94" s="184"/>
      <c r="K94" s="185"/>
      <c r="N94" s="197"/>
      <c r="O94" s="239"/>
      <c r="P94" s="239"/>
      <c r="Q94" s="243"/>
    </row>
    <row r="95" spans="14:15" ht="12.75">
      <c r="N95" s="197"/>
      <c r="O95" s="230"/>
    </row>
    <row r="96" spans="14:15" ht="12.75">
      <c r="N96" s="197"/>
      <c r="O96" s="230"/>
    </row>
    <row r="97" spans="14:15" ht="12.75">
      <c r="N97" s="197"/>
      <c r="O97" s="230"/>
    </row>
    <row r="98" spans="14:15" ht="12.75">
      <c r="N98" s="197"/>
      <c r="O98" s="230"/>
    </row>
    <row r="99" spans="14:15" ht="12.75">
      <c r="N99" s="197"/>
      <c r="O99" s="230"/>
    </row>
    <row r="100" spans="14:15" ht="12.75">
      <c r="N100" s="197"/>
      <c r="O100" s="230"/>
    </row>
    <row r="101" spans="14:15" ht="12.75">
      <c r="N101" s="197"/>
      <c r="O101" s="230"/>
    </row>
    <row r="102" spans="14:15" ht="12.75">
      <c r="N102" s="197"/>
      <c r="O102" s="230"/>
    </row>
    <row r="103" spans="14:15" ht="12.75">
      <c r="N103" s="197"/>
      <c r="O103" s="230"/>
    </row>
    <row r="104" spans="14:15" ht="12.75">
      <c r="N104" s="197"/>
      <c r="O104" s="230"/>
    </row>
    <row r="105" spans="14:15" ht="12.75">
      <c r="N105" s="197"/>
      <c r="O105" s="230"/>
    </row>
    <row r="106" spans="14:15" ht="12.75">
      <c r="N106" s="197"/>
      <c r="O106" s="230"/>
    </row>
    <row r="107" spans="14:15" ht="12.75">
      <c r="N107" s="197"/>
      <c r="O107" s="230"/>
    </row>
    <row r="108" spans="14:15" ht="12.75">
      <c r="N108" s="197"/>
      <c r="O108" s="230"/>
    </row>
    <row r="109" spans="14:15" ht="12.75">
      <c r="N109" s="197"/>
      <c r="O109" s="230"/>
    </row>
    <row r="110" spans="14:15" ht="12.75">
      <c r="N110" s="197"/>
      <c r="O110" s="230"/>
    </row>
    <row r="111" spans="14:15" ht="12.75">
      <c r="N111" s="197"/>
      <c r="O111" s="230"/>
    </row>
    <row r="112" spans="14:15" ht="12.75">
      <c r="N112" s="197"/>
      <c r="O112" s="230"/>
    </row>
    <row r="113" spans="14:15" ht="12.75">
      <c r="N113" s="197"/>
      <c r="O113" s="230"/>
    </row>
    <row r="114" spans="14:15" ht="12.75">
      <c r="N114" s="197"/>
      <c r="O114" s="230"/>
    </row>
    <row r="115" spans="14:15" ht="12.75">
      <c r="N115" s="197"/>
      <c r="O115" s="230"/>
    </row>
    <row r="116" spans="14:15" ht="12.75">
      <c r="N116" s="197"/>
      <c r="O116" s="230"/>
    </row>
    <row r="117" spans="14:15" ht="12.75">
      <c r="N117" s="197"/>
      <c r="O117" s="230"/>
    </row>
    <row r="118" spans="14:15" ht="12.75">
      <c r="N118" s="197"/>
      <c r="O118" s="230"/>
    </row>
  </sheetData>
  <sheetProtection/>
  <mergeCells count="12">
    <mergeCell ref="B82:B88"/>
    <mergeCell ref="B5:B18"/>
    <mergeCell ref="B70:B75"/>
    <mergeCell ref="B21:B31"/>
    <mergeCell ref="B77:B80"/>
    <mergeCell ref="B54:B68"/>
    <mergeCell ref="B33:B52"/>
    <mergeCell ref="B2:K2"/>
    <mergeCell ref="D3:G3"/>
    <mergeCell ref="H3:K3"/>
    <mergeCell ref="B3:B4"/>
    <mergeCell ref="C3:C4"/>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27" customWidth="1"/>
    <col min="10" max="23" width="10.8515625" style="127" customWidth="1"/>
    <col min="24" max="16384" width="10.8515625" style="127" customWidth="1"/>
  </cols>
  <sheetData>
    <row r="1" spans="2:3" ht="15">
      <c r="B1" s="126"/>
      <c r="C1" s="126"/>
    </row>
    <row r="5" spans="2:8" ht="15.75">
      <c r="B5" s="86"/>
      <c r="C5" s="86"/>
      <c r="D5" s="87"/>
      <c r="E5" s="292" t="s">
        <v>112</v>
      </c>
      <c r="F5" s="87"/>
      <c r="G5" s="86"/>
      <c r="H5" s="86"/>
    </row>
    <row r="6" spans="2:8" ht="15" customHeight="1">
      <c r="B6" s="86"/>
      <c r="C6" s="86"/>
      <c r="E6" s="164" t="str">
        <f>+Portada!E42</f>
        <v>Junio 2016</v>
      </c>
      <c r="F6" s="163"/>
      <c r="G6" s="86"/>
      <c r="H6" s="86"/>
    </row>
    <row r="7" spans="2:8" ht="15">
      <c r="B7" s="86"/>
      <c r="C7" s="86"/>
      <c r="D7" s="87"/>
      <c r="E7" s="129" t="s">
        <v>260</v>
      </c>
      <c r="F7" s="87"/>
      <c r="G7" s="86"/>
      <c r="H7" s="86"/>
    </row>
    <row r="8" spans="2:8" ht="15">
      <c r="B8" s="86"/>
      <c r="D8" s="130"/>
      <c r="F8" s="130"/>
      <c r="G8" s="130"/>
      <c r="H8" s="86"/>
    </row>
    <row r="9" spans="2:8" ht="15">
      <c r="B9" s="86"/>
      <c r="C9" s="86"/>
      <c r="D9" s="86"/>
      <c r="E9" s="86"/>
      <c r="F9" s="86"/>
      <c r="G9" s="86"/>
      <c r="H9" s="86"/>
    </row>
    <row r="10" spans="2:8" ht="15">
      <c r="B10" s="86"/>
      <c r="C10" s="86"/>
      <c r="D10" s="87"/>
      <c r="E10" s="121" t="s">
        <v>151</v>
      </c>
      <c r="F10" s="87"/>
      <c r="G10" s="86"/>
      <c r="H10" s="86"/>
    </row>
    <row r="11" spans="2:8" ht="15">
      <c r="B11" s="86"/>
      <c r="C11" s="86"/>
      <c r="D11" s="86"/>
      <c r="E11" s="86"/>
      <c r="F11" s="86"/>
      <c r="G11" s="86"/>
      <c r="H11" s="86"/>
    </row>
    <row r="12" spans="2:8" ht="15">
      <c r="B12" s="86"/>
      <c r="C12" s="86"/>
      <c r="D12" s="86"/>
      <c r="E12" s="86"/>
      <c r="F12" s="86"/>
      <c r="G12" s="86"/>
      <c r="H12" s="86"/>
    </row>
    <row r="13" spans="2:8" ht="15">
      <c r="B13" s="86"/>
      <c r="C13" s="86"/>
      <c r="D13" s="86"/>
      <c r="E13" s="86"/>
      <c r="F13" s="86"/>
      <c r="G13" s="86"/>
      <c r="H13" s="86"/>
    </row>
    <row r="14" spans="2:8" ht="15">
      <c r="B14" s="86"/>
      <c r="C14" s="86"/>
      <c r="D14" s="86"/>
      <c r="E14" s="86"/>
      <c r="F14" s="86"/>
      <c r="G14" s="86"/>
      <c r="H14" s="86"/>
    </row>
    <row r="15" spans="2:8" ht="15">
      <c r="B15" s="86"/>
      <c r="C15" s="86"/>
      <c r="D15" s="86"/>
      <c r="E15" s="86"/>
      <c r="F15" s="86"/>
      <c r="G15" s="86"/>
      <c r="H15" s="86"/>
    </row>
    <row r="16" spans="2:8" ht="15">
      <c r="B16" s="87"/>
      <c r="D16" s="131"/>
      <c r="E16" s="129" t="s">
        <v>121</v>
      </c>
      <c r="F16" s="131"/>
      <c r="G16" s="131"/>
      <c r="H16" s="87"/>
    </row>
    <row r="17" spans="2:8" ht="15">
      <c r="B17" s="86"/>
      <c r="D17" s="131"/>
      <c r="E17" s="129" t="s">
        <v>0</v>
      </c>
      <c r="F17" s="131"/>
      <c r="G17" s="131"/>
      <c r="H17" s="86"/>
    </row>
    <row r="18" spans="2:8" ht="15">
      <c r="B18" s="87"/>
      <c r="D18" s="132"/>
      <c r="E18" s="133" t="s">
        <v>1</v>
      </c>
      <c r="F18" s="132"/>
      <c r="G18" s="132"/>
      <c r="H18" s="87"/>
    </row>
    <row r="19" spans="2:8" ht="15">
      <c r="B19" s="87"/>
      <c r="C19" s="87"/>
      <c r="D19" s="87"/>
      <c r="E19" s="87"/>
      <c r="F19" s="87"/>
      <c r="G19" s="87"/>
      <c r="H19" s="87"/>
    </row>
    <row r="20" spans="2:8" ht="15">
      <c r="B20" s="87"/>
      <c r="E20" s="153" t="s">
        <v>168</v>
      </c>
      <c r="F20" s="153"/>
      <c r="G20" s="153"/>
      <c r="H20" s="128"/>
    </row>
    <row r="21" spans="2:8" ht="15">
      <c r="B21" s="87"/>
      <c r="E21" s="153" t="s">
        <v>150</v>
      </c>
      <c r="F21" s="153"/>
      <c r="G21" s="153"/>
      <c r="H21" s="128"/>
    </row>
    <row r="22" spans="2:8" ht="15">
      <c r="B22" s="87"/>
      <c r="C22" s="87"/>
      <c r="D22" s="87"/>
      <c r="E22" s="87"/>
      <c r="F22" s="87"/>
      <c r="G22" s="87"/>
      <c r="H22" s="87"/>
    </row>
    <row r="23" spans="2:8" ht="15">
      <c r="B23" s="87"/>
      <c r="C23" s="87"/>
      <c r="D23" s="86"/>
      <c r="E23" s="86"/>
      <c r="F23" s="86"/>
      <c r="G23" s="87"/>
      <c r="H23" s="87"/>
    </row>
    <row r="24" spans="2:8" ht="15">
      <c r="B24" s="87"/>
      <c r="C24" s="87"/>
      <c r="D24" s="86"/>
      <c r="E24" s="86"/>
      <c r="F24" s="86"/>
      <c r="G24" s="87"/>
      <c r="H24" s="87"/>
    </row>
    <row r="25" spans="2:8" ht="15">
      <c r="B25" s="87"/>
      <c r="C25" s="87"/>
      <c r="D25" s="87"/>
      <c r="E25" s="87"/>
      <c r="F25" s="87"/>
      <c r="G25" s="87"/>
      <c r="H25" s="87"/>
    </row>
    <row r="26" spans="2:8" ht="15">
      <c r="B26" s="86"/>
      <c r="C26" s="86"/>
      <c r="D26" s="86"/>
      <c r="E26" s="86"/>
      <c r="F26" s="86"/>
      <c r="G26" s="86"/>
      <c r="H26" s="86"/>
    </row>
    <row r="27" spans="2:8" ht="15">
      <c r="B27" s="86"/>
      <c r="C27" s="86"/>
      <c r="D27" s="86"/>
      <c r="E27" s="86"/>
      <c r="F27" s="86"/>
      <c r="G27" s="86"/>
      <c r="H27" s="86"/>
    </row>
    <row r="28" spans="4:8" ht="15">
      <c r="D28" s="134"/>
      <c r="E28" s="293" t="s">
        <v>109</v>
      </c>
      <c r="F28" s="134"/>
      <c r="G28" s="134"/>
      <c r="H28" s="128"/>
    </row>
    <row r="29" spans="2:8" ht="15">
      <c r="B29" s="86"/>
      <c r="C29" s="86"/>
      <c r="D29" s="86"/>
      <c r="E29" s="86"/>
      <c r="F29" s="86"/>
      <c r="G29" s="86"/>
      <c r="H29" s="86"/>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95" customWidth="1"/>
    <col min="2" max="9" width="11.00390625" style="295" customWidth="1"/>
    <col min="10" max="10" width="2.00390625" style="295" customWidth="1"/>
    <col min="11" max="26" width="10.8515625" style="295" customWidth="1"/>
    <col min="27" max="16384" width="10.8515625" style="295" customWidth="1"/>
  </cols>
  <sheetData>
    <row r="2" spans="2:11" ht="15">
      <c r="B2" s="304" t="s">
        <v>172</v>
      </c>
      <c r="C2" s="304"/>
      <c r="D2" s="304"/>
      <c r="E2" s="304"/>
      <c r="F2" s="304"/>
      <c r="G2" s="304"/>
      <c r="H2" s="304"/>
      <c r="I2" s="304"/>
      <c r="J2" s="294"/>
      <c r="K2" s="78" t="s">
        <v>158</v>
      </c>
    </row>
    <row r="3" spans="2:10" ht="14.25">
      <c r="B3" s="296"/>
      <c r="C3" s="296"/>
      <c r="D3" s="296"/>
      <c r="E3" s="296"/>
      <c r="F3" s="296"/>
      <c r="G3" s="296"/>
      <c r="H3" s="296"/>
      <c r="I3" s="296"/>
      <c r="J3" s="296"/>
    </row>
    <row r="4" spans="2:10" ht="34.5" customHeight="1">
      <c r="B4" s="305" t="s">
        <v>210</v>
      </c>
      <c r="C4" s="305"/>
      <c r="D4" s="305"/>
      <c r="E4" s="305"/>
      <c r="F4" s="305"/>
      <c r="G4" s="305"/>
      <c r="H4" s="305"/>
      <c r="I4" s="305"/>
      <c r="J4" s="297"/>
    </row>
    <row r="5" spans="2:10" ht="29.25" customHeight="1">
      <c r="B5" s="305" t="s">
        <v>174</v>
      </c>
      <c r="C5" s="305"/>
      <c r="D5" s="305"/>
      <c r="E5" s="305"/>
      <c r="F5" s="305"/>
      <c r="G5" s="305"/>
      <c r="H5" s="305"/>
      <c r="I5" s="305"/>
      <c r="J5" s="297"/>
    </row>
    <row r="6" spans="2:10" ht="18" customHeight="1">
      <c r="B6" s="303" t="s">
        <v>173</v>
      </c>
      <c r="C6" s="303"/>
      <c r="D6" s="303"/>
      <c r="E6" s="303"/>
      <c r="F6" s="303"/>
      <c r="G6" s="303"/>
      <c r="H6" s="303"/>
      <c r="I6" s="303"/>
      <c r="J6" s="297"/>
    </row>
    <row r="7" spans="2:10" ht="34.5" customHeight="1">
      <c r="B7" s="303" t="s">
        <v>175</v>
      </c>
      <c r="C7" s="303"/>
      <c r="D7" s="303"/>
      <c r="E7" s="303"/>
      <c r="F7" s="303"/>
      <c r="G7" s="303"/>
      <c r="H7" s="303"/>
      <c r="I7" s="303"/>
      <c r="J7" s="297"/>
    </row>
    <row r="8" spans="2:10" ht="34.5" customHeight="1">
      <c r="B8" s="303" t="s">
        <v>177</v>
      </c>
      <c r="C8" s="303"/>
      <c r="D8" s="303"/>
      <c r="E8" s="303"/>
      <c r="F8" s="303"/>
      <c r="G8" s="303"/>
      <c r="H8" s="303"/>
      <c r="I8" s="303"/>
      <c r="J8" s="297"/>
    </row>
    <row r="9" spans="2:9" ht="14.25">
      <c r="B9" s="303" t="s">
        <v>190</v>
      </c>
      <c r="C9" s="303"/>
      <c r="D9" s="303"/>
      <c r="E9" s="303"/>
      <c r="F9" s="303"/>
      <c r="G9" s="303"/>
      <c r="H9" s="303"/>
      <c r="I9" s="303"/>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6"/>
  <sheetViews>
    <sheetView zoomScale="80" zoomScaleNormal="80" zoomScalePageLayoutView="90" workbookViewId="0" topLeftCell="A1">
      <selection activeCell="A1" sqref="A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306" t="s">
        <v>57</v>
      </c>
      <c r="C2" s="306"/>
      <c r="D2" s="306"/>
    </row>
    <row r="3" spans="2:3" ht="12.75">
      <c r="B3" s="8"/>
      <c r="C3" s="67"/>
    </row>
    <row r="4" spans="2:4" ht="12.75">
      <c r="B4" s="24" t="s">
        <v>56</v>
      </c>
      <c r="C4" s="24" t="s">
        <v>53</v>
      </c>
      <c r="D4" s="23" t="s">
        <v>52</v>
      </c>
    </row>
    <row r="5" spans="2:4" ht="8.25" customHeight="1">
      <c r="B5" s="37"/>
      <c r="C5" s="21"/>
      <c r="D5" s="20"/>
    </row>
    <row r="6" spans="2:4" ht="12.75">
      <c r="B6" s="11">
        <v>1</v>
      </c>
      <c r="C6" s="76" t="s">
        <v>105</v>
      </c>
      <c r="D6" s="30">
        <v>5</v>
      </c>
    </row>
    <row r="7" spans="2:4" ht="12.75">
      <c r="B7" s="11">
        <v>2</v>
      </c>
      <c r="C7" s="76" t="s">
        <v>106</v>
      </c>
      <c r="D7" s="30">
        <v>5</v>
      </c>
    </row>
    <row r="8" spans="2:4" ht="12.75">
      <c r="B8" s="11">
        <v>3</v>
      </c>
      <c r="C8" s="76" t="s">
        <v>129</v>
      </c>
      <c r="D8" s="30">
        <v>5</v>
      </c>
    </row>
    <row r="9" spans="2:4" ht="12.75">
      <c r="B9" s="11">
        <v>4</v>
      </c>
      <c r="C9" s="104" t="s">
        <v>215</v>
      </c>
      <c r="D9" s="30">
        <v>5</v>
      </c>
    </row>
    <row r="10" spans="2:4" ht="7.5" customHeight="1">
      <c r="B10" s="19"/>
      <c r="C10" s="18"/>
      <c r="D10" s="17"/>
    </row>
    <row r="11" spans="2:4" ht="12.75">
      <c r="B11" s="24" t="s">
        <v>55</v>
      </c>
      <c r="C11" s="24" t="s">
        <v>53</v>
      </c>
      <c r="D11" s="23" t="s">
        <v>52</v>
      </c>
    </row>
    <row r="12" spans="2:4" ht="8.25" customHeight="1">
      <c r="B12" s="12"/>
      <c r="C12" s="14"/>
      <c r="D12" s="16"/>
    </row>
    <row r="13" spans="2:4" ht="12.75">
      <c r="B13" s="12">
        <v>1</v>
      </c>
      <c r="C13" s="10" t="s">
        <v>140</v>
      </c>
      <c r="D13" s="31">
        <v>6</v>
      </c>
    </row>
    <row r="14" spans="2:4" ht="12.75">
      <c r="B14" s="12">
        <v>2</v>
      </c>
      <c r="C14" s="10" t="s">
        <v>146</v>
      </c>
      <c r="D14" s="32">
        <v>7</v>
      </c>
    </row>
    <row r="15" spans="2:4" ht="12.75">
      <c r="B15" s="12">
        <v>3</v>
      </c>
      <c r="C15" s="10" t="s">
        <v>145</v>
      </c>
      <c r="D15" s="32">
        <v>8</v>
      </c>
    </row>
    <row r="16" spans="2:4" ht="12.75">
      <c r="B16" s="12">
        <v>4</v>
      </c>
      <c r="C16" s="10" t="s">
        <v>107</v>
      </c>
      <c r="D16" s="32">
        <v>9</v>
      </c>
    </row>
    <row r="17" spans="2:4" ht="12.75">
      <c r="B17" s="12">
        <v>5</v>
      </c>
      <c r="C17" s="10" t="s">
        <v>154</v>
      </c>
      <c r="D17" s="32">
        <v>10</v>
      </c>
    </row>
    <row r="18" spans="2:4" ht="12.75">
      <c r="B18" s="12">
        <v>6</v>
      </c>
      <c r="C18" s="10" t="s">
        <v>14</v>
      </c>
      <c r="D18" s="32">
        <v>11</v>
      </c>
    </row>
    <row r="19" spans="2:4" ht="12.75">
      <c r="B19" s="12">
        <v>7</v>
      </c>
      <c r="C19" s="10" t="s">
        <v>50</v>
      </c>
      <c r="D19" s="31">
        <v>12</v>
      </c>
    </row>
    <row r="20" spans="2:4" ht="12.75">
      <c r="B20" s="12">
        <v>8</v>
      </c>
      <c r="C20" s="10" t="s">
        <v>49</v>
      </c>
      <c r="D20" s="31">
        <v>13</v>
      </c>
    </row>
    <row r="21" spans="2:4" ht="12.75">
      <c r="B21" s="12">
        <v>9</v>
      </c>
      <c r="C21" s="10" t="s">
        <v>48</v>
      </c>
      <c r="D21" s="31">
        <v>14</v>
      </c>
    </row>
    <row r="22" spans="2:4" ht="15">
      <c r="B22" s="12">
        <v>10</v>
      </c>
      <c r="C22" s="10" t="s">
        <v>241</v>
      </c>
      <c r="D22" s="269">
        <v>15</v>
      </c>
    </row>
    <row r="23" spans="2:4" ht="12.75">
      <c r="B23" s="12">
        <v>11</v>
      </c>
      <c r="C23" s="10" t="s">
        <v>216</v>
      </c>
      <c r="D23" s="31">
        <v>16</v>
      </c>
    </row>
    <row r="24" spans="2:4" ht="12.75">
      <c r="B24" s="12">
        <v>12</v>
      </c>
      <c r="C24" s="10" t="s">
        <v>217</v>
      </c>
      <c r="D24" s="31">
        <v>17</v>
      </c>
    </row>
    <row r="25" spans="2:4" ht="6.75" customHeight="1">
      <c r="B25" s="12"/>
      <c r="C25" s="14"/>
      <c r="D25" s="13"/>
    </row>
    <row r="26" spans="2:4" ht="12.75">
      <c r="B26" s="24" t="s">
        <v>54</v>
      </c>
      <c r="C26" s="25" t="s">
        <v>53</v>
      </c>
      <c r="D26" s="23" t="s">
        <v>52</v>
      </c>
    </row>
    <row r="27" spans="2:4" ht="7.5" customHeight="1">
      <c r="B27" s="15"/>
      <c r="C27" s="14"/>
      <c r="D27" s="13"/>
    </row>
    <row r="28" spans="2:4" ht="12.75">
      <c r="B28" s="12">
        <v>1</v>
      </c>
      <c r="C28" s="26" t="s">
        <v>139</v>
      </c>
      <c r="D28" s="31">
        <v>6</v>
      </c>
    </row>
    <row r="29" spans="2:4" ht="12.75">
      <c r="B29" s="12">
        <v>2</v>
      </c>
      <c r="C29" s="8" t="s">
        <v>149</v>
      </c>
      <c r="D29" s="31">
        <v>7</v>
      </c>
    </row>
    <row r="30" spans="2:4" ht="12.75">
      <c r="B30" s="12">
        <v>3</v>
      </c>
      <c r="C30" s="8" t="s">
        <v>148</v>
      </c>
      <c r="D30" s="31">
        <v>8</v>
      </c>
    </row>
    <row r="31" spans="2:4" ht="12.75">
      <c r="B31" s="12">
        <v>4</v>
      </c>
      <c r="C31" s="8" t="s">
        <v>107</v>
      </c>
      <c r="D31" s="32">
        <v>9</v>
      </c>
    </row>
    <row r="32" spans="2:4" ht="12.75">
      <c r="B32" s="12">
        <v>5</v>
      </c>
      <c r="C32" s="10" t="s">
        <v>155</v>
      </c>
      <c r="D32" s="32">
        <v>10</v>
      </c>
    </row>
    <row r="33" spans="2:4" ht="12.75">
      <c r="B33" s="12">
        <v>6</v>
      </c>
      <c r="C33" s="10" t="s">
        <v>156</v>
      </c>
      <c r="D33" s="32">
        <v>10</v>
      </c>
    </row>
    <row r="34" spans="2:4" ht="12.75">
      <c r="B34" s="12">
        <v>7</v>
      </c>
      <c r="C34" s="8" t="s">
        <v>51</v>
      </c>
      <c r="D34" s="32">
        <v>11</v>
      </c>
    </row>
    <row r="35" spans="2:4" ht="12.75">
      <c r="B35" s="12">
        <v>8</v>
      </c>
      <c r="C35" s="8" t="s">
        <v>50</v>
      </c>
      <c r="D35" s="31">
        <v>12</v>
      </c>
    </row>
    <row r="36" spans="2:4" ht="12.75">
      <c r="B36" s="12">
        <v>9</v>
      </c>
      <c r="C36" s="8" t="s">
        <v>49</v>
      </c>
      <c r="D36" s="31">
        <v>13</v>
      </c>
    </row>
    <row r="37" spans="2:4" ht="12.75">
      <c r="B37" s="12">
        <v>10</v>
      </c>
      <c r="C37" s="8" t="s">
        <v>48</v>
      </c>
      <c r="D37" s="31">
        <v>14</v>
      </c>
    </row>
    <row r="38" spans="2:4" ht="12.75">
      <c r="B38" s="12"/>
      <c r="C38" s="10"/>
      <c r="D38" s="33"/>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4" ht="12.75">
      <c r="B50" s="12"/>
      <c r="C50" s="10"/>
      <c r="D50" s="33"/>
    </row>
    <row r="51" spans="2:3" ht="12.75">
      <c r="B51" s="7"/>
      <c r="C51" s="7"/>
    </row>
    <row r="52" spans="2:3" ht="12.75">
      <c r="B52" s="7"/>
      <c r="C52" s="7"/>
    </row>
    <row r="53" spans="2:3" ht="12.75">
      <c r="B53" s="7"/>
      <c r="C53" s="7"/>
    </row>
    <row r="54" spans="2:3" ht="12.75">
      <c r="B54" s="7"/>
      <c r="C54" s="7"/>
    </row>
    <row r="55" spans="2:3" ht="12.75">
      <c r="B55" s="7"/>
      <c r="C55" s="7"/>
    </row>
    <row r="56" spans="2:4" ht="12.75">
      <c r="B56" s="11"/>
      <c r="C56" s="10"/>
      <c r="D56" s="10"/>
    </row>
  </sheetData>
  <sheetProtection/>
  <mergeCells count="1">
    <mergeCell ref="B2:D2"/>
  </mergeCells>
  <hyperlinks>
    <hyperlink ref="D13" location="'precio mayorista'!A1" display="'precio mayorista'!A1"/>
    <hyperlink ref="D19" location="'sup región'!A1" display="'sup región'!A1"/>
    <hyperlink ref="D20" location="'prod región'!A1" display="'prod región'!A1"/>
    <hyperlink ref="D21" location="'rend región'!A1" display="'rend región'!A1"/>
    <hyperlink ref="D28" location="'precio mayorista'!A23" display="'precio mayorista'!A23"/>
    <hyperlink ref="D14" location="'precio mayorista2'!A1" display="'precio mayorista2'!A1"/>
    <hyperlink ref="D16" location="'precio minorista'!A1" display="'precio minorista'!A1"/>
    <hyperlink ref="D18" location="'sup, prod y rend'!A1" display="'sup, prod y rend'!A1"/>
    <hyperlink ref="D23" location="export!A1" display="export!A1"/>
    <hyperlink ref="D24" location="import!A1" display="import!A1"/>
    <hyperlink ref="D29" location="'precio mayorista2'!A42" display="'precio mayorista2'!A42"/>
    <hyperlink ref="D31" location="'precio minorista'!A23" display="'precio minorista'!A23"/>
    <hyperlink ref="D34" location="'sup, prod y rend'!A22" display="'sup, prod y rend'!A22"/>
    <hyperlink ref="D35" location="'sup región'!A22" display="'sup región'!A22"/>
    <hyperlink ref="D36" location="'prod región'!A22" display="'prod región'!A22"/>
    <hyperlink ref="D37" location="'rend región'!A22" display="'rend región'!A22"/>
    <hyperlink ref="D15" location="'precio mayorista3'!A1" display="'precio mayorista3'!A1"/>
    <hyperlink ref="D17" location="'precio minorista regiones'!A1" display="'precio minorista regiones'!A1"/>
    <hyperlink ref="D30" location="'precio mayorista3'!A43" display="'precio mayorista3'!A43"/>
    <hyperlink ref="D32" location="'precio minorista regiones'!A25" display="'precio minorista regiones'!A25"/>
    <hyperlink ref="D33" location="'precio minorista regiones'!A45" display="'precio minorista regiones'!A45"/>
    <hyperlink ref="D6" location="Comentarios!A1" display="Comentarios!A1"/>
    <hyperlink ref="D7" location="Comentarios!A1" display="Comentarios!A1"/>
    <hyperlink ref="D8" location="Comentarios!A1" display="Comentarios!A1"/>
    <hyperlink ref="D9" location="Comentarios!A1" display="Comentarios!A1"/>
    <hyperlink ref="D22" location="'Ficha de Costos'!A1" display="'Ficha de Cost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8"/>
  <sheetViews>
    <sheetView zoomScale="80" zoomScaleNormal="80" zoomScaleSheetLayoutView="90" zoomScalePageLayoutView="70" workbookViewId="0" topLeftCell="A1">
      <selection activeCell="A1" sqref="A1"/>
    </sheetView>
  </sheetViews>
  <sheetFormatPr defaultColWidth="10.8515625" defaultRowHeight="15"/>
  <cols>
    <col min="1" max="1" width="1.28515625" style="22" customWidth="1"/>
    <col min="2" max="10" width="15.8515625" style="22" customWidth="1"/>
    <col min="11" max="11" width="2.00390625" style="22" customWidth="1"/>
    <col min="12" max="18" width="10.8515625" style="22" customWidth="1"/>
    <col min="19" max="16384" width="10.8515625" style="22" customWidth="1"/>
  </cols>
  <sheetData>
    <row r="1" ht="7.5" customHeight="1"/>
    <row r="2" spans="2:12" ht="16.5" customHeight="1">
      <c r="B2" s="307" t="s">
        <v>166</v>
      </c>
      <c r="C2" s="308"/>
      <c r="D2" s="308"/>
      <c r="E2" s="308"/>
      <c r="F2" s="308"/>
      <c r="G2" s="308"/>
      <c r="H2" s="308"/>
      <c r="I2" s="308"/>
      <c r="J2" s="309"/>
      <c r="K2" s="224"/>
      <c r="L2" s="78" t="s">
        <v>158</v>
      </c>
    </row>
    <row r="3" spans="2:11" ht="12.75">
      <c r="B3" s="68"/>
      <c r="C3" s="2"/>
      <c r="D3" s="2"/>
      <c r="E3" s="2"/>
      <c r="F3" s="2"/>
      <c r="G3" s="2"/>
      <c r="H3" s="2"/>
      <c r="I3" s="2"/>
      <c r="J3" s="253"/>
      <c r="K3" s="2"/>
    </row>
    <row r="4" spans="2:11" ht="278.25" customHeight="1">
      <c r="B4" s="310" t="s">
        <v>262</v>
      </c>
      <c r="C4" s="311"/>
      <c r="D4" s="311"/>
      <c r="E4" s="311"/>
      <c r="F4" s="311"/>
      <c r="G4" s="311"/>
      <c r="H4" s="311"/>
      <c r="I4" s="311"/>
      <c r="J4" s="312"/>
      <c r="K4" s="225"/>
    </row>
    <row r="5" spans="2:11" ht="242.25" customHeight="1">
      <c r="B5" s="310" t="s">
        <v>263</v>
      </c>
      <c r="C5" s="311"/>
      <c r="D5" s="311"/>
      <c r="E5" s="311"/>
      <c r="F5" s="311"/>
      <c r="G5" s="311"/>
      <c r="H5" s="311"/>
      <c r="I5" s="311"/>
      <c r="J5" s="312"/>
      <c r="K5" s="225"/>
    </row>
    <row r="6" spans="2:11" ht="223.5" customHeight="1">
      <c r="B6" s="313" t="s">
        <v>226</v>
      </c>
      <c r="C6" s="314"/>
      <c r="D6" s="314"/>
      <c r="E6" s="314"/>
      <c r="F6" s="314"/>
      <c r="G6" s="314"/>
      <c r="H6" s="314"/>
      <c r="I6" s="314"/>
      <c r="J6" s="315"/>
      <c r="K6" s="225"/>
    </row>
    <row r="7" spans="2:11" ht="113.25" customHeight="1">
      <c r="B7" s="313" t="s">
        <v>264</v>
      </c>
      <c r="C7" s="314"/>
      <c r="D7" s="314"/>
      <c r="E7" s="314"/>
      <c r="F7" s="314"/>
      <c r="G7" s="314"/>
      <c r="H7" s="314"/>
      <c r="I7" s="314"/>
      <c r="J7" s="315"/>
      <c r="K7" s="225"/>
    </row>
    <row r="8" spans="2:10" ht="201.75" customHeight="1">
      <c r="B8" s="316" t="s">
        <v>265</v>
      </c>
      <c r="C8" s="317"/>
      <c r="D8" s="317"/>
      <c r="E8" s="317"/>
      <c r="F8" s="317"/>
      <c r="G8" s="317"/>
      <c r="H8" s="317"/>
      <c r="I8" s="317"/>
      <c r="J8" s="318"/>
    </row>
  </sheetData>
  <sheetProtection/>
  <mergeCells count="6">
    <mergeCell ref="B2:J2"/>
    <mergeCell ref="B4:J4"/>
    <mergeCell ref="B5:J5"/>
    <mergeCell ref="B6:J6"/>
    <mergeCell ref="B8:J8"/>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X60"/>
  <sheetViews>
    <sheetView zoomScale="80" zoomScaleNormal="80" zoomScaleSheetLayoutView="40" zoomScalePageLayoutView="80" workbookViewId="0" topLeftCell="A1">
      <selection activeCell="A1" sqref="A1"/>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323" t="s">
        <v>58</v>
      </c>
      <c r="C2" s="323"/>
      <c r="D2" s="323"/>
      <c r="E2" s="323"/>
      <c r="F2" s="323"/>
      <c r="G2" s="323"/>
      <c r="I2" s="52" t="s">
        <v>158</v>
      </c>
    </row>
    <row r="3" spans="2:7" ht="12.75" customHeight="1">
      <c r="B3" s="323" t="s">
        <v>138</v>
      </c>
      <c r="C3" s="323"/>
      <c r="D3" s="323"/>
      <c r="E3" s="323"/>
      <c r="F3" s="323"/>
      <c r="G3" s="323"/>
    </row>
    <row r="4" spans="2:7" ht="12.75">
      <c r="B4" s="323" t="s">
        <v>201</v>
      </c>
      <c r="C4" s="323"/>
      <c r="D4" s="323"/>
      <c r="E4" s="323"/>
      <c r="F4" s="323"/>
      <c r="G4" s="323"/>
    </row>
    <row r="5" spans="2:7" ht="12.75">
      <c r="B5" s="2"/>
      <c r="C5" s="2"/>
      <c r="D5" s="2"/>
      <c r="E5" s="2"/>
      <c r="F5" s="2"/>
      <c r="G5" s="2"/>
    </row>
    <row r="6" spans="2:7" ht="12.75">
      <c r="B6" s="321" t="s">
        <v>47</v>
      </c>
      <c r="C6" s="320" t="s">
        <v>46</v>
      </c>
      <c r="D6" s="320"/>
      <c r="E6" s="320"/>
      <c r="F6" s="320" t="s">
        <v>45</v>
      </c>
      <c r="G6" s="320"/>
    </row>
    <row r="7" spans="2:24" ht="12.75">
      <c r="B7" s="322"/>
      <c r="C7" s="205">
        <v>2014</v>
      </c>
      <c r="D7" s="206">
        <v>2015</v>
      </c>
      <c r="E7" s="206">
        <v>2016</v>
      </c>
      <c r="F7" s="206" t="s">
        <v>44</v>
      </c>
      <c r="G7" s="206" t="s">
        <v>43</v>
      </c>
      <c r="Q7" s="58"/>
      <c r="R7" s="58"/>
      <c r="S7" s="58"/>
      <c r="T7" s="58"/>
      <c r="U7" s="58"/>
      <c r="V7" s="58"/>
      <c r="W7" s="58"/>
      <c r="X7" s="58"/>
    </row>
    <row r="8" spans="2:7" ht="12.75">
      <c r="B8" s="117" t="s">
        <v>42</v>
      </c>
      <c r="C8" s="209">
        <v>184.19</v>
      </c>
      <c r="D8" s="209">
        <v>212.69</v>
      </c>
      <c r="E8" s="209">
        <v>196.24</v>
      </c>
      <c r="F8" s="209">
        <f>(E8/D19-1)*100</f>
        <v>-29.282882882882877</v>
      </c>
      <c r="G8" s="209">
        <f>(E8/D8-1)*100</f>
        <v>-7.734261131223841</v>
      </c>
    </row>
    <row r="9" spans="2:7" ht="12.75">
      <c r="B9" s="118" t="s">
        <v>41</v>
      </c>
      <c r="C9" s="210">
        <v>244.16</v>
      </c>
      <c r="D9" s="210">
        <v>200.61</v>
      </c>
      <c r="E9" s="210">
        <v>180.84</v>
      </c>
      <c r="F9" s="210">
        <f>(E9/E8-1)*100</f>
        <v>-7.847533632286996</v>
      </c>
      <c r="G9" s="210">
        <f>(E9/D9-1)*100</f>
        <v>-9.85494242560192</v>
      </c>
    </row>
    <row r="10" spans="2:7" ht="12.75">
      <c r="B10" s="118" t="s">
        <v>40</v>
      </c>
      <c r="C10" s="210">
        <v>208.75</v>
      </c>
      <c r="D10" s="210">
        <v>210.48</v>
      </c>
      <c r="E10" s="210">
        <v>181.1</v>
      </c>
      <c r="F10" s="210">
        <f>(E10/E9-1)*100</f>
        <v>0.14377350143772727</v>
      </c>
      <c r="G10" s="210">
        <f>(E10/D10-1)*100</f>
        <v>-13.958570885594835</v>
      </c>
    </row>
    <row r="11" spans="2:7" ht="12.75">
      <c r="B11" s="118" t="s">
        <v>39</v>
      </c>
      <c r="C11" s="210">
        <v>203.36</v>
      </c>
      <c r="D11" s="210">
        <v>252.76</v>
      </c>
      <c r="E11" s="211">
        <v>174.37</v>
      </c>
      <c r="F11" s="210">
        <f>(E11/E10-1)*100</f>
        <v>-3.716178906681389</v>
      </c>
      <c r="G11" s="210">
        <f>(E11/D11-1)*100</f>
        <v>-31.013609748377903</v>
      </c>
    </row>
    <row r="12" spans="2:7" ht="12.75">
      <c r="B12" s="118" t="s">
        <v>38</v>
      </c>
      <c r="C12" s="210">
        <v>199.75</v>
      </c>
      <c r="D12" s="210">
        <v>235.08</v>
      </c>
      <c r="E12" s="211">
        <v>217.98</v>
      </c>
      <c r="F12" s="210">
        <f>(E12/E11-1)*100</f>
        <v>25.010036130068247</v>
      </c>
      <c r="G12" s="210">
        <f>(E12/D12-1)*100</f>
        <v>-7.274119448698324</v>
      </c>
    </row>
    <row r="13" spans="2:19" ht="12.75">
      <c r="B13" s="118" t="s">
        <v>37</v>
      </c>
      <c r="C13" s="210">
        <v>210.52</v>
      </c>
      <c r="D13" s="210">
        <v>228.59</v>
      </c>
      <c r="E13" s="210"/>
      <c r="F13" s="210"/>
      <c r="G13" s="210"/>
      <c r="Q13" s="208"/>
      <c r="R13" s="208"/>
      <c r="S13" s="208"/>
    </row>
    <row r="14" spans="2:19" ht="12.75">
      <c r="B14" s="118" t="s">
        <v>36</v>
      </c>
      <c r="C14" s="210">
        <v>222.21</v>
      </c>
      <c r="D14" s="210">
        <v>268.59</v>
      </c>
      <c r="E14" s="210"/>
      <c r="F14" s="210"/>
      <c r="G14" s="210"/>
      <c r="Q14" s="208"/>
      <c r="R14" s="208"/>
      <c r="S14" s="208"/>
    </row>
    <row r="15" spans="2:19" ht="12.75">
      <c r="B15" s="118" t="s">
        <v>35</v>
      </c>
      <c r="C15" s="210">
        <v>226.64</v>
      </c>
      <c r="D15" s="210">
        <v>374.35</v>
      </c>
      <c r="E15" s="210"/>
      <c r="F15" s="210"/>
      <c r="G15" s="210"/>
      <c r="Q15" s="208"/>
      <c r="R15" s="208"/>
      <c r="S15" s="208"/>
    </row>
    <row r="16" spans="2:19" ht="12.75">
      <c r="B16" s="118" t="s">
        <v>34</v>
      </c>
      <c r="C16" s="210">
        <v>227.61</v>
      </c>
      <c r="D16" s="210">
        <v>344.46</v>
      </c>
      <c r="E16" s="210"/>
      <c r="F16" s="210"/>
      <c r="G16" s="210"/>
      <c r="Q16" s="208"/>
      <c r="R16" s="208"/>
      <c r="S16" s="208"/>
    </row>
    <row r="17" spans="2:19" ht="12.75">
      <c r="B17" s="118" t="s">
        <v>33</v>
      </c>
      <c r="C17" s="210">
        <v>214.22</v>
      </c>
      <c r="D17" s="210">
        <v>386.05</v>
      </c>
      <c r="E17" s="210"/>
      <c r="F17" s="210"/>
      <c r="G17" s="210"/>
      <c r="K17" s="208"/>
      <c r="Q17" s="208"/>
      <c r="R17" s="208"/>
      <c r="S17" s="208"/>
    </row>
    <row r="18" spans="2:19" ht="12.75">
      <c r="B18" s="118" t="s">
        <v>32</v>
      </c>
      <c r="C18" s="210">
        <v>197.11</v>
      </c>
      <c r="D18" s="210">
        <v>396.11</v>
      </c>
      <c r="E18" s="210"/>
      <c r="F18" s="210"/>
      <c r="G18" s="210"/>
      <c r="K18" s="208"/>
      <c r="Q18" s="208"/>
      <c r="R18" s="208"/>
      <c r="S18" s="208"/>
    </row>
    <row r="19" spans="2:19" ht="12.75">
      <c r="B19" s="2" t="s">
        <v>31</v>
      </c>
      <c r="C19" s="212">
        <v>192.42</v>
      </c>
      <c r="D19" s="212">
        <v>277.5</v>
      </c>
      <c r="E19" s="212"/>
      <c r="F19" s="210"/>
      <c r="G19" s="210"/>
      <c r="K19" s="208"/>
      <c r="Q19" s="208"/>
      <c r="R19" s="208"/>
      <c r="S19" s="208"/>
    </row>
    <row r="20" spans="2:19" ht="12.75">
      <c r="B20" s="6" t="s">
        <v>157</v>
      </c>
      <c r="C20" s="213">
        <v>210.91</v>
      </c>
      <c r="D20" s="213">
        <v>282.27</v>
      </c>
      <c r="E20" s="214">
        <v>190.11</v>
      </c>
      <c r="F20" s="213"/>
      <c r="G20" s="213">
        <f>(E20/D20-1)*100</f>
        <v>-32.649590817302574</v>
      </c>
      <c r="Q20" s="208"/>
      <c r="R20" s="208"/>
      <c r="S20" s="208"/>
    </row>
    <row r="21" spans="2:7" ht="12.75">
      <c r="B21" s="5" t="s">
        <v>218</v>
      </c>
      <c r="C21" s="215">
        <f>AVERAGE(C8:C12)</f>
        <v>208.042</v>
      </c>
      <c r="D21" s="215">
        <f>AVERAGE(D8:D12)</f>
        <v>222.32399999999998</v>
      </c>
      <c r="E21" s="215">
        <f>AVERAGE(E8:E12)</f>
        <v>190.10600000000002</v>
      </c>
      <c r="F21" s="215"/>
      <c r="G21" s="215">
        <f>(E21/D21-1)*100</f>
        <v>-14.491462909987208</v>
      </c>
    </row>
    <row r="22" spans="2:8" ht="121.5" customHeight="1">
      <c r="B22" s="319" t="s">
        <v>209</v>
      </c>
      <c r="C22" s="319"/>
      <c r="D22" s="319"/>
      <c r="E22" s="319"/>
      <c r="F22" s="319"/>
      <c r="G22" s="319"/>
      <c r="H22" s="123"/>
    </row>
    <row r="40" ht="12.75"/>
    <row r="41" ht="12.75"/>
    <row r="60" ht="12.75">
      <c r="E60" s="212"/>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3"/>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197" customWidth="1"/>
    <col min="16" max="16" width="8.140625" style="230" hidden="1" customWidth="1"/>
    <col min="17" max="17" width="9.28125" style="230" hidden="1" customWidth="1"/>
    <col min="18" max="18" width="8.8515625" style="230" hidden="1" customWidth="1"/>
    <col min="19" max="19" width="8.421875" style="230" hidden="1" customWidth="1"/>
    <col min="20" max="20" width="8.140625" style="230" hidden="1" customWidth="1"/>
    <col min="21" max="21" width="8.421875" style="230" hidden="1" customWidth="1"/>
    <col min="22" max="22" width="10.28125" style="230" hidden="1" customWidth="1"/>
    <col min="23" max="24" width="8.421875" style="230" hidden="1" customWidth="1"/>
    <col min="25" max="26" width="10.8515625" style="230" hidden="1" customWidth="1"/>
    <col min="27" max="27" width="10.8515625" style="197" customWidth="1"/>
    <col min="28" max="16384" width="10.8515625" style="39" customWidth="1"/>
  </cols>
  <sheetData>
    <row r="1" ht="6.75" customHeight="1"/>
    <row r="2" spans="2:14" ht="12.75">
      <c r="B2" s="326" t="s">
        <v>59</v>
      </c>
      <c r="C2" s="326"/>
      <c r="D2" s="326"/>
      <c r="E2" s="326"/>
      <c r="F2" s="326"/>
      <c r="G2" s="326"/>
      <c r="H2" s="326"/>
      <c r="I2" s="326"/>
      <c r="J2" s="326"/>
      <c r="K2" s="326"/>
      <c r="L2" s="326"/>
      <c r="M2" s="181"/>
      <c r="N2" s="52" t="s">
        <v>158</v>
      </c>
    </row>
    <row r="3" spans="2:14" ht="12.75">
      <c r="B3" s="326" t="s">
        <v>146</v>
      </c>
      <c r="C3" s="326"/>
      <c r="D3" s="326"/>
      <c r="E3" s="326"/>
      <c r="F3" s="326"/>
      <c r="G3" s="326"/>
      <c r="H3" s="326"/>
      <c r="I3" s="326"/>
      <c r="J3" s="326"/>
      <c r="K3" s="326"/>
      <c r="L3" s="326"/>
      <c r="M3" s="178"/>
      <c r="N3" s="122"/>
    </row>
    <row r="4" spans="2:14" ht="12.75">
      <c r="B4" s="326" t="s">
        <v>135</v>
      </c>
      <c r="C4" s="326"/>
      <c r="D4" s="326"/>
      <c r="E4" s="326"/>
      <c r="F4" s="326"/>
      <c r="G4" s="326"/>
      <c r="H4" s="326"/>
      <c r="I4" s="326"/>
      <c r="J4" s="326"/>
      <c r="K4" s="326"/>
      <c r="L4" s="326"/>
      <c r="M4" s="178"/>
      <c r="N4" s="122"/>
    </row>
    <row r="5" spans="2:24" ht="25.5">
      <c r="B5" s="65" t="s">
        <v>66</v>
      </c>
      <c r="C5" s="66" t="s">
        <v>62</v>
      </c>
      <c r="D5" s="66" t="s">
        <v>125</v>
      </c>
      <c r="E5" s="66" t="s">
        <v>63</v>
      </c>
      <c r="F5" s="66" t="s">
        <v>64</v>
      </c>
      <c r="G5" s="66" t="s">
        <v>65</v>
      </c>
      <c r="H5" s="66" t="s">
        <v>131</v>
      </c>
      <c r="I5" s="66" t="s">
        <v>163</v>
      </c>
      <c r="J5" s="66" t="s">
        <v>194</v>
      </c>
      <c r="K5" s="66" t="s">
        <v>170</v>
      </c>
      <c r="L5" s="105" t="s">
        <v>71</v>
      </c>
      <c r="M5" s="76"/>
      <c r="P5" s="231" t="str">
        <f aca="true" t="shared" si="0" ref="P5:X5">+C5</f>
        <v>Asterix</v>
      </c>
      <c r="Q5" s="231" t="str">
        <f t="shared" si="0"/>
        <v>Cardinal</v>
      </c>
      <c r="R5" s="231" t="str">
        <f t="shared" si="0"/>
        <v>Désirée</v>
      </c>
      <c r="S5" s="231" t="str">
        <f t="shared" si="0"/>
        <v>Karu</v>
      </c>
      <c r="T5" s="231" t="str">
        <f t="shared" si="0"/>
        <v>Pukará</v>
      </c>
      <c r="U5" s="231" t="str">
        <f t="shared" si="0"/>
        <v>Rodeo</v>
      </c>
      <c r="V5" s="231" t="str">
        <f t="shared" si="0"/>
        <v>Patagonia</v>
      </c>
      <c r="W5" s="231" t="str">
        <f t="shared" si="0"/>
        <v>Yagana</v>
      </c>
      <c r="X5" s="231" t="str">
        <f t="shared" si="0"/>
        <v>Rosara</v>
      </c>
    </row>
    <row r="6" spans="2:25" ht="12.75">
      <c r="B6" s="115">
        <v>42480</v>
      </c>
      <c r="C6" s="195">
        <v>9579.550000000001</v>
      </c>
      <c r="D6" s="195"/>
      <c r="E6" s="195"/>
      <c r="F6" s="195">
        <v>8246.426</v>
      </c>
      <c r="G6" s="195">
        <v>7364.610000000001</v>
      </c>
      <c r="H6" s="195">
        <v>9459.31</v>
      </c>
      <c r="I6" s="195">
        <v>8617.047999999999</v>
      </c>
      <c r="J6" s="195"/>
      <c r="K6" s="195"/>
      <c r="L6" s="195">
        <v>8577.784375</v>
      </c>
      <c r="P6" s="232">
        <f aca="true" t="shared" si="1" ref="P6:P35">+IF(C6="","",((C6-$L6)/$L6))</f>
        <v>0.11678605817134473</v>
      </c>
      <c r="Q6" s="232">
        <f aca="true" t="shared" si="2" ref="Q6:Q35">+IF(D6="","",((D6-$L6)/$L6))</f>
      </c>
      <c r="R6" s="232">
        <f aca="true" t="shared" si="3" ref="R6:R35">+IF(E6="","",((E6-$L6)/$L6))</f>
      </c>
      <c r="S6" s="232">
        <f aca="true" t="shared" si="4" ref="S6:S35">+IF(F6="","",((F6-$L6)/$L6))</f>
        <v>-0.03862983266002182</v>
      </c>
      <c r="T6" s="232">
        <f aca="true" t="shared" si="5" ref="T6:T35">+IF(G6="","",((G6-$L6)/$L6))</f>
        <v>-0.14143213701381935</v>
      </c>
      <c r="U6" s="232">
        <f aca="true" t="shared" si="6" ref="U6:U35">+IF(H6="","",((H6-$L6)/$L6))</f>
        <v>0.10276845237206143</v>
      </c>
      <c r="V6" s="232">
        <f aca="true" t="shared" si="7" ref="V6:V35">+IF(I6="","",((I6-$L6)/$L6))</f>
        <v>0.0045773620883306</v>
      </c>
      <c r="W6" s="232">
        <f aca="true" t="shared" si="8" ref="W6:W35">+IF(J6="","",((J6-$L6)/$L6))</f>
      </c>
      <c r="X6" s="232">
        <f aca="true" t="shared" si="9" ref="X6:X35">+IF(K6="","",((K6-$L6)/$L6))</f>
      </c>
      <c r="Y6" s="233"/>
    </row>
    <row r="7" spans="2:25" ht="12.75">
      <c r="B7" s="116">
        <v>42481</v>
      </c>
      <c r="C7" s="112">
        <v>9983.435000000001</v>
      </c>
      <c r="D7" s="112"/>
      <c r="E7" s="112">
        <v>7983.19</v>
      </c>
      <c r="F7" s="112">
        <v>8781.281666666668</v>
      </c>
      <c r="G7" s="112">
        <v>7779.885</v>
      </c>
      <c r="H7" s="112">
        <v>12875.15</v>
      </c>
      <c r="I7" s="112">
        <v>8618.114</v>
      </c>
      <c r="J7" s="112"/>
      <c r="K7" s="112">
        <v>9243.7</v>
      </c>
      <c r="L7" s="112">
        <v>9172.741578947369</v>
      </c>
      <c r="P7" s="232">
        <f t="shared" si="1"/>
        <v>0.08838071083494589</v>
      </c>
      <c r="Q7" s="232">
        <f t="shared" si="2"/>
      </c>
      <c r="R7" s="232">
        <f t="shared" si="3"/>
        <v>-0.12968331972608324</v>
      </c>
      <c r="S7" s="232">
        <f t="shared" si="4"/>
        <v>-0.04267643527417719</v>
      </c>
      <c r="T7" s="232">
        <f t="shared" si="5"/>
        <v>-0.15184735849793862</v>
      </c>
      <c r="U7" s="232">
        <f t="shared" si="6"/>
        <v>0.4036316066670992</v>
      </c>
      <c r="V7" s="232">
        <f t="shared" si="7"/>
        <v>-0.06046475573020737</v>
      </c>
      <c r="W7" s="232">
        <f t="shared" si="8"/>
      </c>
      <c r="X7" s="232">
        <f t="shared" si="9"/>
        <v>0.007735792013970021</v>
      </c>
      <c r="Y7" s="233"/>
    </row>
    <row r="8" spans="2:25" ht="12.75">
      <c r="B8" s="116">
        <v>42482</v>
      </c>
      <c r="C8" s="112">
        <v>10440.336666666668</v>
      </c>
      <c r="D8" s="112"/>
      <c r="E8" s="112">
        <v>6932.77</v>
      </c>
      <c r="F8" s="112">
        <v>8908.092</v>
      </c>
      <c r="G8" s="112">
        <v>7985.563333333334</v>
      </c>
      <c r="H8" s="112"/>
      <c r="I8" s="112">
        <v>8404.364</v>
      </c>
      <c r="J8" s="112">
        <v>8835.2</v>
      </c>
      <c r="K8" s="112">
        <v>8403.365</v>
      </c>
      <c r="L8" s="112">
        <v>8720.734</v>
      </c>
      <c r="P8" s="232">
        <f t="shared" si="1"/>
        <v>0.19718554271540303</v>
      </c>
      <c r="Q8" s="232">
        <f t="shared" si="2"/>
      </c>
      <c r="R8" s="232">
        <f t="shared" si="3"/>
        <v>-0.20502448532428577</v>
      </c>
      <c r="S8" s="232">
        <f t="shared" si="4"/>
        <v>0.021484200756495975</v>
      </c>
      <c r="T8" s="232">
        <f t="shared" si="5"/>
        <v>-0.0843014666731798</v>
      </c>
      <c r="U8" s="232">
        <f t="shared" si="6"/>
      </c>
      <c r="V8" s="232">
        <f t="shared" si="7"/>
        <v>-0.03627790963467075</v>
      </c>
      <c r="W8" s="232">
        <f t="shared" si="8"/>
        <v>0.013125730013092973</v>
      </c>
      <c r="X8" s="232">
        <f t="shared" si="9"/>
        <v>-0.03639246421230146</v>
      </c>
      <c r="Y8" s="233"/>
    </row>
    <row r="9" spans="2:25" ht="12.75">
      <c r="B9" s="116">
        <v>42485</v>
      </c>
      <c r="C9" s="112">
        <v>9639.025000000001</v>
      </c>
      <c r="D9" s="112"/>
      <c r="E9" s="112">
        <v>7372.04</v>
      </c>
      <c r="F9" s="112">
        <v>8175.7725</v>
      </c>
      <c r="G9" s="112">
        <v>5882.35</v>
      </c>
      <c r="H9" s="112">
        <v>11884.29</v>
      </c>
      <c r="I9" s="112">
        <v>8722.688</v>
      </c>
      <c r="J9" s="112">
        <v>7343.81</v>
      </c>
      <c r="K9" s="112"/>
      <c r="L9" s="112">
        <v>8747.585000000001</v>
      </c>
      <c r="P9" s="232">
        <f t="shared" si="1"/>
        <v>0.10190698347029499</v>
      </c>
      <c r="Q9" s="232">
        <f t="shared" si="2"/>
      </c>
      <c r="R9" s="232">
        <f t="shared" si="3"/>
        <v>-0.15724854345513656</v>
      </c>
      <c r="S9" s="232">
        <f t="shared" si="4"/>
        <v>-0.06536804157947604</v>
      </c>
      <c r="T9" s="232">
        <f t="shared" si="5"/>
        <v>-0.3275458312208456</v>
      </c>
      <c r="U9" s="232">
        <f t="shared" si="6"/>
        <v>0.35857953938144066</v>
      </c>
      <c r="V9" s="232">
        <f t="shared" si="7"/>
        <v>-0.0028461569678946636</v>
      </c>
      <c r="W9" s="232">
        <f t="shared" si="8"/>
        <v>-0.16047571987011278</v>
      </c>
      <c r="X9" s="232">
        <f t="shared" si="9"/>
      </c>
      <c r="Y9" s="233"/>
    </row>
    <row r="10" spans="2:25" ht="12.75">
      <c r="B10" s="116">
        <v>42486</v>
      </c>
      <c r="C10" s="112">
        <v>10779.452000000001</v>
      </c>
      <c r="D10" s="112"/>
      <c r="E10" s="112">
        <v>7247.9</v>
      </c>
      <c r="F10" s="112">
        <v>8354.925714285715</v>
      </c>
      <c r="G10" s="112">
        <v>5882.35</v>
      </c>
      <c r="H10" s="112">
        <v>12226.89</v>
      </c>
      <c r="I10" s="112">
        <v>8918.513333333334</v>
      </c>
      <c r="J10" s="112"/>
      <c r="K10" s="112">
        <v>9663.87</v>
      </c>
      <c r="L10" s="112">
        <v>9182.859166666667</v>
      </c>
      <c r="P10" s="232">
        <f t="shared" si="1"/>
        <v>0.17386663612667486</v>
      </c>
      <c r="Q10" s="232">
        <f t="shared" si="2"/>
      </c>
      <c r="R10" s="232">
        <f t="shared" si="3"/>
        <v>-0.21071423742296683</v>
      </c>
      <c r="S10" s="232">
        <f t="shared" si="4"/>
        <v>-0.09016074812366831</v>
      </c>
      <c r="T10" s="232">
        <f t="shared" si="5"/>
        <v>-0.35942064522206274</v>
      </c>
      <c r="U10" s="232">
        <f t="shared" si="6"/>
        <v>0.33149052795920214</v>
      </c>
      <c r="V10" s="232">
        <f t="shared" si="7"/>
        <v>-0.028786876563771706</v>
      </c>
      <c r="W10" s="232">
        <f t="shared" si="8"/>
      </c>
      <c r="X10" s="232">
        <f t="shared" si="9"/>
        <v>0.0523813797645269</v>
      </c>
      <c r="Y10" s="233"/>
    </row>
    <row r="11" spans="2:25" ht="12.75">
      <c r="B11" s="116">
        <v>42487</v>
      </c>
      <c r="C11" s="112">
        <v>11086.9625</v>
      </c>
      <c r="D11" s="112"/>
      <c r="E11" s="112"/>
      <c r="F11" s="112">
        <v>8188.716</v>
      </c>
      <c r="G11" s="112">
        <v>7983.1900000000005</v>
      </c>
      <c r="H11" s="112">
        <v>10891.656666666668</v>
      </c>
      <c r="I11" s="112">
        <v>8333.8875</v>
      </c>
      <c r="J11" s="112">
        <v>7971.19</v>
      </c>
      <c r="K11" s="112">
        <v>9566.9</v>
      </c>
      <c r="L11" s="112">
        <v>9240.321</v>
      </c>
      <c r="P11" s="232">
        <f t="shared" si="1"/>
        <v>0.19984603348736474</v>
      </c>
      <c r="Q11" s="232">
        <f t="shared" si="2"/>
      </c>
      <c r="R11" s="232">
        <f t="shared" si="3"/>
      </c>
      <c r="S11" s="232">
        <f t="shared" si="4"/>
        <v>-0.11380611128119895</v>
      </c>
      <c r="T11" s="232">
        <f t="shared" si="5"/>
        <v>-0.1360484121709624</v>
      </c>
      <c r="U11" s="232">
        <f t="shared" si="6"/>
        <v>0.17870977281705558</v>
      </c>
      <c r="V11" s="232">
        <f t="shared" si="7"/>
        <v>-0.0980954557747506</v>
      </c>
      <c r="W11" s="232">
        <f t="shared" si="8"/>
        <v>-0.13734706835401067</v>
      </c>
      <c r="X11" s="232">
        <f t="shared" si="9"/>
        <v>0.035342819800307776</v>
      </c>
      <c r="Y11" s="233"/>
    </row>
    <row r="12" spans="2:25" ht="12.75">
      <c r="B12" s="116">
        <v>42488</v>
      </c>
      <c r="C12" s="112">
        <v>9547.585</v>
      </c>
      <c r="D12" s="112"/>
      <c r="E12" s="112">
        <v>7127.85</v>
      </c>
      <c r="F12" s="112">
        <v>8466.306666666667</v>
      </c>
      <c r="G12" s="112">
        <v>5882.35</v>
      </c>
      <c r="H12" s="112">
        <v>10504.2</v>
      </c>
      <c r="I12" s="112">
        <v>8115.81</v>
      </c>
      <c r="J12" s="112">
        <v>7971.52</v>
      </c>
      <c r="K12" s="112">
        <v>9243.7</v>
      </c>
      <c r="L12" s="112">
        <v>8333.133157894737</v>
      </c>
      <c r="P12" s="232">
        <f t="shared" si="1"/>
        <v>0.14573772182611777</v>
      </c>
      <c r="Q12" s="232">
        <f t="shared" si="2"/>
      </c>
      <c r="R12" s="232">
        <f t="shared" si="3"/>
        <v>-0.14463745329124644</v>
      </c>
      <c r="S12" s="232">
        <f t="shared" si="4"/>
        <v>0.015981204937996513</v>
      </c>
      <c r="T12" s="232">
        <f t="shared" si="5"/>
        <v>-0.2941010435640149</v>
      </c>
      <c r="U12" s="232">
        <f t="shared" si="6"/>
        <v>0.2605342793602684</v>
      </c>
      <c r="V12" s="232">
        <f t="shared" si="7"/>
        <v>-0.026079405402138208</v>
      </c>
      <c r="W12" s="232">
        <f t="shared" si="8"/>
        <v>-0.04339462133185138</v>
      </c>
      <c r="X12" s="232">
        <f t="shared" si="9"/>
        <v>0.1092706458485666</v>
      </c>
      <c r="Y12" s="233"/>
    </row>
    <row r="13" spans="2:25" ht="12.75">
      <c r="B13" s="116">
        <v>42489</v>
      </c>
      <c r="C13" s="112">
        <v>10502.608000000002</v>
      </c>
      <c r="D13" s="112"/>
      <c r="E13" s="112"/>
      <c r="F13" s="112">
        <v>8099.1179999999995</v>
      </c>
      <c r="G13" s="112">
        <v>6944.665</v>
      </c>
      <c r="H13" s="112">
        <v>11621.69</v>
      </c>
      <c r="I13" s="112">
        <v>8333.268333333333</v>
      </c>
      <c r="J13" s="112"/>
      <c r="K13" s="112">
        <v>9688.58</v>
      </c>
      <c r="L13" s="112">
        <v>9156.873636363634</v>
      </c>
      <c r="P13" s="232">
        <f t="shared" si="1"/>
        <v>0.146964391677549</v>
      </c>
      <c r="Q13" s="232">
        <f t="shared" si="2"/>
      </c>
      <c r="R13" s="232">
        <f t="shared" si="3"/>
      </c>
      <c r="S13" s="232">
        <f t="shared" si="4"/>
        <v>-0.1155149321011805</v>
      </c>
      <c r="T13" s="232">
        <f t="shared" si="5"/>
        <v>-0.24158994916982865</v>
      </c>
      <c r="U13" s="232">
        <f t="shared" si="6"/>
        <v>0.26917662747339066</v>
      </c>
      <c r="V13" s="232">
        <f t="shared" si="7"/>
        <v>-0.08994394110230072</v>
      </c>
      <c r="W13" s="232">
        <f t="shared" si="8"/>
      </c>
      <c r="X13" s="232">
        <f t="shared" si="9"/>
        <v>0.05806636465145281</v>
      </c>
      <c r="Y13" s="233"/>
    </row>
    <row r="14" spans="2:25" ht="12.75">
      <c r="B14" s="116">
        <v>42492</v>
      </c>
      <c r="C14" s="112">
        <v>9115.315</v>
      </c>
      <c r="D14" s="112"/>
      <c r="E14" s="112"/>
      <c r="F14" s="112">
        <v>8101.3550000000005</v>
      </c>
      <c r="G14" s="112">
        <v>7773.110000000001</v>
      </c>
      <c r="H14" s="112"/>
      <c r="I14" s="112">
        <v>8365.708</v>
      </c>
      <c r="J14" s="112"/>
      <c r="K14" s="112">
        <v>9243.7</v>
      </c>
      <c r="L14" s="112">
        <v>8375.322142857143</v>
      </c>
      <c r="P14" s="232">
        <f t="shared" si="1"/>
        <v>0.08835395755779459</v>
      </c>
      <c r="Q14" s="232">
        <f t="shared" si="2"/>
      </c>
      <c r="R14" s="232">
        <f t="shared" si="3"/>
      </c>
      <c r="S14" s="232">
        <f t="shared" si="4"/>
        <v>-0.03271123643772848</v>
      </c>
      <c r="T14" s="232">
        <f t="shared" si="5"/>
        <v>-0.07190316176324474</v>
      </c>
      <c r="U14" s="232">
        <f t="shared" si="6"/>
      </c>
      <c r="V14" s="232">
        <f t="shared" si="7"/>
        <v>-0.0011479132018034797</v>
      </c>
      <c r="W14" s="232">
        <f t="shared" si="8"/>
      </c>
      <c r="X14" s="232">
        <f t="shared" si="9"/>
        <v>0.10368292017083185</v>
      </c>
      <c r="Y14" s="233"/>
    </row>
    <row r="15" spans="2:25" ht="12.75">
      <c r="B15" s="116">
        <v>42493</v>
      </c>
      <c r="C15" s="112">
        <v>10357.052500000002</v>
      </c>
      <c r="D15" s="112"/>
      <c r="E15" s="112">
        <v>7124.59</v>
      </c>
      <c r="F15" s="112">
        <v>8252.8</v>
      </c>
      <c r="G15" s="112">
        <v>5882.35</v>
      </c>
      <c r="H15" s="112">
        <v>11987.523333333333</v>
      </c>
      <c r="I15" s="112">
        <v>8110.766666666666</v>
      </c>
      <c r="J15" s="112"/>
      <c r="K15" s="112">
        <v>9243.7</v>
      </c>
      <c r="L15" s="112">
        <v>9234.40705882353</v>
      </c>
      <c r="P15" s="232">
        <f t="shared" si="1"/>
        <v>0.12157201150276101</v>
      </c>
      <c r="Q15" s="232">
        <f t="shared" si="2"/>
      </c>
      <c r="R15" s="232">
        <f t="shared" si="3"/>
        <v>-0.22847347375786162</v>
      </c>
      <c r="S15" s="232">
        <f t="shared" si="4"/>
        <v>-0.1062988725286481</v>
      </c>
      <c r="T15" s="232">
        <f t="shared" si="5"/>
        <v>-0.36299645851334</v>
      </c>
      <c r="U15" s="232">
        <f t="shared" si="6"/>
        <v>0.2981367679562256</v>
      </c>
      <c r="V15" s="232">
        <f t="shared" si="7"/>
        <v>-0.12167975539731254</v>
      </c>
      <c r="W15" s="232">
        <f t="shared" si="8"/>
      </c>
      <c r="X15" s="232">
        <f t="shared" si="9"/>
        <v>0.0010063386980099947</v>
      </c>
      <c r="Y15" s="233"/>
    </row>
    <row r="16" spans="2:25" ht="12.75">
      <c r="B16" s="116">
        <v>42494</v>
      </c>
      <c r="C16" s="112">
        <v>8873.946666666667</v>
      </c>
      <c r="D16" s="112">
        <v>16386.55</v>
      </c>
      <c r="E16" s="112"/>
      <c r="F16" s="112">
        <v>7875.022</v>
      </c>
      <c r="G16" s="112">
        <v>7767.72</v>
      </c>
      <c r="H16" s="112">
        <v>9328.145</v>
      </c>
      <c r="I16" s="112">
        <v>8399.576666666666</v>
      </c>
      <c r="J16" s="112"/>
      <c r="K16" s="112">
        <v>9760.83</v>
      </c>
      <c r="L16" s="112">
        <v>8913.811176470588</v>
      </c>
      <c r="P16" s="232">
        <f t="shared" si="1"/>
        <v>-0.004472218337892341</v>
      </c>
      <c r="Q16" s="232">
        <f t="shared" si="2"/>
        <v>0.8383326363536716</v>
      </c>
      <c r="R16" s="232">
        <f t="shared" si="3"/>
      </c>
      <c r="S16" s="232">
        <f t="shared" si="4"/>
        <v>-0.1165370407679979</v>
      </c>
      <c r="T16" s="232">
        <f t="shared" si="5"/>
        <v>-0.12857476491042086</v>
      </c>
      <c r="U16" s="232">
        <f t="shared" si="6"/>
        <v>0.04648223025220814</v>
      </c>
      <c r="V16" s="232">
        <f t="shared" si="7"/>
        <v>-0.057689634615699</v>
      </c>
      <c r="W16" s="232">
        <f t="shared" si="8"/>
      </c>
      <c r="X16" s="232">
        <f t="shared" si="9"/>
        <v>0.09502319566351727</v>
      </c>
      <c r="Y16" s="233"/>
    </row>
    <row r="17" spans="2:25" ht="12.75">
      <c r="B17" s="116">
        <v>42495</v>
      </c>
      <c r="C17" s="112">
        <v>10381.990000000002</v>
      </c>
      <c r="D17" s="112"/>
      <c r="E17" s="112">
        <v>7168.79</v>
      </c>
      <c r="F17" s="112">
        <v>7896.944</v>
      </c>
      <c r="G17" s="112">
        <v>9243.7</v>
      </c>
      <c r="H17" s="112">
        <v>11120.789999999999</v>
      </c>
      <c r="I17" s="112">
        <v>8607.77</v>
      </c>
      <c r="J17" s="112">
        <v>7082.83</v>
      </c>
      <c r="K17" s="112">
        <v>9676.6</v>
      </c>
      <c r="L17" s="112">
        <v>9153.472777777779</v>
      </c>
      <c r="P17" s="232">
        <f t="shared" si="1"/>
        <v>0.13421323819356726</v>
      </c>
      <c r="Q17" s="232">
        <f t="shared" si="2"/>
      </c>
      <c r="R17" s="232">
        <f t="shared" si="3"/>
        <v>-0.21682292895392294</v>
      </c>
      <c r="S17" s="232">
        <f t="shared" si="4"/>
        <v>-0.13727344891747528</v>
      </c>
      <c r="T17" s="232">
        <f t="shared" si="5"/>
        <v>0.009857157432233782</v>
      </c>
      <c r="U17" s="232">
        <f t="shared" si="6"/>
        <v>0.21492577407324007</v>
      </c>
      <c r="V17" s="232">
        <f t="shared" si="7"/>
        <v>-0.059617020886608314</v>
      </c>
      <c r="W17" s="232">
        <f t="shared" si="8"/>
        <v>-0.22621390023737814</v>
      </c>
      <c r="X17" s="232">
        <f t="shared" si="9"/>
        <v>0.0571506831256697</v>
      </c>
      <c r="Y17" s="233"/>
    </row>
    <row r="18" spans="2:25" ht="12.75">
      <c r="B18" s="116">
        <v>42496</v>
      </c>
      <c r="C18" s="112">
        <v>8639.0325</v>
      </c>
      <c r="D18" s="112"/>
      <c r="E18" s="112">
        <v>7333.84</v>
      </c>
      <c r="F18" s="112">
        <v>8076.6</v>
      </c>
      <c r="G18" s="112">
        <v>9243.7</v>
      </c>
      <c r="H18" s="112">
        <v>10609.245</v>
      </c>
      <c r="I18" s="112">
        <v>9106.3825</v>
      </c>
      <c r="J18" s="112"/>
      <c r="K18" s="112">
        <v>10084.03</v>
      </c>
      <c r="L18" s="112">
        <v>8892.242352941175</v>
      </c>
      <c r="P18" s="232">
        <f t="shared" si="1"/>
        <v>-0.02847536570541456</v>
      </c>
      <c r="Q18" s="232">
        <f t="shared" si="2"/>
      </c>
      <c r="R18" s="232">
        <f t="shared" si="3"/>
        <v>-0.17525414750147042</v>
      </c>
      <c r="S18" s="232">
        <f t="shared" si="4"/>
        <v>-0.09172516004035756</v>
      </c>
      <c r="T18" s="232">
        <f t="shared" si="5"/>
        <v>0.03952407425586845</v>
      </c>
      <c r="U18" s="232">
        <f t="shared" si="6"/>
        <v>0.19308995177025445</v>
      </c>
      <c r="V18" s="232">
        <f t="shared" si="7"/>
        <v>0.024081681375676397</v>
      </c>
      <c r="W18" s="232">
        <f t="shared" si="8"/>
      </c>
      <c r="X18" s="232">
        <f t="shared" si="9"/>
        <v>0.1340255471854782</v>
      </c>
      <c r="Y18" s="233"/>
    </row>
    <row r="19" spans="2:25" ht="12.75">
      <c r="B19" s="116">
        <v>42499</v>
      </c>
      <c r="C19" s="112">
        <v>11142.236666666666</v>
      </c>
      <c r="D19" s="112"/>
      <c r="E19" s="112">
        <v>7668.065</v>
      </c>
      <c r="F19" s="112">
        <v>8197.16</v>
      </c>
      <c r="G19" s="112">
        <v>7668.066666666667</v>
      </c>
      <c r="H19" s="112">
        <v>15126.05</v>
      </c>
      <c r="I19" s="112">
        <v>8767.756666666666</v>
      </c>
      <c r="J19" s="112">
        <v>7972.14</v>
      </c>
      <c r="K19" s="112">
        <v>8403.36</v>
      </c>
      <c r="L19" s="112">
        <v>9023.330500000002</v>
      </c>
      <c r="P19" s="232">
        <f t="shared" si="1"/>
        <v>0.2348252861475775</v>
      </c>
      <c r="Q19" s="232">
        <f t="shared" si="2"/>
      </c>
      <c r="R19" s="232">
        <f t="shared" si="3"/>
        <v>-0.15019570656311457</v>
      </c>
      <c r="S19" s="232">
        <f t="shared" si="4"/>
        <v>-0.09155937488934954</v>
      </c>
      <c r="T19" s="232">
        <f t="shared" si="5"/>
        <v>-0.1501955218567396</v>
      </c>
      <c r="U19" s="232">
        <f t="shared" si="6"/>
        <v>0.6763267177235718</v>
      </c>
      <c r="V19" s="232">
        <f t="shared" si="7"/>
        <v>-0.028323669772855553</v>
      </c>
      <c r="W19" s="232">
        <f t="shared" si="8"/>
        <v>-0.11649695198463597</v>
      </c>
      <c r="X19" s="232">
        <f t="shared" si="9"/>
        <v>-0.06870750218004329</v>
      </c>
      <c r="Y19" s="233"/>
    </row>
    <row r="20" spans="2:25" ht="12.75">
      <c r="B20" s="116">
        <v>42500</v>
      </c>
      <c r="C20" s="112">
        <v>8571.43</v>
      </c>
      <c r="D20" s="112"/>
      <c r="E20" s="112">
        <v>6512.61</v>
      </c>
      <c r="F20" s="112">
        <v>7931.112500000001</v>
      </c>
      <c r="G20" s="112">
        <v>7346.982500000001</v>
      </c>
      <c r="H20" s="112">
        <v>12184.869999999999</v>
      </c>
      <c r="I20" s="112">
        <v>8528.916666666666</v>
      </c>
      <c r="J20" s="112"/>
      <c r="K20" s="112">
        <v>8810.8</v>
      </c>
      <c r="L20" s="112">
        <v>8461.586666666666</v>
      </c>
      <c r="P20" s="232">
        <f t="shared" si="1"/>
        <v>0.012981410893780462</v>
      </c>
      <c r="Q20" s="232">
        <f t="shared" si="2"/>
      </c>
      <c r="R20" s="232">
        <f t="shared" si="3"/>
        <v>-0.23033229386450768</v>
      </c>
      <c r="S20" s="232">
        <f t="shared" si="4"/>
        <v>-0.06269204436047436</v>
      </c>
      <c r="T20" s="232">
        <f t="shared" si="5"/>
        <v>-0.1317251965352438</v>
      </c>
      <c r="U20" s="232">
        <f t="shared" si="6"/>
        <v>0.4400218871480368</v>
      </c>
      <c r="V20" s="232">
        <f t="shared" si="7"/>
        <v>0.00795713648661637</v>
      </c>
      <c r="W20" s="232">
        <f t="shared" si="8"/>
      </c>
      <c r="X20" s="232">
        <f t="shared" si="9"/>
        <v>0.04127043155026872</v>
      </c>
      <c r="Y20" s="233"/>
    </row>
    <row r="21" spans="2:25" ht="12.75">
      <c r="B21" s="116">
        <v>42501</v>
      </c>
      <c r="C21" s="112">
        <v>8711.485</v>
      </c>
      <c r="D21" s="112"/>
      <c r="E21" s="112">
        <v>6932.77</v>
      </c>
      <c r="F21" s="112">
        <v>8268.949999999999</v>
      </c>
      <c r="G21" s="112">
        <v>6584.200000000001</v>
      </c>
      <c r="H21" s="112">
        <v>10556.72</v>
      </c>
      <c r="I21" s="112">
        <v>8382.6825</v>
      </c>
      <c r="J21" s="112"/>
      <c r="K21" s="112">
        <v>8800.19</v>
      </c>
      <c r="L21" s="112">
        <v>8229.902142857141</v>
      </c>
      <c r="P21" s="232">
        <f t="shared" si="1"/>
        <v>0.05851623127266858</v>
      </c>
      <c r="Q21" s="232">
        <f t="shared" si="2"/>
      </c>
      <c r="R21" s="232">
        <f t="shared" si="3"/>
        <v>-0.1576120979740861</v>
      </c>
      <c r="S21" s="232">
        <f t="shared" si="4"/>
        <v>0.004744632009597802</v>
      </c>
      <c r="T21" s="232">
        <f t="shared" si="5"/>
        <v>-0.19996618602390928</v>
      </c>
      <c r="U21" s="232">
        <f t="shared" si="6"/>
        <v>0.28272728116972073</v>
      </c>
      <c r="V21" s="232">
        <f t="shared" si="7"/>
        <v>0.018564055135875442</v>
      </c>
      <c r="W21" s="232">
        <f t="shared" si="8"/>
      </c>
      <c r="X21" s="232">
        <f t="shared" si="9"/>
        <v>0.06929460973455447</v>
      </c>
      <c r="Y21" s="233"/>
    </row>
    <row r="22" spans="2:25" ht="12.75">
      <c r="B22" s="116">
        <v>42502</v>
      </c>
      <c r="C22" s="112">
        <v>11214.036666666667</v>
      </c>
      <c r="D22" s="112"/>
      <c r="E22" s="112">
        <v>6902.76</v>
      </c>
      <c r="F22" s="112">
        <v>8175.340000000001</v>
      </c>
      <c r="G22" s="112">
        <v>7297.795</v>
      </c>
      <c r="H22" s="112"/>
      <c r="I22" s="112">
        <v>9113.396666666667</v>
      </c>
      <c r="J22" s="112"/>
      <c r="K22" s="112">
        <v>9243.7</v>
      </c>
      <c r="L22" s="112">
        <v>8887.550714285715</v>
      </c>
      <c r="P22" s="232">
        <f t="shared" si="1"/>
        <v>0.26176907757515167</v>
      </c>
      <c r="Q22" s="232">
        <f t="shared" si="2"/>
      </c>
      <c r="R22" s="232">
        <f t="shared" si="3"/>
        <v>-0.2233225753744946</v>
      </c>
      <c r="S22" s="232">
        <f t="shared" si="4"/>
        <v>-0.08013576936792238</v>
      </c>
      <c r="T22" s="232">
        <f t="shared" si="5"/>
        <v>-0.1788744464467995</v>
      </c>
      <c r="U22" s="232">
        <f t="shared" si="6"/>
      </c>
      <c r="V22" s="232">
        <f t="shared" si="7"/>
        <v>0.025411495207327602</v>
      </c>
      <c r="W22" s="232">
        <f t="shared" si="8"/>
      </c>
      <c r="X22" s="232">
        <f t="shared" si="9"/>
        <v>0.040072827392345196</v>
      </c>
      <c r="Y22" s="233"/>
    </row>
    <row r="23" spans="2:25" ht="12.75">
      <c r="B23" s="116">
        <v>42503</v>
      </c>
      <c r="C23" s="112">
        <v>10677.185</v>
      </c>
      <c r="D23" s="112"/>
      <c r="E23" s="112">
        <v>8021.39</v>
      </c>
      <c r="F23" s="112">
        <v>8286.7025</v>
      </c>
      <c r="G23" s="112">
        <v>7360.285</v>
      </c>
      <c r="H23" s="112"/>
      <c r="I23" s="112">
        <v>8472.68</v>
      </c>
      <c r="J23" s="112"/>
      <c r="K23" s="112">
        <v>8403.36</v>
      </c>
      <c r="L23" s="112">
        <v>8786.133529411765</v>
      </c>
      <c r="P23" s="232">
        <f t="shared" si="1"/>
        <v>0.21523136021754052</v>
      </c>
      <c r="Q23" s="232">
        <f t="shared" si="2"/>
      </c>
      <c r="R23" s="232">
        <f t="shared" si="3"/>
        <v>-0.0870398255218601</v>
      </c>
      <c r="S23" s="232">
        <f t="shared" si="4"/>
        <v>-0.05684309574170596</v>
      </c>
      <c r="T23" s="232">
        <f t="shared" si="5"/>
        <v>-0.16228395853974992</v>
      </c>
      <c r="U23" s="232">
        <f t="shared" si="6"/>
      </c>
      <c r="V23" s="232">
        <f t="shared" si="7"/>
        <v>-0.035675935081395334</v>
      </c>
      <c r="W23" s="232">
        <f t="shared" si="8"/>
      </c>
      <c r="X23" s="232">
        <f t="shared" si="9"/>
        <v>-0.043565639895003</v>
      </c>
      <c r="Y23" s="233"/>
    </row>
    <row r="24" spans="2:25" ht="12.75">
      <c r="B24" s="116">
        <v>42506</v>
      </c>
      <c r="C24" s="112">
        <v>11992.916666666666</v>
      </c>
      <c r="D24" s="112"/>
      <c r="E24" s="112">
        <v>8823.53</v>
      </c>
      <c r="F24" s="112">
        <v>8975.849999999999</v>
      </c>
      <c r="G24" s="112">
        <v>10294.116666666667</v>
      </c>
      <c r="H24" s="112"/>
      <c r="I24" s="112">
        <v>9157.166666666668</v>
      </c>
      <c r="J24" s="112">
        <v>8604.81</v>
      </c>
      <c r="K24" s="112">
        <v>9243.7</v>
      </c>
      <c r="L24" s="112">
        <v>9925.452857142855</v>
      </c>
      <c r="P24" s="232">
        <f t="shared" si="1"/>
        <v>0.20829919191404558</v>
      </c>
      <c r="Q24" s="232">
        <f t="shared" si="2"/>
      </c>
      <c r="R24" s="232">
        <f t="shared" si="3"/>
        <v>-0.11101990740400876</v>
      </c>
      <c r="S24" s="232">
        <f t="shared" si="4"/>
        <v>-0.09567350435395743</v>
      </c>
      <c r="T24" s="232">
        <f t="shared" si="5"/>
        <v>0.037143273443538974</v>
      </c>
      <c r="U24" s="232">
        <f t="shared" si="6"/>
      </c>
      <c r="V24" s="232">
        <f t="shared" si="7"/>
        <v>-0.07740565609792699</v>
      </c>
      <c r="W24" s="232">
        <f t="shared" si="8"/>
        <v>-0.13305618153155138</v>
      </c>
      <c r="X24" s="232">
        <f t="shared" si="9"/>
        <v>-0.06868733013549404</v>
      </c>
      <c r="Y24" s="233"/>
    </row>
    <row r="25" spans="2:25" ht="12.75">
      <c r="B25" s="116">
        <v>42507</v>
      </c>
      <c r="C25" s="112">
        <v>12103.003333333334</v>
      </c>
      <c r="D25" s="112">
        <v>11764.71</v>
      </c>
      <c r="E25" s="112"/>
      <c r="F25" s="112">
        <v>10602.24</v>
      </c>
      <c r="G25" s="112">
        <v>9946.686666666668</v>
      </c>
      <c r="H25" s="112">
        <v>14075.630000000001</v>
      </c>
      <c r="I25" s="112">
        <v>10403.359999999999</v>
      </c>
      <c r="J25" s="112"/>
      <c r="K25" s="112">
        <v>9243.7</v>
      </c>
      <c r="L25" s="112">
        <v>11149.863913043479</v>
      </c>
      <c r="P25" s="232">
        <f t="shared" si="1"/>
        <v>0.08548439942615278</v>
      </c>
      <c r="Q25" s="232">
        <f t="shared" si="2"/>
        <v>0.05514381984853226</v>
      </c>
      <c r="R25" s="232">
        <f t="shared" si="3"/>
      </c>
      <c r="S25" s="232">
        <f t="shared" si="4"/>
        <v>-0.049114851742975106</v>
      </c>
      <c r="T25" s="232">
        <f t="shared" si="5"/>
        <v>-0.10790959026587704</v>
      </c>
      <c r="U25" s="232">
        <f t="shared" si="6"/>
        <v>0.2624037485815289</v>
      </c>
      <c r="V25" s="232">
        <f t="shared" si="7"/>
        <v>-0.06695184074580451</v>
      </c>
      <c r="W25" s="232">
        <f t="shared" si="8"/>
      </c>
      <c r="X25" s="232">
        <f t="shared" si="9"/>
        <v>-0.1709584913241483</v>
      </c>
      <c r="Y25" s="233"/>
    </row>
    <row r="26" spans="2:25" ht="12.75">
      <c r="B26" s="116">
        <v>42508</v>
      </c>
      <c r="C26" s="112">
        <v>12767.945</v>
      </c>
      <c r="D26" s="112">
        <v>16806.72</v>
      </c>
      <c r="E26" s="112">
        <v>8508.400000000001</v>
      </c>
      <c r="F26" s="112">
        <v>11128.779999999999</v>
      </c>
      <c r="G26" s="112">
        <v>10728.29</v>
      </c>
      <c r="H26" s="112">
        <v>12254.9</v>
      </c>
      <c r="I26" s="112">
        <v>10390.634999999998</v>
      </c>
      <c r="J26" s="112"/>
      <c r="K26" s="112">
        <v>9663.87</v>
      </c>
      <c r="L26" s="112">
        <v>11335.153750000003</v>
      </c>
      <c r="P26" s="232">
        <f t="shared" si="1"/>
        <v>0.12640245395877373</v>
      </c>
      <c r="Q26" s="232">
        <f t="shared" si="2"/>
        <v>0.48270772242502635</v>
      </c>
      <c r="R26" s="232">
        <f t="shared" si="3"/>
        <v>-0.24937939196457753</v>
      </c>
      <c r="S26" s="232">
        <f t="shared" si="4"/>
        <v>-0.018206524106477537</v>
      </c>
      <c r="T26" s="232">
        <f t="shared" si="5"/>
        <v>-0.05353820189690873</v>
      </c>
      <c r="U26" s="232">
        <f t="shared" si="6"/>
        <v>0.08114104760158161</v>
      </c>
      <c r="V26" s="232">
        <f t="shared" si="7"/>
        <v>-0.08332650538595512</v>
      </c>
      <c r="W26" s="232">
        <f t="shared" si="8"/>
      </c>
      <c r="X26" s="232">
        <f t="shared" si="9"/>
        <v>-0.14744253027886825</v>
      </c>
      <c r="Y26" s="233"/>
    </row>
    <row r="27" spans="2:25" ht="12.75">
      <c r="B27" s="116">
        <v>42509</v>
      </c>
      <c r="C27" s="112">
        <v>12862.412499999999</v>
      </c>
      <c r="D27" s="112">
        <v>16386.55</v>
      </c>
      <c r="E27" s="112"/>
      <c r="F27" s="112">
        <v>11908.546666666667</v>
      </c>
      <c r="G27" s="112">
        <v>13247.536666666667</v>
      </c>
      <c r="H27" s="112">
        <v>11899.865000000002</v>
      </c>
      <c r="I27" s="112">
        <v>12624.66</v>
      </c>
      <c r="J27" s="112"/>
      <c r="K27" s="112">
        <v>12958.87</v>
      </c>
      <c r="L27" s="112">
        <v>12832.023125000002</v>
      </c>
      <c r="P27" s="232">
        <f t="shared" si="1"/>
        <v>0.0023682450307302583</v>
      </c>
      <c r="Q27" s="232">
        <f t="shared" si="2"/>
        <v>0.27700440066032045</v>
      </c>
      <c r="R27" s="232">
        <f t="shared" si="3"/>
      </c>
      <c r="S27" s="232">
        <f t="shared" si="4"/>
        <v>-0.07196655190982088</v>
      </c>
      <c r="T27" s="232">
        <f t="shared" si="5"/>
        <v>0.03238098448070442</v>
      </c>
      <c r="U27" s="232">
        <f t="shared" si="6"/>
        <v>-0.07264311448939972</v>
      </c>
      <c r="V27" s="232">
        <f t="shared" si="7"/>
        <v>-0.0161598154071283</v>
      </c>
      <c r="W27" s="232">
        <f t="shared" si="8"/>
      </c>
      <c r="X27" s="232">
        <f t="shared" si="9"/>
        <v>0.00988518129716192</v>
      </c>
      <c r="Y27" s="233"/>
    </row>
    <row r="28" spans="2:25" ht="12.75">
      <c r="B28" s="116">
        <v>42510</v>
      </c>
      <c r="C28" s="112">
        <v>13749.79142857143</v>
      </c>
      <c r="D28" s="112">
        <v>12815.125</v>
      </c>
      <c r="E28" s="112">
        <v>9045.97</v>
      </c>
      <c r="F28" s="112">
        <v>12590.133333333333</v>
      </c>
      <c r="G28" s="112">
        <v>12562.978</v>
      </c>
      <c r="H28" s="112">
        <v>9033.61</v>
      </c>
      <c r="I28" s="112">
        <v>11823.960000000001</v>
      </c>
      <c r="J28" s="112"/>
      <c r="K28" s="112">
        <v>13445.38</v>
      </c>
      <c r="L28" s="112">
        <v>12553.536666666669</v>
      </c>
      <c r="P28" s="232">
        <f t="shared" si="1"/>
        <v>0.09529225059589541</v>
      </c>
      <c r="Q28" s="232">
        <f t="shared" si="2"/>
        <v>0.020837819674189927</v>
      </c>
      <c r="R28" s="232">
        <f t="shared" si="3"/>
        <v>-0.27940864473517574</v>
      </c>
      <c r="S28" s="232">
        <f t="shared" si="4"/>
        <v>0.0029152475225439414</v>
      </c>
      <c r="T28" s="232">
        <f t="shared" si="5"/>
        <v>0.0007520855344613755</v>
      </c>
      <c r="U28" s="232">
        <f t="shared" si="6"/>
        <v>-0.2803932278314133</v>
      </c>
      <c r="V28" s="232">
        <f t="shared" si="7"/>
        <v>-0.05811722114963095</v>
      </c>
      <c r="W28" s="232">
        <f t="shared" si="8"/>
      </c>
      <c r="X28" s="232">
        <f t="shared" si="9"/>
        <v>0.07104319340552347</v>
      </c>
      <c r="Y28" s="233"/>
    </row>
    <row r="29" spans="2:25" ht="12.75">
      <c r="B29" s="116">
        <v>42513</v>
      </c>
      <c r="C29" s="112">
        <v>13871.628</v>
      </c>
      <c r="D29" s="112">
        <v>14278.119999999999</v>
      </c>
      <c r="E29" s="112"/>
      <c r="F29" s="112">
        <v>12457.9825</v>
      </c>
      <c r="G29" s="112">
        <v>13865.55</v>
      </c>
      <c r="H29" s="112">
        <v>10294.12</v>
      </c>
      <c r="I29" s="112">
        <v>12940.1325</v>
      </c>
      <c r="J29" s="112">
        <v>12156.86</v>
      </c>
      <c r="K29" s="112">
        <v>13890.26</v>
      </c>
      <c r="L29" s="112">
        <v>13142.822631578947</v>
      </c>
      <c r="P29" s="232">
        <f t="shared" si="1"/>
        <v>0.05545272799085904</v>
      </c>
      <c r="Q29" s="232">
        <f t="shared" si="2"/>
        <v>0.08638154833598785</v>
      </c>
      <c r="R29" s="232">
        <f t="shared" si="3"/>
      </c>
      <c r="S29" s="232">
        <f t="shared" si="4"/>
        <v>-0.05210753814279177</v>
      </c>
      <c r="T29" s="232">
        <f t="shared" si="5"/>
        <v>0.054990270254771406</v>
      </c>
      <c r="U29" s="232">
        <f t="shared" si="6"/>
        <v>-0.21674968242622553</v>
      </c>
      <c r="V29" s="232">
        <f t="shared" si="7"/>
        <v>-0.015422115725120809</v>
      </c>
      <c r="W29" s="232">
        <f t="shared" si="8"/>
        <v>-0.07501909287050124</v>
      </c>
      <c r="X29" s="232">
        <f t="shared" si="9"/>
        <v>0.056870383887335306</v>
      </c>
      <c r="Y29" s="233"/>
    </row>
    <row r="30" spans="2:25" ht="12.75">
      <c r="B30" s="116">
        <v>42514</v>
      </c>
      <c r="C30" s="112">
        <v>14549.635714285714</v>
      </c>
      <c r="D30" s="112">
        <v>14275.075</v>
      </c>
      <c r="E30" s="112"/>
      <c r="F30" s="112">
        <v>12889.153333333334</v>
      </c>
      <c r="G30" s="112">
        <v>11881.45</v>
      </c>
      <c r="H30" s="112">
        <v>10504.2</v>
      </c>
      <c r="I30" s="112">
        <v>12707.939999999999</v>
      </c>
      <c r="J30" s="112">
        <v>11318.28</v>
      </c>
      <c r="K30" s="112">
        <v>13445.38</v>
      </c>
      <c r="L30" s="112">
        <v>13160.455652173918</v>
      </c>
      <c r="P30" s="232">
        <f t="shared" si="1"/>
        <v>0.10555714018019763</v>
      </c>
      <c r="Q30" s="232">
        <f t="shared" si="2"/>
        <v>0.08469458636426193</v>
      </c>
      <c r="R30" s="232">
        <f t="shared" si="3"/>
      </c>
      <c r="S30" s="232">
        <f t="shared" si="4"/>
        <v>-0.020614963950413744</v>
      </c>
      <c r="T30" s="232">
        <f t="shared" si="5"/>
        <v>-0.09718551439080635</v>
      </c>
      <c r="U30" s="232">
        <f t="shared" si="6"/>
        <v>-0.20183614628382124</v>
      </c>
      <c r="V30" s="232">
        <f t="shared" si="7"/>
        <v>-0.034384497325453164</v>
      </c>
      <c r="W30" s="232">
        <f t="shared" si="8"/>
        <v>-0.13997810568736777</v>
      </c>
      <c r="X30" s="232">
        <f t="shared" si="9"/>
        <v>0.021650036697552794</v>
      </c>
      <c r="Y30" s="233"/>
    </row>
    <row r="31" spans="2:25" ht="12.75">
      <c r="B31" s="116">
        <v>42515</v>
      </c>
      <c r="C31" s="112">
        <v>13838.742000000002</v>
      </c>
      <c r="D31" s="112">
        <v>13769.134999999998</v>
      </c>
      <c r="E31" s="112"/>
      <c r="F31" s="112">
        <v>13005.199999999999</v>
      </c>
      <c r="G31" s="112">
        <v>13305.32</v>
      </c>
      <c r="H31" s="112">
        <v>10504.2</v>
      </c>
      <c r="I31" s="112">
        <v>13091.96</v>
      </c>
      <c r="J31" s="112"/>
      <c r="K31" s="112">
        <v>14302.86</v>
      </c>
      <c r="L31" s="112">
        <v>13307.286315789474</v>
      </c>
      <c r="P31" s="232">
        <f t="shared" si="1"/>
        <v>0.03993719467656912</v>
      </c>
      <c r="Q31" s="232">
        <f t="shared" si="2"/>
        <v>0.034706451281695826</v>
      </c>
      <c r="R31" s="232">
        <f t="shared" si="3"/>
      </c>
      <c r="S31" s="232">
        <f t="shared" si="4"/>
        <v>-0.022700820334123316</v>
      </c>
      <c r="T31" s="232">
        <f t="shared" si="5"/>
        <v>-0.00014776234183379078</v>
      </c>
      <c r="U31" s="232">
        <f t="shared" si="6"/>
        <v>-0.21064297026986872</v>
      </c>
      <c r="V31" s="232">
        <f t="shared" si="7"/>
        <v>-0.016181083857343896</v>
      </c>
      <c r="W31" s="232">
        <f t="shared" si="8"/>
      </c>
      <c r="X31" s="232">
        <f t="shared" si="9"/>
        <v>0.07481417778087864</v>
      </c>
      <c r="Y31" s="233"/>
    </row>
    <row r="32" spans="2:25" ht="12.75">
      <c r="B32" s="116">
        <v>42516</v>
      </c>
      <c r="C32" s="112">
        <v>13607.804</v>
      </c>
      <c r="D32" s="112">
        <v>13877.9</v>
      </c>
      <c r="E32" s="112"/>
      <c r="F32" s="112">
        <v>12318.26</v>
      </c>
      <c r="G32" s="112">
        <v>8403.36</v>
      </c>
      <c r="H32" s="112"/>
      <c r="I32" s="112">
        <v>12450.317500000001</v>
      </c>
      <c r="J32" s="112"/>
      <c r="K32" s="112">
        <v>12920.169999999998</v>
      </c>
      <c r="L32" s="112">
        <v>12752.621764705884</v>
      </c>
      <c r="P32" s="232">
        <f t="shared" si="1"/>
        <v>0.06705932717779774</v>
      </c>
      <c r="Q32" s="232">
        <f t="shared" si="2"/>
        <v>0.08823897203698398</v>
      </c>
      <c r="R32" s="232">
        <f t="shared" si="3"/>
      </c>
      <c r="S32" s="232">
        <f t="shared" si="4"/>
        <v>-0.034060585558023986</v>
      </c>
      <c r="T32" s="232">
        <f t="shared" si="5"/>
        <v>-0.34104844046601357</v>
      </c>
      <c r="U32" s="232">
        <f t="shared" si="6"/>
      </c>
      <c r="V32" s="232">
        <f t="shared" si="7"/>
        <v>-0.023705263927966496</v>
      </c>
      <c r="W32" s="232">
        <f t="shared" si="8"/>
      </c>
      <c r="X32" s="232">
        <f t="shared" si="9"/>
        <v>0.013138336444496487</v>
      </c>
      <c r="Y32" s="233"/>
    </row>
    <row r="33" spans="2:25" ht="12.75">
      <c r="B33" s="116">
        <v>42517</v>
      </c>
      <c r="C33" s="112">
        <v>13822.542857142858</v>
      </c>
      <c r="D33" s="112">
        <v>14139.9</v>
      </c>
      <c r="E33" s="112"/>
      <c r="F33" s="112">
        <v>12600.796666666667</v>
      </c>
      <c r="G33" s="112">
        <v>11032.7075</v>
      </c>
      <c r="H33" s="112">
        <v>11134.45</v>
      </c>
      <c r="I33" s="112">
        <v>12244.417500000001</v>
      </c>
      <c r="J33" s="112">
        <v>10522.47</v>
      </c>
      <c r="K33" s="112">
        <v>13762.705</v>
      </c>
      <c r="L33" s="112">
        <v>12770.828800000001</v>
      </c>
      <c r="P33" s="232">
        <f t="shared" si="1"/>
        <v>0.08235284284312519</v>
      </c>
      <c r="Q33" s="232">
        <f t="shared" si="2"/>
        <v>0.10720300314416542</v>
      </c>
      <c r="R33" s="232">
        <f t="shared" si="3"/>
      </c>
      <c r="S33" s="232">
        <f t="shared" si="4"/>
        <v>-0.013314103257991686</v>
      </c>
      <c r="T33" s="232">
        <f t="shared" si="5"/>
        <v>-0.13610090051477322</v>
      </c>
      <c r="U33" s="232">
        <f t="shared" si="6"/>
        <v>-0.1281341113898575</v>
      </c>
      <c r="V33" s="232">
        <f t="shared" si="7"/>
        <v>-0.04121982278863528</v>
      </c>
      <c r="W33" s="232">
        <f t="shared" si="8"/>
        <v>-0.176054258906047</v>
      </c>
      <c r="X33" s="232">
        <f t="shared" si="9"/>
        <v>0.07766733197456994</v>
      </c>
      <c r="Y33" s="233"/>
    </row>
    <row r="34" spans="2:25" ht="14.25" customHeight="1">
      <c r="B34" s="116">
        <v>42520</v>
      </c>
      <c r="C34" s="112">
        <v>13442.9375</v>
      </c>
      <c r="D34" s="112">
        <v>16825.82</v>
      </c>
      <c r="E34" s="112">
        <v>10924.37</v>
      </c>
      <c r="F34" s="112">
        <v>12799.755000000001</v>
      </c>
      <c r="G34" s="112">
        <v>10842.27</v>
      </c>
      <c r="H34" s="112"/>
      <c r="I34" s="112">
        <v>12325.686666666666</v>
      </c>
      <c r="J34" s="112"/>
      <c r="K34" s="112">
        <v>11344.54</v>
      </c>
      <c r="L34" s="112">
        <v>12582.234444444444</v>
      </c>
      <c r="P34" s="232">
        <f t="shared" si="1"/>
        <v>0.06840621666651509</v>
      </c>
      <c r="Q34" s="232">
        <f t="shared" si="2"/>
        <v>0.3372680404496251</v>
      </c>
      <c r="R34" s="232">
        <f t="shared" si="3"/>
        <v>-0.13176232343822336</v>
      </c>
      <c r="S34" s="232">
        <f t="shared" si="4"/>
        <v>0.017287911500615906</v>
      </c>
      <c r="T34" s="232">
        <f t="shared" si="5"/>
        <v>-0.13828739657706085</v>
      </c>
      <c r="U34" s="232">
        <f t="shared" si="6"/>
      </c>
      <c r="V34" s="232">
        <f t="shared" si="7"/>
        <v>-0.02038968347876031</v>
      </c>
      <c r="W34" s="232">
        <f t="shared" si="8"/>
      </c>
      <c r="X34" s="232">
        <f t="shared" si="9"/>
        <v>-0.09836841380673324</v>
      </c>
      <c r="Y34" s="233"/>
    </row>
    <row r="35" spans="2:25" ht="12.75">
      <c r="B35" s="108">
        <v>42521</v>
      </c>
      <c r="C35" s="196">
        <v>13719.125</v>
      </c>
      <c r="D35" s="196">
        <v>17647.06</v>
      </c>
      <c r="E35" s="196">
        <v>11344.54</v>
      </c>
      <c r="F35" s="196">
        <v>12827.485</v>
      </c>
      <c r="G35" s="196">
        <v>11229.872</v>
      </c>
      <c r="H35" s="196">
        <v>13810.74</v>
      </c>
      <c r="I35" s="196">
        <v>12187.418000000001</v>
      </c>
      <c r="J35" s="196"/>
      <c r="K35" s="196">
        <v>12593.985</v>
      </c>
      <c r="L35" s="196">
        <v>12682.959166666666</v>
      </c>
      <c r="M35" s="76"/>
      <c r="P35" s="232">
        <f t="shared" si="1"/>
        <v>0.08169748240273325</v>
      </c>
      <c r="Q35" s="232">
        <f t="shared" si="2"/>
        <v>0.391399260070156</v>
      </c>
      <c r="R35" s="232">
        <f t="shared" si="3"/>
        <v>-0.10552893446068139</v>
      </c>
      <c r="S35" s="232">
        <f t="shared" si="4"/>
        <v>0.01139527703543961</v>
      </c>
      <c r="T35" s="232">
        <f t="shared" si="5"/>
        <v>-0.11457004217798539</v>
      </c>
      <c r="U35" s="232">
        <f t="shared" si="6"/>
        <v>0.08892095436981033</v>
      </c>
      <c r="V35" s="232">
        <f t="shared" si="7"/>
        <v>-0.039071415444515874</v>
      </c>
      <c r="W35" s="232">
        <f t="shared" si="8"/>
      </c>
      <c r="X35" s="232">
        <f t="shared" si="9"/>
        <v>-0.0070152529466866705</v>
      </c>
      <c r="Y35" s="233"/>
    </row>
    <row r="36" spans="2:25" ht="70.5" customHeight="1">
      <c r="B36" s="324" t="s">
        <v>202</v>
      </c>
      <c r="C36" s="324"/>
      <c r="D36" s="324"/>
      <c r="E36" s="324"/>
      <c r="F36" s="324"/>
      <c r="G36" s="324"/>
      <c r="H36" s="324"/>
      <c r="I36" s="324"/>
      <c r="J36" s="324"/>
      <c r="K36" s="324"/>
      <c r="L36" s="324"/>
      <c r="M36" s="325"/>
      <c r="N36" s="140"/>
      <c r="P36" s="234">
        <f>+AVERAGE(P14:P35)</f>
        <v>0.09603747555367863</v>
      </c>
      <c r="Q36" s="234">
        <f aca="true" t="shared" si="10" ref="Q36:X36">+AVERAGE(Q14:Q35)</f>
        <v>0.23365985505371809</v>
      </c>
      <c r="R36" s="234">
        <f t="shared" si="10"/>
        <v>-0.18047325011646037</v>
      </c>
      <c r="S36" s="234">
        <f t="shared" si="10"/>
        <v>-0.05078147356091081</v>
      </c>
      <c r="T36" s="234">
        <f t="shared" si="10"/>
        <v>-0.10002998626450585</v>
      </c>
      <c r="U36" s="234">
        <f t="shared" si="10"/>
        <v>0.09211106924722452</v>
      </c>
      <c r="V36" s="234">
        <f t="shared" si="10"/>
        <v>-0.032747931003837265</v>
      </c>
      <c r="W36" s="234">
        <f t="shared" si="10"/>
        <v>-0.14446974853624692</v>
      </c>
      <c r="X36" s="234">
        <f t="shared" si="10"/>
        <v>0.0119022742927826</v>
      </c>
      <c r="Y36" s="233"/>
    </row>
    <row r="37" spans="16:25" ht="12.75">
      <c r="P37" s="235">
        <f>+AVERAGE(P6:P35)</f>
        <v>0.10944995134968748</v>
      </c>
      <c r="Q37" s="235">
        <f aca="true" t="shared" si="11" ref="Q37:X37">+AVERAGE(Q6:Q35)</f>
        <v>0.23365985505371809</v>
      </c>
      <c r="R37" s="235">
        <f t="shared" si="11"/>
        <v>-0.17741446059631685</v>
      </c>
      <c r="S37" s="235">
        <f t="shared" si="11"/>
        <v>-0.0515294371221756</v>
      </c>
      <c r="T37" s="235">
        <f t="shared" si="11"/>
        <v>-0.1312315513783927</v>
      </c>
      <c r="U37" s="235">
        <f t="shared" si="11"/>
        <v>0.14689860495591783</v>
      </c>
      <c r="V37" s="235">
        <f t="shared" si="11"/>
        <v>-0.03527905403906078</v>
      </c>
      <c r="W37" s="235">
        <f t="shared" si="11"/>
        <v>-0.11949101707603633</v>
      </c>
      <c r="X37" s="235">
        <f t="shared" si="11"/>
        <v>0.017437663296705</v>
      </c>
      <c r="Y37" s="233"/>
    </row>
    <row r="38" spans="16:25" ht="12.75">
      <c r="P38" s="233"/>
      <c r="Q38" s="233"/>
      <c r="R38" s="233"/>
      <c r="S38" s="233"/>
      <c r="T38" s="233"/>
      <c r="U38" s="233"/>
      <c r="V38" s="233"/>
      <c r="W38" s="233"/>
      <c r="X38" s="233"/>
      <c r="Y38" s="233"/>
    </row>
    <row r="39" spans="16:25" ht="12.75">
      <c r="P39" s="233"/>
      <c r="Q39" s="233"/>
      <c r="R39" s="233"/>
      <c r="S39" s="233"/>
      <c r="T39" s="233"/>
      <c r="U39" s="233"/>
      <c r="V39" s="233"/>
      <c r="W39" s="233"/>
      <c r="X39" s="233"/>
      <c r="Y39" s="233"/>
    </row>
    <row r="40" spans="16:26" ht="12.75">
      <c r="P40" s="236">
        <f>+AVERAGE(C14:C35)</f>
        <v>11727.827000000001</v>
      </c>
      <c r="Q40" s="236">
        <f aca="true" t="shared" si="12" ref="Q40:Y40">+AVERAGE(D14:D35)</f>
        <v>14914.388749999998</v>
      </c>
      <c r="R40" s="236">
        <f t="shared" si="12"/>
        <v>8177.817307692308</v>
      </c>
      <c r="S40" s="236">
        <f t="shared" si="12"/>
        <v>10234.825840909092</v>
      </c>
      <c r="T40" s="236">
        <f t="shared" si="12"/>
        <v>9704.911212121211</v>
      </c>
      <c r="U40" s="236">
        <f t="shared" si="12"/>
        <v>11526.566145833336</v>
      </c>
      <c r="V40" s="236">
        <f t="shared" si="12"/>
        <v>10372.876825757578</v>
      </c>
      <c r="W40" s="236">
        <f t="shared" si="12"/>
        <v>9609.565</v>
      </c>
      <c r="X40" s="236">
        <f t="shared" si="12"/>
        <v>10840.258636363636</v>
      </c>
      <c r="Y40" s="236">
        <f t="shared" si="12"/>
        <v>10734.227188604722</v>
      </c>
      <c r="Z40" s="230" t="s">
        <v>261</v>
      </c>
    </row>
    <row r="41" spans="16:25" ht="12.75">
      <c r="P41" s="232">
        <f>+(P40-$X$40)/$X$40</f>
        <v>0.08187704679471554</v>
      </c>
      <c r="Q41" s="232">
        <f aca="true" t="shared" si="13" ref="Q41:X41">+(Q40-$X$40)/$X$40</f>
        <v>0.3758332942324546</v>
      </c>
      <c r="R41" s="232">
        <f t="shared" si="13"/>
        <v>-0.24560680865493117</v>
      </c>
      <c r="S41" s="232">
        <f t="shared" si="13"/>
        <v>-0.05585040133854561</v>
      </c>
      <c r="T41" s="232">
        <f t="shared" si="13"/>
        <v>-0.104734348351607</v>
      </c>
      <c r="U41" s="232">
        <f t="shared" si="13"/>
        <v>0.06331099030861513</v>
      </c>
      <c r="V41" s="232">
        <f t="shared" si="13"/>
        <v>-0.04311537448361492</v>
      </c>
      <c r="W41" s="232">
        <f t="shared" si="13"/>
        <v>-0.11352991452023806</v>
      </c>
      <c r="X41" s="232">
        <f t="shared" si="13"/>
        <v>0</v>
      </c>
      <c r="Y41" s="233"/>
    </row>
    <row r="59" spans="3:12" ht="12.75">
      <c r="C59" s="48"/>
      <c r="D59" s="48"/>
      <c r="E59" s="48"/>
      <c r="F59" s="48"/>
      <c r="G59" s="48"/>
      <c r="H59" s="48"/>
      <c r="I59" s="48"/>
      <c r="J59" s="48"/>
      <c r="K59" s="48"/>
      <c r="L59" s="48"/>
    </row>
    <row r="60" ht="12.75">
      <c r="B60" s="119"/>
    </row>
    <row r="61" spans="3:12" ht="12.75">
      <c r="C61" s="48"/>
      <c r="D61" s="48"/>
      <c r="E61" s="48"/>
      <c r="F61" s="48"/>
      <c r="G61" s="48"/>
      <c r="H61" s="48"/>
      <c r="I61" s="48"/>
      <c r="J61" s="48"/>
      <c r="K61" s="48"/>
      <c r="L61" s="48"/>
    </row>
    <row r="72" ht="12.75">
      <c r="G72" s="298"/>
    </row>
    <row r="73" ht="12.75">
      <c r="G73" s="298"/>
    </row>
  </sheetData>
  <sheetProtection/>
  <mergeCells count="4">
    <mergeCell ref="B36:M36"/>
    <mergeCell ref="B2:L2"/>
    <mergeCell ref="B3:L3"/>
    <mergeCell ref="B4:L4"/>
  </mergeCells>
  <conditionalFormatting sqref="P40:X40">
    <cfRule type="colorScale" priority="1" dxfId="0">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ignoredErrors>
    <ignoredError sqref="P41:Y41"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1" sqref="A1"/>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5" width="10.8515625" style="39" customWidth="1"/>
    <col min="16" max="16" width="13.00390625" style="197" customWidth="1"/>
    <col min="17" max="17" width="8.57421875" style="230" hidden="1" customWidth="1"/>
    <col min="18" max="18" width="10.28125" style="230" hidden="1" customWidth="1"/>
    <col min="19" max="19" width="9.28125" style="230" hidden="1" customWidth="1"/>
    <col min="20" max="20" width="11.421875" style="230" hidden="1" customWidth="1"/>
    <col min="21" max="21" width="10.28125" style="230" hidden="1" customWidth="1"/>
    <col min="22" max="22" width="7.57421875" style="230" hidden="1" customWidth="1"/>
    <col min="23" max="23" width="7.421875" style="230" hidden="1" customWidth="1"/>
    <col min="24" max="24" width="12.421875" style="230" hidden="1" customWidth="1"/>
    <col min="25" max="25" width="8.7109375" style="230" hidden="1" customWidth="1"/>
    <col min="26" max="28" width="10.8515625" style="230" hidden="1" customWidth="1"/>
    <col min="29" max="29" width="10.8515625" style="197" customWidth="1"/>
    <col min="30" max="16384" width="10.8515625" style="39" customWidth="1"/>
  </cols>
  <sheetData>
    <row r="1" ht="4.5" customHeight="1"/>
    <row r="2" spans="2:16" ht="12.75">
      <c r="B2" s="323" t="s">
        <v>113</v>
      </c>
      <c r="C2" s="323"/>
      <c r="D2" s="323"/>
      <c r="E2" s="323"/>
      <c r="F2" s="323"/>
      <c r="G2" s="323"/>
      <c r="H2" s="323"/>
      <c r="I2" s="323"/>
      <c r="J2" s="323"/>
      <c r="K2" s="323"/>
      <c r="L2" s="323"/>
      <c r="M2" s="323"/>
      <c r="N2" s="122"/>
      <c r="O2" s="52" t="s">
        <v>158</v>
      </c>
      <c r="P2" s="199"/>
    </row>
    <row r="3" spans="2:14" ht="12.75">
      <c r="B3" s="323" t="s">
        <v>145</v>
      </c>
      <c r="C3" s="323"/>
      <c r="D3" s="323"/>
      <c r="E3" s="323"/>
      <c r="F3" s="323"/>
      <c r="G3" s="323"/>
      <c r="H3" s="323"/>
      <c r="I3" s="323"/>
      <c r="J3" s="323"/>
      <c r="K3" s="323"/>
      <c r="L3" s="323"/>
      <c r="M3" s="323"/>
      <c r="N3" s="122"/>
    </row>
    <row r="4" spans="2:14" ht="12.75">
      <c r="B4" s="323" t="s">
        <v>135</v>
      </c>
      <c r="C4" s="323"/>
      <c r="D4" s="323"/>
      <c r="E4" s="323"/>
      <c r="F4" s="323"/>
      <c r="G4" s="323"/>
      <c r="H4" s="323"/>
      <c r="I4" s="323"/>
      <c r="J4" s="323"/>
      <c r="K4" s="323"/>
      <c r="L4" s="323"/>
      <c r="M4" s="323"/>
      <c r="N4" s="122"/>
    </row>
    <row r="5" spans="2:26" ht="39" customHeight="1">
      <c r="B5" s="34" t="s">
        <v>66</v>
      </c>
      <c r="C5" s="35" t="s">
        <v>178</v>
      </c>
      <c r="D5" s="35" t="s">
        <v>188</v>
      </c>
      <c r="E5" s="35" t="s">
        <v>179</v>
      </c>
      <c r="F5" s="35" t="s">
        <v>180</v>
      </c>
      <c r="G5" s="35" t="s">
        <v>181</v>
      </c>
      <c r="H5" s="35" t="s">
        <v>182</v>
      </c>
      <c r="I5" s="35" t="s">
        <v>183</v>
      </c>
      <c r="J5" s="35" t="s">
        <v>169</v>
      </c>
      <c r="K5" s="35" t="s">
        <v>184</v>
      </c>
      <c r="L5" s="35" t="s">
        <v>185</v>
      </c>
      <c r="M5" s="35" t="s">
        <v>71</v>
      </c>
      <c r="N5" s="141"/>
      <c r="Q5" s="237" t="s">
        <v>178</v>
      </c>
      <c r="R5" s="237" t="s">
        <v>188</v>
      </c>
      <c r="S5" s="237" t="s">
        <v>179</v>
      </c>
      <c r="T5" s="237" t="s">
        <v>180</v>
      </c>
      <c r="U5" s="237" t="s">
        <v>181</v>
      </c>
      <c r="V5" s="237" t="s">
        <v>182</v>
      </c>
      <c r="W5" s="237" t="s">
        <v>183</v>
      </c>
      <c r="X5" s="237" t="s">
        <v>169</v>
      </c>
      <c r="Y5" s="237" t="s">
        <v>184</v>
      </c>
      <c r="Z5" s="237" t="s">
        <v>185</v>
      </c>
    </row>
    <row r="6" spans="2:26" ht="12.75">
      <c r="B6" s="113">
        <v>42480</v>
      </c>
      <c r="C6" s="114"/>
      <c r="D6" s="114">
        <v>10084.035</v>
      </c>
      <c r="E6" s="114">
        <v>8975.366666666667</v>
      </c>
      <c r="F6" s="114">
        <v>8987.9325</v>
      </c>
      <c r="G6" s="114"/>
      <c r="H6" s="114">
        <v>7563.0233333333335</v>
      </c>
      <c r="I6" s="114">
        <v>8611.93</v>
      </c>
      <c r="J6" s="114"/>
      <c r="K6" s="114">
        <v>6722.69</v>
      </c>
      <c r="L6" s="114">
        <v>7563.03</v>
      </c>
      <c r="M6" s="114">
        <v>8577.784375000001</v>
      </c>
      <c r="N6" s="142"/>
      <c r="Q6" s="238">
        <f>+IF(C6=0,"",(C6-$M6)/$M6)</f>
      </c>
      <c r="R6" s="238">
        <f aca="true" t="shared" si="0" ref="R6:Z6">+IF(D6=0,"",(D6-$M6)/$M6)</f>
        <v>0.17559903107263625</v>
      </c>
      <c r="S6" s="238">
        <f t="shared" si="0"/>
        <v>0.04635023151496107</v>
      </c>
      <c r="T6" s="238">
        <f t="shared" si="0"/>
        <v>0.047815159144752886</v>
      </c>
      <c r="U6" s="238">
        <f t="shared" si="0"/>
      </c>
      <c r="V6" s="238">
        <f t="shared" si="0"/>
        <v>-0.11830106672116801</v>
      </c>
      <c r="W6" s="238">
        <f t="shared" si="0"/>
        <v>0.00398070451613552</v>
      </c>
      <c r="X6" s="238">
        <f t="shared" si="0"/>
      </c>
      <c r="Y6" s="238">
        <f t="shared" si="0"/>
        <v>-0.21626731261824256</v>
      </c>
      <c r="Z6" s="238">
        <f t="shared" si="0"/>
        <v>-0.11830028951969328</v>
      </c>
    </row>
    <row r="7" spans="2:26" ht="12.75">
      <c r="B7" s="113">
        <v>42481</v>
      </c>
      <c r="C7" s="114">
        <v>14285.71</v>
      </c>
      <c r="D7" s="114">
        <v>10084.035</v>
      </c>
      <c r="E7" s="114">
        <v>9570.8875</v>
      </c>
      <c r="F7" s="114">
        <v>8828.176666666666</v>
      </c>
      <c r="G7" s="114">
        <v>10956.994999999999</v>
      </c>
      <c r="H7" s="114">
        <v>7282.913333333334</v>
      </c>
      <c r="I7" s="114">
        <v>8023.85</v>
      </c>
      <c r="J7" s="114"/>
      <c r="K7" s="114">
        <v>7307.27</v>
      </c>
      <c r="L7" s="114">
        <v>7983.19</v>
      </c>
      <c r="M7" s="114">
        <v>9172.741578947367</v>
      </c>
      <c r="N7" s="142"/>
      <c r="Q7" s="238">
        <f aca="true" t="shared" si="1" ref="Q7:Q35">+IF(C7=0,"",(C7-$M7)/$M7)</f>
        <v>0.5574089684143679</v>
      </c>
      <c r="R7" s="238">
        <f aca="true" t="shared" si="2" ref="R7:R35">+IF(D7=0,"",(D7-$M7)/$M7)</f>
        <v>0.0993479880807031</v>
      </c>
      <c r="S7" s="238">
        <f aca="true" t="shared" si="3" ref="S7:S35">+IF(E7=0,"",(E7-$M7)/$M7)</f>
        <v>0.04340533499454844</v>
      </c>
      <c r="T7" s="238">
        <f aca="true" t="shared" si="4" ref="T7:T35">+IF(F7=0,"",(F7-$M7)/$M7)</f>
        <v>-0.0375640051902827</v>
      </c>
      <c r="U7" s="238">
        <f aca="true" t="shared" si="5" ref="U7:U35">+IF(G7=0,"",(G7-$M7)/$M7)</f>
        <v>0.19451691794607243</v>
      </c>
      <c r="V7" s="238">
        <f aca="true" t="shared" si="6" ref="V7:V35">+IF(H7=0,"",(H7-$M7)/$M7)</f>
        <v>-0.2060265439017092</v>
      </c>
      <c r="W7" s="238">
        <f aca="true" t="shared" si="7" ref="W7:W35">+IF(I7=0,"",(I7-$M7)/$M7)</f>
        <v>-0.1252506209903724</v>
      </c>
      <c r="X7" s="238">
        <f aca="true" t="shared" si="8" ref="X7:X35">+IF(J7=0,"",(J7-$M7)/$M7)</f>
      </c>
      <c r="Y7" s="238">
        <f aca="true" t="shared" si="9" ref="Y7:Y35">+IF(K7=0,"",(K7-$M7)/$M7)</f>
        <v>-0.20337121272759565</v>
      </c>
      <c r="Z7" s="238">
        <f aca="true" t="shared" si="10" ref="Z7:Z35">+IF(L7=0,"",(L7-$M7)/$M7)</f>
        <v>-0.12968331972608307</v>
      </c>
    </row>
    <row r="8" spans="2:26" ht="12.75">
      <c r="B8" s="113">
        <v>42482</v>
      </c>
      <c r="C8" s="114"/>
      <c r="D8" s="114">
        <v>10084.035</v>
      </c>
      <c r="E8" s="114">
        <v>9656.025000000001</v>
      </c>
      <c r="F8" s="114">
        <v>8833.317500000001</v>
      </c>
      <c r="G8" s="114">
        <v>10900.41</v>
      </c>
      <c r="H8" s="114">
        <v>7002.803333333333</v>
      </c>
      <c r="I8" s="114">
        <v>7649.21</v>
      </c>
      <c r="J8" s="114">
        <v>7982.63</v>
      </c>
      <c r="K8" s="114"/>
      <c r="L8" s="114">
        <v>6932.77</v>
      </c>
      <c r="M8" s="114">
        <v>8720.734</v>
      </c>
      <c r="N8" s="142"/>
      <c r="Q8" s="238">
        <f t="shared" si="1"/>
      </c>
      <c r="R8" s="238">
        <f t="shared" si="2"/>
        <v>0.15632869893749762</v>
      </c>
      <c r="S8" s="238">
        <f t="shared" si="3"/>
        <v>0.10724911458141036</v>
      </c>
      <c r="T8" s="238">
        <f t="shared" si="4"/>
        <v>0.0129098651558459</v>
      </c>
      <c r="U8" s="238">
        <f t="shared" si="5"/>
        <v>0.24994180535720953</v>
      </c>
      <c r="V8" s="238">
        <f t="shared" si="6"/>
        <v>-0.1969938157346236</v>
      </c>
      <c r="W8" s="238">
        <f t="shared" si="7"/>
        <v>-0.12287085009128822</v>
      </c>
      <c r="X8" s="238">
        <f t="shared" si="8"/>
        <v>-0.08463782979735424</v>
      </c>
      <c r="Y8" s="238">
        <f t="shared" si="9"/>
      </c>
      <c r="Z8" s="238">
        <f t="shared" si="10"/>
        <v>-0.20502448532428577</v>
      </c>
    </row>
    <row r="9" spans="2:26" ht="12.75">
      <c r="B9" s="113">
        <v>42485</v>
      </c>
      <c r="C9" s="114">
        <v>14285.71</v>
      </c>
      <c r="D9" s="114">
        <v>10084.035</v>
      </c>
      <c r="E9" s="114">
        <v>9615.48</v>
      </c>
      <c r="F9" s="114">
        <v>8394.804</v>
      </c>
      <c r="G9" s="114"/>
      <c r="H9" s="114">
        <v>7563.025000000001</v>
      </c>
      <c r="I9" s="114">
        <v>7518.8</v>
      </c>
      <c r="J9" s="114"/>
      <c r="K9" s="114">
        <v>7362.49</v>
      </c>
      <c r="L9" s="114">
        <v>6932.77</v>
      </c>
      <c r="M9" s="114">
        <v>8747.585000000001</v>
      </c>
      <c r="N9" s="142"/>
      <c r="Q9" s="238">
        <f t="shared" si="1"/>
        <v>0.633103307941563</v>
      </c>
      <c r="R9" s="238">
        <f t="shared" si="2"/>
        <v>0.152779309946688</v>
      </c>
      <c r="S9" s="238">
        <f t="shared" si="3"/>
        <v>0.09921538344583088</v>
      </c>
      <c r="T9" s="238">
        <f t="shared" si="4"/>
        <v>-0.040328959364213185</v>
      </c>
      <c r="U9" s="238">
        <f t="shared" si="5"/>
      </c>
      <c r="V9" s="238">
        <f t="shared" si="6"/>
        <v>-0.13541566043656625</v>
      </c>
      <c r="W9" s="238">
        <f t="shared" si="7"/>
        <v>-0.1404713415188307</v>
      </c>
      <c r="X9" s="238">
        <f t="shared" si="8"/>
      </c>
      <c r="Y9" s="238">
        <f t="shared" si="9"/>
        <v>-0.1583402733440145</v>
      </c>
      <c r="Z9" s="238">
        <f t="shared" si="10"/>
        <v>-0.20746468882554445</v>
      </c>
    </row>
    <row r="10" spans="2:26" ht="12.75">
      <c r="B10" s="113">
        <v>42486</v>
      </c>
      <c r="C10" s="114">
        <v>15336.134999999998</v>
      </c>
      <c r="D10" s="114">
        <v>10084.035</v>
      </c>
      <c r="E10" s="114">
        <v>9663.866666666667</v>
      </c>
      <c r="F10" s="114">
        <v>8300.68</v>
      </c>
      <c r="G10" s="114">
        <v>10215.215</v>
      </c>
      <c r="H10" s="114">
        <v>7563.0233333333335</v>
      </c>
      <c r="I10" s="114">
        <v>7342.94</v>
      </c>
      <c r="J10" s="114">
        <v>7990.13</v>
      </c>
      <c r="K10" s="114">
        <v>7352.94</v>
      </c>
      <c r="L10" s="114">
        <v>7037.8150000000005</v>
      </c>
      <c r="M10" s="114">
        <v>9182.859166666667</v>
      </c>
      <c r="N10" s="142"/>
      <c r="Q10" s="238">
        <f t="shared" si="1"/>
        <v>0.6700827837662395</v>
      </c>
      <c r="R10" s="238">
        <f t="shared" si="2"/>
        <v>0.09813673682425157</v>
      </c>
      <c r="S10" s="238">
        <f t="shared" si="3"/>
        <v>0.05238101676937762</v>
      </c>
      <c r="T10" s="238">
        <f t="shared" si="4"/>
        <v>-0.09606802746893194</v>
      </c>
      <c r="U10" s="238">
        <f t="shared" si="5"/>
        <v>0.11242204792606801</v>
      </c>
      <c r="V10" s="238">
        <f t="shared" si="6"/>
        <v>-0.17639776500256685</v>
      </c>
      <c r="W10" s="238">
        <f t="shared" si="7"/>
        <v>-0.20036451972883182</v>
      </c>
      <c r="X10" s="238">
        <f t="shared" si="8"/>
        <v>-0.12988647054462252</v>
      </c>
      <c r="Y10" s="238">
        <f t="shared" si="9"/>
        <v>-0.1992755342812166</v>
      </c>
      <c r="Z10" s="238">
        <f t="shared" si="10"/>
        <v>-0.23359218819919103</v>
      </c>
    </row>
    <row r="11" spans="2:26" ht="12.75">
      <c r="B11" s="111">
        <v>42487</v>
      </c>
      <c r="C11" s="112">
        <v>14810.919999999998</v>
      </c>
      <c r="D11" s="112">
        <v>10294.12</v>
      </c>
      <c r="E11" s="112">
        <v>9734.225</v>
      </c>
      <c r="F11" s="112">
        <v>8345.217999999999</v>
      </c>
      <c r="G11" s="112">
        <v>9645.189999999999</v>
      </c>
      <c r="H11" s="112">
        <v>7563.0233333333335</v>
      </c>
      <c r="I11" s="112">
        <v>7518.8</v>
      </c>
      <c r="J11" s="112"/>
      <c r="K11" s="112">
        <v>7376.28</v>
      </c>
      <c r="L11" s="112">
        <v>7352.94</v>
      </c>
      <c r="M11" s="112">
        <v>9240.321</v>
      </c>
      <c r="N11" s="142"/>
      <c r="Q11" s="238">
        <f t="shared" si="1"/>
        <v>0.6028577362193368</v>
      </c>
      <c r="R11" s="238">
        <f t="shared" si="2"/>
        <v>0.11404354891999974</v>
      </c>
      <c r="S11" s="238">
        <f t="shared" si="3"/>
        <v>0.053450956952686</v>
      </c>
      <c r="T11" s="238">
        <f t="shared" si="4"/>
        <v>-0.09686925378458183</v>
      </c>
      <c r="U11" s="238">
        <f t="shared" si="5"/>
        <v>0.043815469181211215</v>
      </c>
      <c r="V11" s="238">
        <f t="shared" si="6"/>
        <v>-0.18151941546908018</v>
      </c>
      <c r="W11" s="238">
        <f t="shared" si="7"/>
        <v>-0.18630532424144136</v>
      </c>
      <c r="X11" s="238">
        <f t="shared" si="8"/>
      </c>
      <c r="Y11" s="238">
        <f t="shared" si="9"/>
        <v>-0.20172903084211039</v>
      </c>
      <c r="Z11" s="238">
        <f t="shared" si="10"/>
        <v>-0.20425491711813912</v>
      </c>
    </row>
    <row r="12" spans="2:26" ht="12.75">
      <c r="B12" s="111">
        <v>42488</v>
      </c>
      <c r="C12" s="112"/>
      <c r="D12" s="112">
        <v>10294.12</v>
      </c>
      <c r="E12" s="112">
        <v>9530.480000000001</v>
      </c>
      <c r="F12" s="112">
        <v>8183.6025</v>
      </c>
      <c r="G12" s="112">
        <v>10189.075</v>
      </c>
      <c r="H12" s="112">
        <v>7563.0233333333335</v>
      </c>
      <c r="I12" s="112">
        <v>7518.8</v>
      </c>
      <c r="J12" s="112"/>
      <c r="K12" s="112">
        <v>7349.303333333333</v>
      </c>
      <c r="L12" s="112">
        <v>7037.8150000000005</v>
      </c>
      <c r="M12" s="112">
        <v>8333.133157894736</v>
      </c>
      <c r="N12" s="142"/>
      <c r="Q12" s="238">
        <f t="shared" si="1"/>
      </c>
      <c r="R12" s="238">
        <f t="shared" si="2"/>
        <v>0.23532407378459372</v>
      </c>
      <c r="S12" s="238">
        <f t="shared" si="3"/>
        <v>0.14368507251932128</v>
      </c>
      <c r="T12" s="238">
        <f t="shared" si="4"/>
        <v>-0.01794410998377863</v>
      </c>
      <c r="U12" s="238">
        <f t="shared" si="5"/>
        <v>0.22271837098234323</v>
      </c>
      <c r="V12" s="238">
        <f t="shared" si="6"/>
        <v>-0.09241539886252831</v>
      </c>
      <c r="W12" s="238">
        <f t="shared" si="7"/>
        <v>-0.09772232634051257</v>
      </c>
      <c r="X12" s="238">
        <f t="shared" si="8"/>
      </c>
      <c r="Y12" s="238">
        <f t="shared" si="9"/>
        <v>-0.11806241493085116</v>
      </c>
      <c r="Z12" s="238">
        <f t="shared" si="10"/>
        <v>-0.15544191282573738</v>
      </c>
    </row>
    <row r="13" spans="2:26" ht="12.75">
      <c r="B13" s="111">
        <v>42489</v>
      </c>
      <c r="C13" s="112">
        <v>15546.22</v>
      </c>
      <c r="D13" s="112">
        <v>10084.035</v>
      </c>
      <c r="E13" s="112">
        <v>9684.343333333332</v>
      </c>
      <c r="F13" s="112">
        <v>8564.3975</v>
      </c>
      <c r="G13" s="112">
        <v>9881.28</v>
      </c>
      <c r="H13" s="112">
        <v>7282.91</v>
      </c>
      <c r="I13" s="112">
        <v>7484.24</v>
      </c>
      <c r="J13" s="112">
        <v>7975.99</v>
      </c>
      <c r="K13" s="112">
        <v>7344.86</v>
      </c>
      <c r="L13" s="112">
        <v>7142.86</v>
      </c>
      <c r="M13" s="112">
        <v>9156.873636363636</v>
      </c>
      <c r="N13" s="142"/>
      <c r="Q13" s="238">
        <f t="shared" si="1"/>
        <v>0.6977650470421574</v>
      </c>
      <c r="R13" s="238">
        <f t="shared" si="2"/>
        <v>0.1012530477601476</v>
      </c>
      <c r="S13" s="238">
        <f t="shared" si="3"/>
        <v>0.05760368854223526</v>
      </c>
      <c r="T13" s="238">
        <f t="shared" si="4"/>
        <v>-0.0647028844005016</v>
      </c>
      <c r="U13" s="238">
        <f t="shared" si="5"/>
        <v>0.07911066510294659</v>
      </c>
      <c r="V13" s="238">
        <f t="shared" si="6"/>
        <v>-0.2046510316492499</v>
      </c>
      <c r="W13" s="238">
        <f t="shared" si="7"/>
        <v>-0.18266426979196254</v>
      </c>
      <c r="X13" s="238">
        <f t="shared" si="8"/>
        <v>-0.12896144287435937</v>
      </c>
      <c r="Y13" s="238">
        <f t="shared" si="9"/>
        <v>-0.19788562213721023</v>
      </c>
      <c r="Z13" s="238">
        <f t="shared" si="10"/>
        <v>-0.21994555307235172</v>
      </c>
    </row>
    <row r="14" spans="2:26" ht="12.75">
      <c r="B14" s="111">
        <v>42492</v>
      </c>
      <c r="C14" s="112"/>
      <c r="D14" s="112">
        <v>10084.035</v>
      </c>
      <c r="E14" s="112">
        <v>9453.785</v>
      </c>
      <c r="F14" s="112">
        <v>7979.213333333333</v>
      </c>
      <c r="G14" s="112"/>
      <c r="H14" s="112">
        <v>6722.6900000000005</v>
      </c>
      <c r="I14" s="112">
        <v>7711.32</v>
      </c>
      <c r="J14" s="112"/>
      <c r="K14" s="112">
        <v>7118.14</v>
      </c>
      <c r="L14" s="112">
        <v>7058.82</v>
      </c>
      <c r="M14" s="112">
        <v>8375.322142857141</v>
      </c>
      <c r="N14" s="142"/>
      <c r="Q14" s="238">
        <f t="shared" si="1"/>
      </c>
      <c r="R14" s="238">
        <f t="shared" si="2"/>
        <v>0.20401756827946338</v>
      </c>
      <c r="S14" s="238">
        <f t="shared" si="3"/>
        <v>0.1287667314459804</v>
      </c>
      <c r="T14" s="238">
        <f t="shared" si="4"/>
        <v>-0.04729475508731662</v>
      </c>
      <c r="U14" s="238">
        <f t="shared" si="5"/>
      </c>
      <c r="V14" s="238">
        <f t="shared" si="6"/>
        <v>-0.19732162114702434</v>
      </c>
      <c r="W14" s="238">
        <f t="shared" si="7"/>
        <v>-0.07928078843193312</v>
      </c>
      <c r="X14" s="238">
        <f t="shared" si="8"/>
      </c>
      <c r="Y14" s="238">
        <f t="shared" si="9"/>
        <v>-0.1501055268577727</v>
      </c>
      <c r="Z14" s="238">
        <f t="shared" si="10"/>
        <v>-0.1571882394971416</v>
      </c>
    </row>
    <row r="15" spans="2:26" ht="12.75">
      <c r="B15" s="111">
        <v>42493</v>
      </c>
      <c r="C15" s="112">
        <v>15126.05</v>
      </c>
      <c r="D15" s="112">
        <v>10294.12</v>
      </c>
      <c r="E15" s="112">
        <v>9515.573333333334</v>
      </c>
      <c r="F15" s="112"/>
      <c r="G15" s="112">
        <v>10542.4</v>
      </c>
      <c r="H15" s="112">
        <v>7142.856666666667</v>
      </c>
      <c r="I15" s="112">
        <v>8013.355</v>
      </c>
      <c r="J15" s="112">
        <v>7992.53</v>
      </c>
      <c r="K15" s="112">
        <v>7352.94</v>
      </c>
      <c r="L15" s="112">
        <v>7127.355</v>
      </c>
      <c r="M15" s="112">
        <v>9234.407058823528</v>
      </c>
      <c r="N15" s="142"/>
      <c r="Q15" s="238">
        <f t="shared" si="1"/>
        <v>0.6380098801846701</v>
      </c>
      <c r="R15" s="238">
        <f t="shared" si="2"/>
        <v>0.11475700978157671</v>
      </c>
      <c r="S15" s="238">
        <f t="shared" si="3"/>
        <v>0.030447680367430806</v>
      </c>
      <c r="T15" s="238">
        <f t="shared" si="4"/>
      </c>
      <c r="U15" s="238">
        <f t="shared" si="5"/>
        <v>0.14164341390243101</v>
      </c>
      <c r="V15" s="238">
        <f t="shared" si="6"/>
        <v>-0.2264953644379769</v>
      </c>
      <c r="W15" s="238">
        <f t="shared" si="7"/>
        <v>-0.13222852870199245</v>
      </c>
      <c r="X15" s="238">
        <f t="shared" si="8"/>
        <v>-0.13448368161731702</v>
      </c>
      <c r="Y15" s="238">
        <f t="shared" si="9"/>
        <v>-0.20374530241503444</v>
      </c>
      <c r="Z15" s="238">
        <f t="shared" si="10"/>
        <v>-0.22817405009347388</v>
      </c>
    </row>
    <row r="16" spans="2:26" ht="12.75">
      <c r="B16" s="111">
        <v>42494</v>
      </c>
      <c r="C16" s="112">
        <v>16386.55</v>
      </c>
      <c r="D16" s="112">
        <v>10714.29</v>
      </c>
      <c r="E16" s="112">
        <v>9685.4125</v>
      </c>
      <c r="F16" s="112">
        <v>7624.75</v>
      </c>
      <c r="G16" s="112"/>
      <c r="H16" s="112">
        <v>7096.173333333333</v>
      </c>
      <c r="I16" s="112">
        <v>8054.68</v>
      </c>
      <c r="J16" s="112"/>
      <c r="K16" s="112">
        <v>6722.69</v>
      </c>
      <c r="L16" s="112">
        <v>7983.19</v>
      </c>
      <c r="M16" s="112">
        <v>8913.811176470588</v>
      </c>
      <c r="N16" s="142"/>
      <c r="Q16" s="238">
        <f t="shared" si="1"/>
        <v>0.8383326363536716</v>
      </c>
      <c r="R16" s="238">
        <f t="shared" si="2"/>
        <v>0.20198754358652568</v>
      </c>
      <c r="S16" s="238">
        <f t="shared" si="3"/>
        <v>0.08656244879476196</v>
      </c>
      <c r="T16" s="238">
        <f t="shared" si="4"/>
        <v>-0.14461392001137163</v>
      </c>
      <c r="U16" s="238">
        <f t="shared" si="5"/>
      </c>
      <c r="V16" s="238">
        <f t="shared" si="6"/>
        <v>-0.20391253608054846</v>
      </c>
      <c r="W16" s="238">
        <f t="shared" si="7"/>
        <v>-0.09638202554014161</v>
      </c>
      <c r="X16" s="238">
        <f t="shared" si="8"/>
      </c>
      <c r="Y16" s="238">
        <f t="shared" si="9"/>
        <v>-0.24581193533181395</v>
      </c>
      <c r="Z16" s="238">
        <f t="shared" si="10"/>
        <v>-0.10440216401791302</v>
      </c>
    </row>
    <row r="17" spans="2:26" ht="12.75">
      <c r="B17" s="111">
        <v>42495</v>
      </c>
      <c r="C17" s="112">
        <v>15126.05</v>
      </c>
      <c r="D17" s="112">
        <v>10294.12</v>
      </c>
      <c r="E17" s="112">
        <v>9562.170000000002</v>
      </c>
      <c r="F17" s="112">
        <v>7498.4800000000005</v>
      </c>
      <c r="G17" s="112"/>
      <c r="H17" s="112">
        <v>7563.03</v>
      </c>
      <c r="I17" s="112">
        <v>8166.17</v>
      </c>
      <c r="J17" s="112"/>
      <c r="K17" s="112">
        <v>6722.69</v>
      </c>
      <c r="L17" s="112"/>
      <c r="M17" s="112">
        <v>9153.472777777779</v>
      </c>
      <c r="N17" s="142"/>
      <c r="Q17" s="238">
        <f t="shared" si="1"/>
        <v>0.6524930337611387</v>
      </c>
      <c r="R17" s="238">
        <f t="shared" si="2"/>
        <v>0.12461360293673598</v>
      </c>
      <c r="S17" s="238">
        <f t="shared" si="3"/>
        <v>0.04464941690922294</v>
      </c>
      <c r="T17" s="238">
        <f t="shared" si="4"/>
        <v>-0.18080490519354195</v>
      </c>
      <c r="U17" s="238">
        <f t="shared" si="5"/>
      </c>
      <c r="V17" s="238">
        <f t="shared" si="6"/>
        <v>-0.17375293687866264</v>
      </c>
      <c r="W17" s="238">
        <f t="shared" si="7"/>
        <v>-0.10786100551636423</v>
      </c>
      <c r="X17" s="238">
        <f t="shared" si="8"/>
      </c>
      <c r="Y17" s="238">
        <f t="shared" si="9"/>
        <v>-0.2655585302748788</v>
      </c>
      <c r="Z17" s="238">
        <f t="shared" si="10"/>
      </c>
    </row>
    <row r="18" spans="2:26" ht="12.75">
      <c r="B18" s="111">
        <v>42496</v>
      </c>
      <c r="C18" s="112"/>
      <c r="D18" s="112">
        <v>10294.12</v>
      </c>
      <c r="E18" s="112">
        <v>9654.5025</v>
      </c>
      <c r="F18" s="112">
        <v>7464.595</v>
      </c>
      <c r="G18" s="112">
        <v>11092.435000000001</v>
      </c>
      <c r="H18" s="112">
        <v>7563.03</v>
      </c>
      <c r="I18" s="112">
        <v>8303.32</v>
      </c>
      <c r="J18" s="112">
        <v>7983.19</v>
      </c>
      <c r="K18" s="112">
        <v>7181.05</v>
      </c>
      <c r="L18" s="112">
        <v>7950.87</v>
      </c>
      <c r="M18" s="112">
        <v>8892.242352941175</v>
      </c>
      <c r="N18" s="142"/>
      <c r="Q18" s="238">
        <f t="shared" si="1"/>
      </c>
      <c r="R18" s="238">
        <f t="shared" si="2"/>
        <v>0.15765175884968363</v>
      </c>
      <c r="S18" s="238">
        <f t="shared" si="3"/>
        <v>0.08572192668665873</v>
      </c>
      <c r="T18" s="238">
        <f t="shared" si="4"/>
        <v>-0.1605497574488588</v>
      </c>
      <c r="U18" s="238">
        <f t="shared" si="5"/>
        <v>0.24742832681917357</v>
      </c>
      <c r="V18" s="238">
        <f t="shared" si="6"/>
        <v>-0.14947999617908847</v>
      </c>
      <c r="W18" s="238">
        <f t="shared" si="7"/>
        <v>-0.06622877892508015</v>
      </c>
      <c r="X18" s="238">
        <f t="shared" si="8"/>
        <v>-0.10222982200215223</v>
      </c>
      <c r="Y18" s="238">
        <f t="shared" si="9"/>
        <v>-0.192436540191146</v>
      </c>
      <c r="Z18" s="238">
        <f t="shared" si="10"/>
        <v>-0.10586445078499346</v>
      </c>
    </row>
    <row r="19" spans="2:26" ht="12.75">
      <c r="B19" s="111">
        <v>42499</v>
      </c>
      <c r="C19" s="112">
        <v>15126.05</v>
      </c>
      <c r="D19" s="112">
        <v>10084.035</v>
      </c>
      <c r="E19" s="112">
        <v>9146.3425</v>
      </c>
      <c r="F19" s="112">
        <v>7802.8150000000005</v>
      </c>
      <c r="G19" s="112">
        <v>10588.24</v>
      </c>
      <c r="H19" s="112">
        <v>7002.803333333333</v>
      </c>
      <c r="I19" s="112">
        <v>7333.84</v>
      </c>
      <c r="J19" s="112"/>
      <c r="K19" s="112">
        <v>7352.94</v>
      </c>
      <c r="L19" s="112">
        <v>7983.19</v>
      </c>
      <c r="M19" s="112">
        <v>9023.3305</v>
      </c>
      <c r="N19" s="142"/>
      <c r="Q19" s="238">
        <f t="shared" si="1"/>
        <v>0.6763267177235721</v>
      </c>
      <c r="R19" s="238">
        <f t="shared" si="2"/>
        <v>0.1175513298554231</v>
      </c>
      <c r="S19" s="238">
        <f t="shared" si="3"/>
        <v>0.013632660357503322</v>
      </c>
      <c r="T19" s="238">
        <f t="shared" si="4"/>
        <v>-0.13526219614808518</v>
      </c>
      <c r="U19" s="238">
        <f t="shared" si="5"/>
        <v>0.1734292565256254</v>
      </c>
      <c r="V19" s="238">
        <f t="shared" si="6"/>
        <v>-0.2239225490706194</v>
      </c>
      <c r="W19" s="238">
        <f t="shared" si="7"/>
        <v>-0.18723579946451036</v>
      </c>
      <c r="X19" s="238">
        <f t="shared" si="8"/>
      </c>
      <c r="Y19" s="238">
        <f t="shared" si="9"/>
        <v>-0.1851190644075378</v>
      </c>
      <c r="Z19" s="238">
        <f t="shared" si="10"/>
        <v>-0.115272348718691</v>
      </c>
    </row>
    <row r="20" spans="2:26" ht="12.75">
      <c r="B20" s="111">
        <v>42500</v>
      </c>
      <c r="C20" s="112">
        <v>14285.71</v>
      </c>
      <c r="D20" s="112">
        <v>10084.035</v>
      </c>
      <c r="E20" s="112">
        <v>9351.7425</v>
      </c>
      <c r="F20" s="112">
        <v>7216.7775</v>
      </c>
      <c r="G20" s="112">
        <v>10252.1</v>
      </c>
      <c r="H20" s="112">
        <v>7282.913333333334</v>
      </c>
      <c r="I20" s="112">
        <v>6680.67</v>
      </c>
      <c r="J20" s="112">
        <v>7973.86</v>
      </c>
      <c r="K20" s="112">
        <v>6512.61</v>
      </c>
      <c r="L20" s="112">
        <v>6932.77</v>
      </c>
      <c r="M20" s="112">
        <v>8461.586666666664</v>
      </c>
      <c r="N20" s="142"/>
      <c r="Q20" s="238">
        <f t="shared" si="1"/>
        <v>0.6883015636153349</v>
      </c>
      <c r="R20" s="238">
        <f t="shared" si="2"/>
        <v>0.191742801586464</v>
      </c>
      <c r="S20" s="238">
        <f t="shared" si="3"/>
        <v>0.10519963552934945</v>
      </c>
      <c r="T20" s="238">
        <f t="shared" si="4"/>
        <v>-0.14711297250791394</v>
      </c>
      <c r="U20" s="238">
        <f t="shared" si="5"/>
        <v>0.21160491570532908</v>
      </c>
      <c r="V20" s="238">
        <f t="shared" si="6"/>
        <v>-0.13929696400517447</v>
      </c>
      <c r="W20" s="238">
        <f t="shared" si="7"/>
        <v>-0.21047077065136696</v>
      </c>
      <c r="X20" s="238">
        <f t="shared" si="8"/>
        <v>-0.05764009586854452</v>
      </c>
      <c r="Y20" s="238">
        <f t="shared" si="9"/>
        <v>-0.23033229386450751</v>
      </c>
      <c r="Z20" s="238">
        <f t="shared" si="10"/>
        <v>-0.18067730402020712</v>
      </c>
    </row>
    <row r="21" spans="2:26" ht="12.75">
      <c r="B21" s="111">
        <v>42501</v>
      </c>
      <c r="C21" s="112"/>
      <c r="D21" s="112">
        <v>10084.035</v>
      </c>
      <c r="E21" s="112">
        <v>9363.85</v>
      </c>
      <c r="F21" s="112">
        <v>7163.803333333334</v>
      </c>
      <c r="G21" s="112">
        <v>10556.72</v>
      </c>
      <c r="H21" s="112">
        <v>6981.255</v>
      </c>
      <c r="I21" s="112">
        <v>7082.83</v>
      </c>
      <c r="J21" s="112"/>
      <c r="K21" s="112">
        <v>6932.77</v>
      </c>
      <c r="L21" s="112">
        <v>6932.77</v>
      </c>
      <c r="M21" s="112">
        <v>8229.902142857145</v>
      </c>
      <c r="N21" s="142"/>
      <c r="Q21" s="238">
        <f t="shared" si="1"/>
      </c>
      <c r="R21" s="238">
        <f t="shared" si="2"/>
        <v>0.2252922118584465</v>
      </c>
      <c r="S21" s="238">
        <f t="shared" si="3"/>
        <v>0.1377838809574456</v>
      </c>
      <c r="T21" s="238">
        <f t="shared" si="4"/>
        <v>-0.12953967021941978</v>
      </c>
      <c r="U21" s="238">
        <f t="shared" si="5"/>
        <v>0.2827272811697201</v>
      </c>
      <c r="V21" s="238">
        <f t="shared" si="6"/>
        <v>-0.15172077640569084</v>
      </c>
      <c r="W21" s="238">
        <f t="shared" si="7"/>
        <v>-0.13937858834113917</v>
      </c>
      <c r="X21" s="238">
        <f t="shared" si="8"/>
      </c>
      <c r="Y21" s="238">
        <f t="shared" si="9"/>
        <v>-0.15761209797408648</v>
      </c>
      <c r="Z21" s="238">
        <f t="shared" si="10"/>
        <v>-0.15761209797408648</v>
      </c>
    </row>
    <row r="22" spans="2:26" ht="12.75">
      <c r="B22" s="111">
        <v>42502</v>
      </c>
      <c r="C22" s="112">
        <v>14705.88</v>
      </c>
      <c r="D22" s="112">
        <v>10504.205000000002</v>
      </c>
      <c r="E22" s="112">
        <v>9515.573333333334</v>
      </c>
      <c r="F22" s="112">
        <v>8081.922500000001</v>
      </c>
      <c r="G22" s="112"/>
      <c r="H22" s="112">
        <v>7142.8550000000005</v>
      </c>
      <c r="I22" s="112">
        <v>6648.54</v>
      </c>
      <c r="J22" s="112"/>
      <c r="K22" s="112">
        <v>6902.76</v>
      </c>
      <c r="L22" s="112"/>
      <c r="M22" s="112">
        <v>8887.550714285715</v>
      </c>
      <c r="N22" s="142"/>
      <c r="Q22" s="238">
        <f t="shared" si="1"/>
        <v>0.6546606002891201</v>
      </c>
      <c r="R22" s="238">
        <f t="shared" si="2"/>
        <v>0.1819009913626373</v>
      </c>
      <c r="S22" s="238">
        <f t="shared" si="3"/>
        <v>0.07066318260644573</v>
      </c>
      <c r="T22" s="238">
        <f t="shared" si="4"/>
        <v>-0.09064682050036123</v>
      </c>
      <c r="U22" s="238">
        <f t="shared" si="5"/>
      </c>
      <c r="V22" s="238">
        <f t="shared" si="6"/>
        <v>-0.19630782094793753</v>
      </c>
      <c r="W22" s="238">
        <f t="shared" si="7"/>
        <v>-0.25192663156191764</v>
      </c>
      <c r="X22" s="238">
        <f t="shared" si="8"/>
      </c>
      <c r="Y22" s="238">
        <f t="shared" si="9"/>
        <v>-0.2233225753744946</v>
      </c>
      <c r="Z22" s="238">
        <f t="shared" si="10"/>
      </c>
    </row>
    <row r="23" spans="2:26" ht="12.75">
      <c r="B23" s="111">
        <v>42503</v>
      </c>
      <c r="C23" s="112">
        <v>15431.63</v>
      </c>
      <c r="D23" s="112">
        <v>10504.205000000002</v>
      </c>
      <c r="E23" s="112">
        <v>9103.643333333333</v>
      </c>
      <c r="F23" s="112">
        <v>8357.73</v>
      </c>
      <c r="G23" s="112"/>
      <c r="H23" s="112">
        <v>7142.8550000000005</v>
      </c>
      <c r="I23" s="112">
        <v>7082.83</v>
      </c>
      <c r="J23" s="112">
        <v>7929.84</v>
      </c>
      <c r="K23" s="112">
        <v>8021.39</v>
      </c>
      <c r="L23" s="112">
        <v>6932.77</v>
      </c>
      <c r="M23" s="112">
        <v>8786.133529411765</v>
      </c>
      <c r="N23" s="142"/>
      <c r="Q23" s="238">
        <f t="shared" si="1"/>
        <v>0.7563618795847225</v>
      </c>
      <c r="R23" s="238">
        <f t="shared" si="2"/>
        <v>0.1955435192097817</v>
      </c>
      <c r="S23" s="238">
        <f t="shared" si="3"/>
        <v>0.03613760283277024</v>
      </c>
      <c r="T23" s="238">
        <f t="shared" si="4"/>
        <v>-0.048759050608288154</v>
      </c>
      <c r="U23" s="238">
        <f t="shared" si="5"/>
      </c>
      <c r="V23" s="238">
        <f t="shared" si="6"/>
        <v>-0.1870309077264596</v>
      </c>
      <c r="W23" s="238">
        <f t="shared" si="7"/>
        <v>-0.1938626955429167</v>
      </c>
      <c r="X23" s="238">
        <f t="shared" si="8"/>
        <v>-0.09745965350347849</v>
      </c>
      <c r="Y23" s="238">
        <f t="shared" si="9"/>
        <v>-0.0870398255218601</v>
      </c>
      <c r="Z23" s="238">
        <f t="shared" si="10"/>
        <v>-0.2109418805447916</v>
      </c>
    </row>
    <row r="24" spans="2:26" ht="12.75">
      <c r="B24" s="111">
        <v>42506</v>
      </c>
      <c r="C24" s="112"/>
      <c r="D24" s="112">
        <v>10714.29</v>
      </c>
      <c r="E24" s="112">
        <v>10059.3075</v>
      </c>
      <c r="F24" s="112">
        <v>11014.43</v>
      </c>
      <c r="G24" s="112"/>
      <c r="H24" s="112">
        <v>10084.03</v>
      </c>
      <c r="I24" s="112">
        <v>7427.49</v>
      </c>
      <c r="J24" s="112"/>
      <c r="K24" s="112">
        <v>8823.53</v>
      </c>
      <c r="L24" s="112">
        <v>6897.76</v>
      </c>
      <c r="M24" s="112">
        <v>9925.452857142858</v>
      </c>
      <c r="N24" s="142"/>
      <c r="Q24" s="238">
        <f t="shared" si="1"/>
      </c>
      <c r="R24" s="238">
        <f t="shared" si="2"/>
        <v>0.07947618654895484</v>
      </c>
      <c r="S24" s="238">
        <f t="shared" si="3"/>
        <v>0.013485998551775302</v>
      </c>
      <c r="T24" s="238">
        <f t="shared" si="4"/>
        <v>0.10971561283205924</v>
      </c>
      <c r="U24" s="238">
        <f t="shared" si="5"/>
      </c>
      <c r="V24" s="238">
        <f t="shared" si="6"/>
        <v>0.01597681689083056</v>
      </c>
      <c r="W24" s="238">
        <f t="shared" si="7"/>
        <v>-0.2516724317868477</v>
      </c>
      <c r="X24" s="238">
        <f t="shared" si="8"/>
      </c>
      <c r="Y24" s="238">
        <f t="shared" si="9"/>
        <v>-0.11101990740400909</v>
      </c>
      <c r="Z24" s="238">
        <f t="shared" si="10"/>
        <v>-0.3050432963332224</v>
      </c>
    </row>
    <row r="25" spans="2:26" ht="12.75">
      <c r="B25" s="111">
        <v>42507</v>
      </c>
      <c r="C25" s="112">
        <v>15546.22</v>
      </c>
      <c r="D25" s="112">
        <v>12668.07</v>
      </c>
      <c r="E25" s="112">
        <v>9954.75</v>
      </c>
      <c r="F25" s="112">
        <v>10955.246000000001</v>
      </c>
      <c r="G25" s="112">
        <v>12184.875</v>
      </c>
      <c r="H25" s="112">
        <v>10924.373333333331</v>
      </c>
      <c r="I25" s="112">
        <v>10315.13</v>
      </c>
      <c r="J25" s="112">
        <v>10502.14</v>
      </c>
      <c r="K25" s="112">
        <v>10084.03</v>
      </c>
      <c r="L25" s="112">
        <v>6876.75</v>
      </c>
      <c r="M25" s="112">
        <v>11149.863913043477</v>
      </c>
      <c r="N25" s="142"/>
      <c r="Q25" s="238">
        <f t="shared" si="1"/>
        <v>0.3942968381715871</v>
      </c>
      <c r="R25" s="238">
        <f t="shared" si="2"/>
        <v>0.13616364278495593</v>
      </c>
      <c r="S25" s="238">
        <f t="shared" si="3"/>
        <v>-0.1071864125305954</v>
      </c>
      <c r="T25" s="238">
        <f t="shared" si="4"/>
        <v>-0.01745473438611258</v>
      </c>
      <c r="U25" s="238">
        <f t="shared" si="5"/>
        <v>0.09282723942000165</v>
      </c>
      <c r="V25" s="238">
        <f t="shared" si="6"/>
        <v>-0.02022361720902793</v>
      </c>
      <c r="W25" s="238">
        <f t="shared" si="7"/>
        <v>-0.07486494181036402</v>
      </c>
      <c r="X25" s="238">
        <f t="shared" si="8"/>
        <v>-0.05809253979196541</v>
      </c>
      <c r="Y25" s="238">
        <f t="shared" si="9"/>
        <v>-0.09559165218120991</v>
      </c>
      <c r="Z25" s="238">
        <f t="shared" si="10"/>
        <v>-0.3832435934975536</v>
      </c>
    </row>
    <row r="26" spans="2:26" ht="12.75">
      <c r="B26" s="111">
        <v>42508</v>
      </c>
      <c r="C26" s="112">
        <v>16806.72</v>
      </c>
      <c r="D26" s="112">
        <v>12920.169999999998</v>
      </c>
      <c r="E26" s="112">
        <v>10228.546666666667</v>
      </c>
      <c r="F26" s="112">
        <v>11657.525000000001</v>
      </c>
      <c r="G26" s="112">
        <v>13472.49</v>
      </c>
      <c r="H26" s="112">
        <v>11764.71</v>
      </c>
      <c r="I26" s="112">
        <v>12254.9</v>
      </c>
      <c r="J26" s="112"/>
      <c r="K26" s="112">
        <v>10084.03</v>
      </c>
      <c r="L26" s="112">
        <v>6911.765</v>
      </c>
      <c r="M26" s="112">
        <v>11335.153749999998</v>
      </c>
      <c r="N26" s="142"/>
      <c r="Q26" s="238">
        <f t="shared" si="1"/>
        <v>0.4827077224250271</v>
      </c>
      <c r="R26" s="238">
        <f t="shared" si="2"/>
        <v>0.13983191449873372</v>
      </c>
      <c r="S26" s="238">
        <f t="shared" si="3"/>
        <v>-0.09762612027501884</v>
      </c>
      <c r="T26" s="238">
        <f t="shared" si="4"/>
        <v>0.02843995389123009</v>
      </c>
      <c r="U26" s="238">
        <f t="shared" si="5"/>
        <v>0.18855820548530297</v>
      </c>
      <c r="V26" s="238">
        <f t="shared" si="6"/>
        <v>0.03789593502426039</v>
      </c>
      <c r="W26" s="238">
        <f t="shared" si="7"/>
        <v>0.08114104760158213</v>
      </c>
      <c r="X26" s="238">
        <f t="shared" si="8"/>
      </c>
      <c r="Y26" s="238">
        <f t="shared" si="9"/>
        <v>-0.11037554298723097</v>
      </c>
      <c r="Z26" s="238">
        <f t="shared" si="10"/>
        <v>-0.3902363256431346</v>
      </c>
    </row>
    <row r="27" spans="2:26" ht="12.75">
      <c r="B27" s="111">
        <v>42509</v>
      </c>
      <c r="C27" s="112">
        <v>15794.494999999999</v>
      </c>
      <c r="D27" s="112">
        <v>12815.13</v>
      </c>
      <c r="E27" s="112">
        <v>13868.4825</v>
      </c>
      <c r="F27" s="112">
        <v>12453.82</v>
      </c>
      <c r="G27" s="112"/>
      <c r="H27" s="112">
        <v>11764.71</v>
      </c>
      <c r="I27" s="112">
        <v>12357.88</v>
      </c>
      <c r="J27" s="112"/>
      <c r="K27" s="112">
        <v>10084.03</v>
      </c>
      <c r="L27" s="112">
        <v>8597.29</v>
      </c>
      <c r="M27" s="112">
        <v>12832.023125000002</v>
      </c>
      <c r="N27" s="142"/>
      <c r="Q27" s="238">
        <f t="shared" si="1"/>
        <v>0.2308655343075527</v>
      </c>
      <c r="R27" s="238">
        <f t="shared" si="2"/>
        <v>-0.001316481807696425</v>
      </c>
      <c r="S27" s="238">
        <f t="shared" si="3"/>
        <v>0.08077131446098437</v>
      </c>
      <c r="T27" s="238">
        <f t="shared" si="4"/>
        <v>-0.029473382436723265</v>
      </c>
      <c r="U27" s="238">
        <f t="shared" si="5"/>
      </c>
      <c r="V27" s="238">
        <f t="shared" si="6"/>
        <v>-0.08317574825131109</v>
      </c>
      <c r="W27" s="238">
        <f t="shared" si="7"/>
        <v>-0.03694998991049607</v>
      </c>
      <c r="X27" s="238">
        <f t="shared" si="8"/>
      </c>
      <c r="Y27" s="238">
        <f t="shared" si="9"/>
        <v>-0.21415119800136742</v>
      </c>
      <c r="Z27" s="238">
        <f t="shared" si="10"/>
        <v>-0.33001289693358465</v>
      </c>
    </row>
    <row r="28" spans="2:26" ht="12.75">
      <c r="B28" s="111">
        <v>42510</v>
      </c>
      <c r="C28" s="112">
        <v>16501.15</v>
      </c>
      <c r="D28" s="112">
        <v>14075.63</v>
      </c>
      <c r="E28" s="112">
        <v>14385.7525</v>
      </c>
      <c r="F28" s="112">
        <v>13300.101999999999</v>
      </c>
      <c r="G28" s="112">
        <v>12721.755000000001</v>
      </c>
      <c r="H28" s="112">
        <v>10924.37</v>
      </c>
      <c r="I28" s="112">
        <v>12436.97</v>
      </c>
      <c r="J28" s="112">
        <v>12163.26</v>
      </c>
      <c r="K28" s="112">
        <v>10479.49</v>
      </c>
      <c r="L28" s="112">
        <v>9043.116666666667</v>
      </c>
      <c r="M28" s="112">
        <v>12553.536666666665</v>
      </c>
      <c r="N28" s="142"/>
      <c r="Q28" s="238">
        <f t="shared" si="1"/>
        <v>0.31446224583191856</v>
      </c>
      <c r="R28" s="238">
        <f t="shared" si="2"/>
        <v>0.12124816884272462</v>
      </c>
      <c r="S28" s="238">
        <f t="shared" si="3"/>
        <v>0.1459521632814765</v>
      </c>
      <c r="T28" s="238">
        <f t="shared" si="4"/>
        <v>0.05947051840105622</v>
      </c>
      <c r="U28" s="238">
        <f t="shared" si="5"/>
        <v>0.01340007503861483</v>
      </c>
      <c r="V28" s="238">
        <f t="shared" si="6"/>
        <v>-0.12977750493154502</v>
      </c>
      <c r="W28" s="238">
        <f t="shared" si="7"/>
        <v>-0.009285563882263117</v>
      </c>
      <c r="X28" s="238">
        <f t="shared" si="8"/>
        <v>-0.031088981299028207</v>
      </c>
      <c r="Y28" s="238">
        <f t="shared" si="9"/>
        <v>-0.16521612368997732</v>
      </c>
      <c r="Z28" s="238">
        <f t="shared" si="10"/>
        <v>-0.2796359379202832</v>
      </c>
    </row>
    <row r="29" spans="2:26" ht="12.75">
      <c r="B29" s="111">
        <v>42513</v>
      </c>
      <c r="C29" s="112"/>
      <c r="D29" s="112">
        <v>16386.55</v>
      </c>
      <c r="E29" s="112">
        <v>14099.999999999998</v>
      </c>
      <c r="F29" s="112">
        <v>12846.802</v>
      </c>
      <c r="G29" s="112">
        <v>13109.24</v>
      </c>
      <c r="H29" s="112">
        <v>13865.544999999998</v>
      </c>
      <c r="I29" s="112">
        <v>12128.85</v>
      </c>
      <c r="J29" s="112"/>
      <c r="K29" s="112">
        <v>11374.55</v>
      </c>
      <c r="L29" s="112">
        <v>10294.12</v>
      </c>
      <c r="M29" s="112">
        <v>13142.822631578947</v>
      </c>
      <c r="N29" s="142"/>
      <c r="Q29" s="238">
        <f t="shared" si="1"/>
      </c>
      <c r="R29" s="238">
        <f t="shared" si="2"/>
        <v>0.24680599132694517</v>
      </c>
      <c r="S29" s="238">
        <f t="shared" si="3"/>
        <v>0.07282890405301454</v>
      </c>
      <c r="T29" s="238">
        <f t="shared" si="4"/>
        <v>-0.022523368067654138</v>
      </c>
      <c r="U29" s="238">
        <f t="shared" si="5"/>
        <v>-0.0025552069384438404</v>
      </c>
      <c r="V29" s="238">
        <f t="shared" si="6"/>
        <v>0.05498988981898975</v>
      </c>
      <c r="W29" s="238">
        <f t="shared" si="7"/>
        <v>-0.07715029411890728</v>
      </c>
      <c r="X29" s="238">
        <f t="shared" si="8"/>
      </c>
      <c r="Y29" s="238">
        <f t="shared" si="9"/>
        <v>-0.13454283612792786</v>
      </c>
      <c r="Z29" s="238">
        <f t="shared" si="10"/>
        <v>-0.21674968242622553</v>
      </c>
    </row>
    <row r="30" spans="2:26" ht="12.75">
      <c r="B30" s="111">
        <v>42514</v>
      </c>
      <c r="C30" s="112">
        <v>17647.06</v>
      </c>
      <c r="D30" s="112">
        <v>16386.55</v>
      </c>
      <c r="E30" s="112">
        <v>13733.276666666667</v>
      </c>
      <c r="F30" s="112">
        <v>12569.751666666665</v>
      </c>
      <c r="G30" s="112">
        <v>14696.580000000002</v>
      </c>
      <c r="H30" s="112">
        <v>12184.869999999999</v>
      </c>
      <c r="I30" s="112">
        <v>12217.19</v>
      </c>
      <c r="J30" s="112">
        <v>13827.545</v>
      </c>
      <c r="K30" s="112">
        <v>10504.2</v>
      </c>
      <c r="L30" s="112">
        <v>10504.2</v>
      </c>
      <c r="M30" s="112">
        <v>13160.455652173914</v>
      </c>
      <c r="N30" s="142"/>
      <c r="Q30" s="238">
        <f t="shared" si="1"/>
        <v>0.3409155781840248</v>
      </c>
      <c r="R30" s="238">
        <f t="shared" si="2"/>
        <v>0.245135459826817</v>
      </c>
      <c r="S30" s="238">
        <f t="shared" si="3"/>
        <v>0.04352592566946045</v>
      </c>
      <c r="T30" s="238">
        <f t="shared" si="4"/>
        <v>-0.044884766995865626</v>
      </c>
      <c r="U30" s="238">
        <f t="shared" si="5"/>
        <v>0.11672273274005847</v>
      </c>
      <c r="V30" s="238">
        <f t="shared" si="6"/>
        <v>-0.0741300816596546</v>
      </c>
      <c r="W30" s="238">
        <f t="shared" si="7"/>
        <v>-0.07167423963911917</v>
      </c>
      <c r="X30" s="238">
        <f t="shared" si="8"/>
        <v>0.05068892487137348</v>
      </c>
      <c r="Y30" s="238">
        <f t="shared" si="9"/>
        <v>-0.20183614628382102</v>
      </c>
      <c r="Z30" s="238">
        <f t="shared" si="10"/>
        <v>-0.20183614628382102</v>
      </c>
    </row>
    <row r="31" spans="2:27" ht="12.75">
      <c r="B31" s="111">
        <v>42515</v>
      </c>
      <c r="C31" s="112"/>
      <c r="D31" s="112">
        <v>16176.47</v>
      </c>
      <c r="E31" s="112">
        <v>14395.039999999999</v>
      </c>
      <c r="F31" s="112">
        <v>12383.3175</v>
      </c>
      <c r="G31" s="112">
        <v>14915.965</v>
      </c>
      <c r="H31" s="112">
        <v>12885.15</v>
      </c>
      <c r="I31" s="112">
        <v>11968.154999999999</v>
      </c>
      <c r="J31" s="112"/>
      <c r="K31" s="112">
        <v>10444.18</v>
      </c>
      <c r="L31" s="112">
        <v>10504.2</v>
      </c>
      <c r="M31" s="112">
        <v>13307.286315789472</v>
      </c>
      <c r="N31" s="142"/>
      <c r="Q31" s="238">
        <f t="shared" si="1"/>
      </c>
      <c r="R31" s="238">
        <f t="shared" si="2"/>
        <v>0.21560997607800472</v>
      </c>
      <c r="S31" s="238">
        <f t="shared" si="3"/>
        <v>0.08174120992045364</v>
      </c>
      <c r="T31" s="238">
        <f t="shared" si="4"/>
        <v>-0.0694333009648374</v>
      </c>
      <c r="U31" s="238">
        <f t="shared" si="5"/>
        <v>0.12088705736358778</v>
      </c>
      <c r="V31" s="238">
        <f t="shared" si="6"/>
        <v>-0.03172219382464142</v>
      </c>
      <c r="W31" s="238">
        <f t="shared" si="7"/>
        <v>-0.1006314348403668</v>
      </c>
      <c r="X31" s="238">
        <f t="shared" si="8"/>
      </c>
      <c r="Y31" s="238">
        <f t="shared" si="9"/>
        <v>-0.21515328128112152</v>
      </c>
      <c r="Z31" s="238">
        <f t="shared" si="10"/>
        <v>-0.2106429702698686</v>
      </c>
      <c r="AA31" s="239"/>
    </row>
    <row r="32" spans="2:26" ht="12.75">
      <c r="B32" s="111">
        <v>42516</v>
      </c>
      <c r="C32" s="112"/>
      <c r="D32" s="112">
        <v>16386.55</v>
      </c>
      <c r="E32" s="112">
        <v>14002.720000000001</v>
      </c>
      <c r="F32" s="112">
        <v>12043.947500000002</v>
      </c>
      <c r="G32" s="112">
        <v>13153.595</v>
      </c>
      <c r="H32" s="112">
        <v>11204.480000000001</v>
      </c>
      <c r="I32" s="112">
        <v>12278.24</v>
      </c>
      <c r="J32" s="112"/>
      <c r="K32" s="112">
        <v>10504.2</v>
      </c>
      <c r="L32" s="112">
        <v>11134.45</v>
      </c>
      <c r="M32" s="112">
        <v>12752.621764705882</v>
      </c>
      <c r="N32" s="142"/>
      <c r="Q32" s="238">
        <f t="shared" si="1"/>
      </c>
      <c r="R32" s="238">
        <f t="shared" si="2"/>
        <v>0.2849553842607774</v>
      </c>
      <c r="S32" s="238">
        <f t="shared" si="3"/>
        <v>0.09802676330869368</v>
      </c>
      <c r="T32" s="238">
        <f t="shared" si="4"/>
        <v>-0.055570868310954286</v>
      </c>
      <c r="U32" s="238">
        <f t="shared" si="5"/>
        <v>0.03144241573947168</v>
      </c>
      <c r="V32" s="238">
        <f t="shared" si="6"/>
        <v>-0.12139792062135123</v>
      </c>
      <c r="W32" s="238">
        <f t="shared" si="7"/>
        <v>-0.03719876378822587</v>
      </c>
      <c r="X32" s="238">
        <f t="shared" si="8"/>
      </c>
      <c r="Y32" s="238">
        <f t="shared" si="9"/>
        <v>-0.17631055058251682</v>
      </c>
      <c r="Z32" s="238">
        <f t="shared" si="10"/>
        <v>-0.1268893404479641</v>
      </c>
    </row>
    <row r="33" spans="2:26" ht="12.75">
      <c r="B33" s="111">
        <v>42517</v>
      </c>
      <c r="C33" s="112">
        <v>16386.55</v>
      </c>
      <c r="D33" s="112">
        <v>15651.259999999998</v>
      </c>
      <c r="E33" s="112">
        <v>14240.9075</v>
      </c>
      <c r="F33" s="112">
        <v>11109.511666666667</v>
      </c>
      <c r="G33" s="112">
        <v>13507.49</v>
      </c>
      <c r="H33" s="112">
        <v>11204.480000000001</v>
      </c>
      <c r="I33" s="112">
        <v>12134.57</v>
      </c>
      <c r="J33" s="112">
        <v>13903.74</v>
      </c>
      <c r="K33" s="112">
        <v>10504.2</v>
      </c>
      <c r="L33" s="112">
        <v>11134.45</v>
      </c>
      <c r="M33" s="112">
        <v>12770.828800000003</v>
      </c>
      <c r="N33" s="142"/>
      <c r="Q33" s="238">
        <f t="shared" si="1"/>
        <v>0.2831234571087505</v>
      </c>
      <c r="R33" s="238">
        <f t="shared" si="2"/>
        <v>0.22554771073275956</v>
      </c>
      <c r="S33" s="238">
        <f t="shared" si="3"/>
        <v>0.11511223923070647</v>
      </c>
      <c r="T33" s="238">
        <f t="shared" si="4"/>
        <v>-0.13008686901615463</v>
      </c>
      <c r="U33" s="238">
        <f t="shared" si="5"/>
        <v>0.05768311607152675</v>
      </c>
      <c r="V33" s="238">
        <f t="shared" si="6"/>
        <v>-0.12265052053630232</v>
      </c>
      <c r="W33" s="238">
        <f t="shared" si="7"/>
        <v>-0.04982126140474165</v>
      </c>
      <c r="X33" s="238">
        <f t="shared" si="8"/>
        <v>0.0887108595489117</v>
      </c>
      <c r="Y33" s="238">
        <f t="shared" si="9"/>
        <v>-0.1774848630027835</v>
      </c>
      <c r="Z33" s="238">
        <f t="shared" si="10"/>
        <v>-0.12813411138985764</v>
      </c>
    </row>
    <row r="34" spans="2:26" ht="12.75">
      <c r="B34" s="111">
        <v>42520</v>
      </c>
      <c r="C34" s="112">
        <v>17265.09</v>
      </c>
      <c r="D34" s="112">
        <v>14985.99</v>
      </c>
      <c r="E34" s="112">
        <v>12492.315</v>
      </c>
      <c r="F34" s="112">
        <v>11837.555</v>
      </c>
      <c r="G34" s="112"/>
      <c r="H34" s="112">
        <v>11204.480000000001</v>
      </c>
      <c r="I34" s="112">
        <v>11199.935000000001</v>
      </c>
      <c r="J34" s="112"/>
      <c r="K34" s="112">
        <v>10924.37</v>
      </c>
      <c r="L34" s="112"/>
      <c r="M34" s="112">
        <v>12582.234444444446</v>
      </c>
      <c r="N34" s="142"/>
      <c r="Q34" s="238">
        <f t="shared" si="1"/>
        <v>0.3721799634422819</v>
      </c>
      <c r="R34" s="238">
        <f t="shared" si="2"/>
        <v>0.1910436151995965</v>
      </c>
      <c r="S34" s="238">
        <f t="shared" si="3"/>
        <v>-0.007146540214417051</v>
      </c>
      <c r="T34" s="238">
        <f t="shared" si="4"/>
        <v>-0.05918499196088746</v>
      </c>
      <c r="U34" s="238">
        <f t="shared" si="5"/>
      </c>
      <c r="V34" s="238">
        <f t="shared" si="6"/>
        <v>-0.1094999819410278</v>
      </c>
      <c r="W34" s="238">
        <f t="shared" si="7"/>
        <v>-0.10986120553927405</v>
      </c>
      <c r="X34" s="238">
        <f t="shared" si="8"/>
      </c>
      <c r="Y34" s="238">
        <f t="shared" si="9"/>
        <v>-0.1317623234382235</v>
      </c>
      <c r="Z34" s="238">
        <f t="shared" si="10"/>
      </c>
    </row>
    <row r="35" spans="2:27" ht="12.75">
      <c r="B35" s="63">
        <v>42521</v>
      </c>
      <c r="C35" s="36">
        <v>17647.06</v>
      </c>
      <c r="D35" s="36">
        <v>14285.71</v>
      </c>
      <c r="E35" s="36">
        <v>12512.36</v>
      </c>
      <c r="F35" s="36">
        <v>11831.5175</v>
      </c>
      <c r="G35" s="36">
        <v>13827.085</v>
      </c>
      <c r="H35" s="36">
        <v>11204.480000000001</v>
      </c>
      <c r="I35" s="36">
        <v>11758.035</v>
      </c>
      <c r="J35" s="36">
        <v>11356.9</v>
      </c>
      <c r="K35" s="36">
        <v>11319.82</v>
      </c>
      <c r="L35" s="36">
        <v>12184.875</v>
      </c>
      <c r="M35" s="36">
        <v>12682.959166666666</v>
      </c>
      <c r="N35" s="142"/>
      <c r="Q35" s="238">
        <f t="shared" si="1"/>
        <v>0.391399260070156</v>
      </c>
      <c r="R35" s="238">
        <f t="shared" si="2"/>
        <v>0.12637041657799236</v>
      </c>
      <c r="S35" s="238">
        <f t="shared" si="3"/>
        <v>-0.013451053845149444</v>
      </c>
      <c r="T35" s="238">
        <f t="shared" si="4"/>
        <v>-0.06713272947408232</v>
      </c>
      <c r="U35" s="238">
        <f t="shared" si="5"/>
        <v>0.09020969146855912</v>
      </c>
      <c r="V35" s="238">
        <f t="shared" si="6"/>
        <v>-0.11657209861184455</v>
      </c>
      <c r="W35" s="238">
        <f t="shared" si="7"/>
        <v>-0.0729265272017551</v>
      </c>
      <c r="X35" s="238">
        <f t="shared" si="8"/>
        <v>-0.10455439848389741</v>
      </c>
      <c r="Y35" s="238">
        <f t="shared" si="9"/>
        <v>-0.10747800641424962</v>
      </c>
      <c r="Z35" s="238">
        <f t="shared" si="10"/>
        <v>-0.03927192070252262</v>
      </c>
      <c r="AA35" s="239"/>
    </row>
    <row r="36" spans="2:26" ht="12.75">
      <c r="B36" s="119" t="s">
        <v>203</v>
      </c>
      <c r="F36" s="64"/>
      <c r="G36" s="64"/>
      <c r="H36" s="64"/>
      <c r="I36" s="64"/>
      <c r="J36" s="64"/>
      <c r="K36" s="64"/>
      <c r="L36" s="64"/>
      <c r="Q36" s="233"/>
      <c r="R36" s="233"/>
      <c r="S36" s="233"/>
      <c r="T36" s="233"/>
      <c r="U36" s="233"/>
      <c r="V36" s="233"/>
      <c r="W36" s="233"/>
      <c r="X36" s="233"/>
      <c r="Y36" s="233"/>
      <c r="Z36" s="233"/>
    </row>
    <row r="37" spans="17:26" ht="12.75">
      <c r="Q37" s="240">
        <f>+_xlfn.AVERAGEIF(Q14:Q35,"&lt;&gt;#¡DIV/0!")</f>
        <v>0.5142957940702352</v>
      </c>
      <c r="R37" s="240">
        <f aca="true" t="shared" si="11" ref="R37:Z37">+_xlfn.AVERAGEIF(R14:R35,"&lt;&gt;#¡DIV/0!")</f>
        <v>0.16936046918987743</v>
      </c>
      <c r="S37" s="240">
        <f t="shared" si="11"/>
        <v>0.05298179809540698</v>
      </c>
      <c r="T37" s="240">
        <f t="shared" si="11"/>
        <v>-0.0658429987720992</v>
      </c>
      <c r="U37" s="240">
        <f t="shared" si="11"/>
        <v>0.12614346575078275</v>
      </c>
      <c r="V37" s="240">
        <f t="shared" si="11"/>
        <v>-0.11588765903326399</v>
      </c>
      <c r="W37" s="240">
        <f t="shared" si="11"/>
        <v>-0.10344323722718825</v>
      </c>
      <c r="X37" s="240">
        <f t="shared" si="11"/>
        <v>-0.049572154238455346</v>
      </c>
      <c r="Y37" s="240">
        <f t="shared" si="11"/>
        <v>-0.17190936925488962</v>
      </c>
      <c r="Z37" s="240">
        <f t="shared" si="11"/>
        <v>-0.20378046092101765</v>
      </c>
    </row>
    <row r="38" spans="17:26" ht="12.75">
      <c r="Q38" s="238">
        <f>+_xlfn.STDEV.S(Q6:Q35)</f>
        <v>0.17667357643424725</v>
      </c>
      <c r="R38" s="238">
        <f aca="true" t="shared" si="12" ref="R38:Z38">+_xlfn.STDEV.S(R6:R35)</f>
        <v>0.06148220733066157</v>
      </c>
      <c r="S38" s="238">
        <f t="shared" si="12"/>
        <v>0.06088909672246521</v>
      </c>
      <c r="T38" s="238">
        <f t="shared" si="12"/>
        <v>0.06909170850988201</v>
      </c>
      <c r="U38" s="238">
        <f t="shared" si="12"/>
        <v>0.08454089700990318</v>
      </c>
      <c r="V38" s="238">
        <f t="shared" si="12"/>
        <v>0.07707532237506988</v>
      </c>
      <c r="W38" s="238">
        <f t="shared" si="12"/>
        <v>0.0760233421808004</v>
      </c>
      <c r="X38" s="238">
        <f t="shared" si="12"/>
        <v>0.07120664138373577</v>
      </c>
      <c r="Y38" s="238">
        <f t="shared" si="12"/>
        <v>0.04742221812904083</v>
      </c>
      <c r="Z38" s="238">
        <f t="shared" si="12"/>
        <v>0.08458128360587824</v>
      </c>
    </row>
    <row r="40" spans="17:28" ht="12.75">
      <c r="Q40" s="241">
        <f>+AVERAGE(C14:C35)</f>
        <v>15985.484333333332</v>
      </c>
      <c r="R40" s="241">
        <f aca="true" t="shared" si="13" ref="R40:AA40">+AVERAGE(D14:D35)</f>
        <v>12563.344090909091</v>
      </c>
      <c r="S40" s="241">
        <f t="shared" si="13"/>
        <v>11287.547878787882</v>
      </c>
      <c r="T40" s="241">
        <f t="shared" si="13"/>
        <v>10152.076785714287</v>
      </c>
      <c r="U40" s="241">
        <f t="shared" si="13"/>
        <v>12472.926428571429</v>
      </c>
      <c r="V40" s="241">
        <f t="shared" si="13"/>
        <v>9584.369999999999</v>
      </c>
      <c r="W40" s="241">
        <f t="shared" si="13"/>
        <v>9707.040909090909</v>
      </c>
      <c r="X40" s="241">
        <f t="shared" si="13"/>
        <v>10403.667222222222</v>
      </c>
      <c r="Y40" s="241">
        <f t="shared" si="13"/>
        <v>8906.845909090911</v>
      </c>
      <c r="Z40" s="241">
        <f t="shared" si="13"/>
        <v>8578.142719298246</v>
      </c>
      <c r="AA40" s="241">
        <f t="shared" si="13"/>
        <v>10734.227188604722</v>
      </c>
      <c r="AB40" s="230" t="s">
        <v>206</v>
      </c>
    </row>
    <row r="41" spans="17:27" ht="12.75">
      <c r="Q41" s="242">
        <f>+(Q40-$AA$40)/$AA$40</f>
        <v>0.4892068196864007</v>
      </c>
      <c r="R41" s="242">
        <f aca="true" t="shared" si="14" ref="R41:Z41">+(R40-$AA$40)/$AA$40</f>
        <v>0.17040042754508958</v>
      </c>
      <c r="S41" s="242">
        <f t="shared" si="14"/>
        <v>0.05154732431698074</v>
      </c>
      <c r="T41" s="242">
        <f t="shared" si="14"/>
        <v>-0.054233098728191244</v>
      </c>
      <c r="U41" s="242">
        <f t="shared" si="14"/>
        <v>0.16197712321688898</v>
      </c>
      <c r="V41" s="242">
        <f t="shared" si="14"/>
        <v>-0.10712063089417302</v>
      </c>
      <c r="W41" s="242">
        <f t="shared" si="14"/>
        <v>-0.0956926159159606</v>
      </c>
      <c r="X41" s="242">
        <f t="shared" si="14"/>
        <v>-0.030794947840624858</v>
      </c>
      <c r="Y41" s="242">
        <f t="shared" si="14"/>
        <v>-0.1702387370237262</v>
      </c>
      <c r="Z41" s="242">
        <f t="shared" si="14"/>
        <v>-0.20086070766187428</v>
      </c>
      <c r="AA41" s="233"/>
    </row>
    <row r="42" spans="17:26" ht="12.75">
      <c r="Q42" s="243"/>
      <c r="R42" s="243"/>
      <c r="S42" s="243"/>
      <c r="T42" s="243"/>
      <c r="U42" s="243"/>
      <c r="V42" s="243"/>
      <c r="W42" s="243"/>
      <c r="X42" s="243"/>
      <c r="Y42" s="243"/>
      <c r="Z42" s="243"/>
    </row>
    <row r="58" ht="12.75">
      <c r="B58" s="62"/>
    </row>
  </sheetData>
  <sheetProtection/>
  <mergeCells count="3">
    <mergeCell ref="B2:M2"/>
    <mergeCell ref="B3:M3"/>
    <mergeCell ref="B4:M4"/>
  </mergeCells>
  <conditionalFormatting sqref="Q40:Z40">
    <cfRule type="colorScale" priority="1" dxfId="0">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Y47"/>
  <sheetViews>
    <sheetView zoomScale="80" zoomScaleNormal="80" zoomScalePageLayoutView="90" workbookViewId="0" topLeftCell="A1">
      <selection activeCell="A1" sqref="A1"/>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200" customWidth="1"/>
    <col min="14" max="14" width="7.7109375" style="191" hidden="1" customWidth="1"/>
    <col min="15" max="15" width="10.8515625" style="200" customWidth="1"/>
    <col min="16" max="16" width="14.8515625" style="22" customWidth="1"/>
    <col min="17" max="16384" width="10.8515625" style="22" customWidth="1"/>
  </cols>
  <sheetData>
    <row r="1" ht="6.75" customHeight="1"/>
    <row r="2" spans="2:23" ht="12.75">
      <c r="B2" s="323" t="s">
        <v>60</v>
      </c>
      <c r="C2" s="323"/>
      <c r="D2" s="323"/>
      <c r="E2" s="323"/>
      <c r="F2" s="323"/>
      <c r="G2" s="323"/>
      <c r="H2" s="323"/>
      <c r="I2" s="323"/>
      <c r="J2" s="323"/>
      <c r="K2" s="122"/>
      <c r="L2" s="52" t="s">
        <v>158</v>
      </c>
      <c r="O2" s="299"/>
      <c r="P2" s="299"/>
      <c r="Q2" s="299"/>
      <c r="R2" s="299"/>
      <c r="S2" s="299"/>
      <c r="T2" s="299"/>
      <c r="U2" s="299"/>
      <c r="V2" s="299"/>
      <c r="W2" s="299"/>
    </row>
    <row r="3" spans="2:23" ht="12.75">
      <c r="B3" s="323" t="s">
        <v>107</v>
      </c>
      <c r="C3" s="323"/>
      <c r="D3" s="323"/>
      <c r="E3" s="323"/>
      <c r="F3" s="323"/>
      <c r="G3" s="323"/>
      <c r="H3" s="323"/>
      <c r="I3" s="323"/>
      <c r="J3" s="323"/>
      <c r="K3" s="122"/>
      <c r="O3" s="299"/>
      <c r="P3" s="299"/>
      <c r="Q3" s="299"/>
      <c r="R3" s="299"/>
      <c r="S3" s="299"/>
      <c r="T3" s="299"/>
      <c r="U3" s="299"/>
      <c r="V3" s="299"/>
      <c r="W3" s="299"/>
    </row>
    <row r="4" spans="2:23" ht="12.75">
      <c r="B4" s="323" t="s">
        <v>110</v>
      </c>
      <c r="C4" s="323"/>
      <c r="D4" s="323"/>
      <c r="E4" s="323"/>
      <c r="F4" s="323"/>
      <c r="G4" s="323"/>
      <c r="H4" s="323"/>
      <c r="I4" s="323"/>
      <c r="J4" s="323"/>
      <c r="K4" s="122"/>
      <c r="O4" s="299"/>
      <c r="P4" s="299"/>
      <c r="Q4" s="299"/>
      <c r="R4" s="299"/>
      <c r="S4" s="299"/>
      <c r="T4" s="299"/>
      <c r="U4" s="299"/>
      <c r="V4" s="299"/>
      <c r="W4" s="299"/>
    </row>
    <row r="5" spans="2:23" ht="15" customHeight="1">
      <c r="B5" s="328" t="s">
        <v>47</v>
      </c>
      <c r="C5" s="331" t="s">
        <v>68</v>
      </c>
      <c r="D5" s="332"/>
      <c r="E5" s="332"/>
      <c r="F5" s="333"/>
      <c r="G5" s="331" t="s">
        <v>69</v>
      </c>
      <c r="H5" s="332"/>
      <c r="I5" s="332"/>
      <c r="J5" s="333"/>
      <c r="K5" s="122"/>
      <c r="O5" s="299"/>
      <c r="P5" s="299"/>
      <c r="Q5" s="299"/>
      <c r="R5" s="299"/>
      <c r="S5" s="299"/>
      <c r="T5" s="299"/>
      <c r="U5" s="299"/>
      <c r="V5" s="299"/>
      <c r="W5" s="299"/>
    </row>
    <row r="6" spans="2:23" ht="12.75" customHeight="1">
      <c r="B6" s="329"/>
      <c r="C6" s="331" t="s">
        <v>46</v>
      </c>
      <c r="D6" s="332"/>
      <c r="E6" s="332" t="s">
        <v>45</v>
      </c>
      <c r="F6" s="333"/>
      <c r="G6" s="331" t="s">
        <v>46</v>
      </c>
      <c r="H6" s="332"/>
      <c r="I6" s="332" t="s">
        <v>45</v>
      </c>
      <c r="J6" s="333"/>
      <c r="K6" s="122"/>
      <c r="O6" s="299"/>
      <c r="P6" s="299"/>
      <c r="Q6" s="299"/>
      <c r="R6" s="299"/>
      <c r="S6" s="299"/>
      <c r="T6" s="299"/>
      <c r="U6" s="299"/>
      <c r="V6" s="299"/>
      <c r="W6" s="299"/>
    </row>
    <row r="7" spans="2:23" ht="21.75" customHeight="1">
      <c r="B7" s="330"/>
      <c r="C7" s="97">
        <v>2015</v>
      </c>
      <c r="D7" s="98">
        <v>2016</v>
      </c>
      <c r="E7" s="98" t="s">
        <v>44</v>
      </c>
      <c r="F7" s="99" t="s">
        <v>43</v>
      </c>
      <c r="G7" s="97">
        <f>+C7</f>
        <v>2015</v>
      </c>
      <c r="H7" s="98">
        <f>+D7</f>
        <v>2016</v>
      </c>
      <c r="I7" s="98" t="s">
        <v>44</v>
      </c>
      <c r="J7" s="99" t="s">
        <v>43</v>
      </c>
      <c r="K7" s="189"/>
      <c r="L7" s="191"/>
      <c r="O7" s="299"/>
      <c r="P7" s="299"/>
      <c r="Q7" s="299"/>
      <c r="R7" s="299"/>
      <c r="S7" s="299"/>
      <c r="T7" s="299"/>
      <c r="U7" s="299"/>
      <c r="V7" s="299"/>
      <c r="W7" s="299"/>
    </row>
    <row r="8" spans="2:24" ht="12.75" customHeight="1">
      <c r="B8" s="68" t="s">
        <v>42</v>
      </c>
      <c r="C8" s="94">
        <v>1057</v>
      </c>
      <c r="D8" s="81">
        <v>1409.25</v>
      </c>
      <c r="E8" s="95">
        <f>+(D8/C19-1)*100</f>
        <v>-5.419463087248322</v>
      </c>
      <c r="F8" s="96">
        <f>(D8/C8-1)*100</f>
        <v>33.32544938505204</v>
      </c>
      <c r="G8" s="81">
        <v>418</v>
      </c>
      <c r="H8" s="81">
        <v>475.75</v>
      </c>
      <c r="I8" s="95">
        <f>+(H8/G19-1)*100</f>
        <v>-15.49733570159858</v>
      </c>
      <c r="J8" s="96">
        <f>(H8/G8-1)*100</f>
        <v>13.815789473684204</v>
      </c>
      <c r="K8" s="95"/>
      <c r="N8" s="244">
        <f>+D8/H8-1</f>
        <v>1.9621650026274304</v>
      </c>
      <c r="O8" s="299"/>
      <c r="P8" s="299"/>
      <c r="Q8" s="299"/>
      <c r="R8" s="299"/>
      <c r="S8" s="299"/>
      <c r="T8" s="299"/>
      <c r="U8" s="299"/>
      <c r="V8" s="299"/>
      <c r="W8" s="299"/>
      <c r="X8" s="58"/>
    </row>
    <row r="9" spans="2:25" ht="12.75" customHeight="1">
      <c r="B9" s="68" t="s">
        <v>41</v>
      </c>
      <c r="C9" s="94">
        <v>981</v>
      </c>
      <c r="D9" s="81">
        <v>1396</v>
      </c>
      <c r="E9" s="95">
        <f>+(D9/D8-1)*100</f>
        <v>-0.9402164271775759</v>
      </c>
      <c r="F9" s="96">
        <f>(D9/C9-1)*100</f>
        <v>42.303771661569826</v>
      </c>
      <c r="G9" s="81">
        <v>408</v>
      </c>
      <c r="H9" s="81">
        <v>439</v>
      </c>
      <c r="I9" s="95">
        <f>+(H9/H8-1)*100</f>
        <v>-7.724645296899634</v>
      </c>
      <c r="J9" s="96">
        <f>(H9/G9-1)*100</f>
        <v>7.59803921568627</v>
      </c>
      <c r="K9" s="95"/>
      <c r="N9" s="244">
        <f>+D9/H9-1</f>
        <v>2.1799544419134396</v>
      </c>
      <c r="O9" s="299"/>
      <c r="P9" s="299"/>
      <c r="Q9" s="299"/>
      <c r="R9" s="299"/>
      <c r="S9" s="299"/>
      <c r="T9" s="299"/>
      <c r="U9" s="299"/>
      <c r="V9" s="299"/>
      <c r="W9" s="299"/>
      <c r="X9" s="58"/>
      <c r="Y9" s="190"/>
    </row>
    <row r="10" spans="2:24" ht="12.75" customHeight="1">
      <c r="B10" s="68" t="s">
        <v>40</v>
      </c>
      <c r="C10" s="94">
        <v>1002</v>
      </c>
      <c r="D10" s="81">
        <v>1197</v>
      </c>
      <c r="E10" s="95">
        <f>+(D10/D9-1)*100</f>
        <v>-14.255014326647563</v>
      </c>
      <c r="F10" s="96">
        <f>(D10/C10-1)*100</f>
        <v>19.46107784431137</v>
      </c>
      <c r="G10" s="81">
        <v>442</v>
      </c>
      <c r="H10" s="81">
        <v>435</v>
      </c>
      <c r="I10" s="95">
        <f>+(H10/H9-1)*100</f>
        <v>-0.9111617312072884</v>
      </c>
      <c r="J10" s="96">
        <f>(H10/G10-1)*100</f>
        <v>-1.5837104072398245</v>
      </c>
      <c r="K10" s="95"/>
      <c r="N10" s="244">
        <f aca="true" t="shared" si="0" ref="N10:N19">+D10/H10-1</f>
        <v>1.7517241379310344</v>
      </c>
      <c r="O10" s="299"/>
      <c r="P10" s="299"/>
      <c r="Q10" s="299"/>
      <c r="R10" s="299"/>
      <c r="S10" s="299"/>
      <c r="T10" s="299"/>
      <c r="U10" s="299"/>
      <c r="V10" s="299"/>
      <c r="W10" s="299"/>
      <c r="X10" s="58"/>
    </row>
    <row r="11" spans="2:24" ht="12.75">
      <c r="B11" s="68" t="s">
        <v>39</v>
      </c>
      <c r="C11" s="94">
        <v>991</v>
      </c>
      <c r="D11" s="81">
        <v>1117</v>
      </c>
      <c r="E11" s="95">
        <f>+(D11/D10-1)*100</f>
        <v>-6.683375104427736</v>
      </c>
      <c r="F11" s="96">
        <f>(D11/C11-1)*100</f>
        <v>12.714429868819366</v>
      </c>
      <c r="G11" s="81">
        <v>482</v>
      </c>
      <c r="H11" s="81">
        <v>470</v>
      </c>
      <c r="I11" s="95">
        <f>+(H11/H10-1)*100</f>
        <v>8.045977011494255</v>
      </c>
      <c r="J11" s="96">
        <f>(H11/G11-1)*100</f>
        <v>-2.4896265560165998</v>
      </c>
      <c r="K11" s="95"/>
      <c r="N11" s="244">
        <f t="shared" si="0"/>
        <v>1.3765957446808512</v>
      </c>
      <c r="O11" s="299"/>
      <c r="P11" s="299"/>
      <c r="Q11" s="299"/>
      <c r="R11" s="299"/>
      <c r="S11" s="299"/>
      <c r="T11" s="299"/>
      <c r="U11" s="299"/>
      <c r="V11" s="299"/>
      <c r="W11" s="299"/>
      <c r="X11" s="58"/>
    </row>
    <row r="12" spans="2:24" ht="12.75" customHeight="1">
      <c r="B12" s="68" t="s">
        <v>38</v>
      </c>
      <c r="C12" s="94">
        <v>970</v>
      </c>
      <c r="D12" s="81">
        <v>1090</v>
      </c>
      <c r="E12" s="95">
        <f>+(D12/D11-1)*100</f>
        <v>-2.4171888988361645</v>
      </c>
      <c r="F12" s="96">
        <f>(D12/C12-1)*100</f>
        <v>12.371134020618557</v>
      </c>
      <c r="G12" s="81">
        <v>479</v>
      </c>
      <c r="H12" s="81">
        <v>462</v>
      </c>
      <c r="I12" s="95">
        <f>+(H12/H11-1)*100</f>
        <v>-1.7021276595744705</v>
      </c>
      <c r="J12" s="96">
        <f>(H12/G12-1)*100</f>
        <v>-3.5490605427974997</v>
      </c>
      <c r="K12" s="95"/>
      <c r="N12" s="244">
        <f t="shared" si="0"/>
        <v>1.3593073593073592</v>
      </c>
      <c r="O12" s="299"/>
      <c r="P12" s="299"/>
      <c r="Q12" s="299"/>
      <c r="R12" s="299"/>
      <c r="S12" s="299"/>
      <c r="T12" s="299"/>
      <c r="U12" s="299"/>
      <c r="V12" s="299"/>
      <c r="W12" s="299"/>
      <c r="X12" s="58"/>
    </row>
    <row r="13" spans="2:24" ht="12.75" customHeight="1">
      <c r="B13" s="68" t="s">
        <v>37</v>
      </c>
      <c r="C13" s="94">
        <v>954</v>
      </c>
      <c r="D13" s="81"/>
      <c r="E13" s="95"/>
      <c r="F13" s="96"/>
      <c r="G13" s="81">
        <v>455</v>
      </c>
      <c r="H13" s="81"/>
      <c r="I13" s="95"/>
      <c r="J13" s="96"/>
      <c r="K13" s="95"/>
      <c r="M13" s="201"/>
      <c r="N13" s="244" t="e">
        <f t="shared" si="0"/>
        <v>#DIV/0!</v>
      </c>
      <c r="O13" s="299"/>
      <c r="P13" s="299"/>
      <c r="Q13" s="299"/>
      <c r="R13" s="299"/>
      <c r="S13" s="299"/>
      <c r="T13" s="299"/>
      <c r="U13" s="299"/>
      <c r="V13" s="299"/>
      <c r="W13" s="299"/>
      <c r="X13" s="58"/>
    </row>
    <row r="14" spans="2:24" ht="12.75">
      <c r="B14" s="68" t="s">
        <v>36</v>
      </c>
      <c r="C14" s="94">
        <v>974</v>
      </c>
      <c r="D14" s="81"/>
      <c r="E14" s="95"/>
      <c r="F14" s="96"/>
      <c r="G14" s="81">
        <v>525</v>
      </c>
      <c r="H14" s="81"/>
      <c r="I14" s="95"/>
      <c r="J14" s="96"/>
      <c r="K14" s="95"/>
      <c r="N14" s="244" t="e">
        <f t="shared" si="0"/>
        <v>#DIV/0!</v>
      </c>
      <c r="O14" s="299"/>
      <c r="P14" s="299"/>
      <c r="Q14" s="299"/>
      <c r="R14" s="299"/>
      <c r="S14" s="299"/>
      <c r="T14" s="299"/>
      <c r="U14" s="299"/>
      <c r="V14" s="299"/>
      <c r="W14" s="299"/>
      <c r="X14" s="58"/>
    </row>
    <row r="15" spans="2:24" ht="13.5" customHeight="1">
      <c r="B15" s="68" t="s">
        <v>35</v>
      </c>
      <c r="C15" s="94">
        <v>1094</v>
      </c>
      <c r="D15" s="81"/>
      <c r="E15" s="95"/>
      <c r="F15" s="96"/>
      <c r="G15" s="81">
        <v>651</v>
      </c>
      <c r="H15" s="81"/>
      <c r="I15" s="95"/>
      <c r="J15" s="96"/>
      <c r="K15" s="95"/>
      <c r="N15" s="244" t="e">
        <f t="shared" si="0"/>
        <v>#DIV/0!</v>
      </c>
      <c r="O15" s="299"/>
      <c r="P15" s="299"/>
      <c r="Q15" s="299"/>
      <c r="R15" s="299"/>
      <c r="S15" s="299"/>
      <c r="T15" s="299"/>
      <c r="U15" s="299"/>
      <c r="V15" s="299"/>
      <c r="W15" s="299"/>
      <c r="X15" s="58"/>
    </row>
    <row r="16" spans="2:24" ht="12.75">
      <c r="B16" s="68" t="s">
        <v>34</v>
      </c>
      <c r="C16" s="94">
        <v>1299</v>
      </c>
      <c r="D16" s="81"/>
      <c r="E16" s="95"/>
      <c r="F16" s="96"/>
      <c r="G16" s="81">
        <v>624</v>
      </c>
      <c r="H16" s="81"/>
      <c r="I16" s="95"/>
      <c r="J16" s="96"/>
      <c r="K16" s="95"/>
      <c r="N16" s="244" t="e">
        <f t="shared" si="0"/>
        <v>#DIV/0!</v>
      </c>
      <c r="O16" s="299"/>
      <c r="P16" s="299"/>
      <c r="Q16" s="299"/>
      <c r="R16" s="299"/>
      <c r="S16" s="299"/>
      <c r="T16" s="299"/>
      <c r="U16" s="299"/>
      <c r="V16" s="299"/>
      <c r="W16" s="299"/>
      <c r="X16" s="58"/>
    </row>
    <row r="17" spans="2:24" ht="12.75" customHeight="1">
      <c r="B17" s="68" t="s">
        <v>33</v>
      </c>
      <c r="C17" s="94">
        <v>1367</v>
      </c>
      <c r="D17" s="81"/>
      <c r="E17" s="95"/>
      <c r="F17" s="96"/>
      <c r="G17" s="81">
        <v>693</v>
      </c>
      <c r="H17" s="81"/>
      <c r="I17" s="95"/>
      <c r="J17" s="96"/>
      <c r="K17" s="95"/>
      <c r="N17" s="244" t="e">
        <f t="shared" si="0"/>
        <v>#DIV/0!</v>
      </c>
      <c r="O17" s="299"/>
      <c r="P17" s="299"/>
      <c r="Q17" s="299"/>
      <c r="R17" s="299"/>
      <c r="S17" s="299"/>
      <c r="T17" s="299"/>
      <c r="U17" s="299"/>
      <c r="V17" s="299"/>
      <c r="W17" s="299"/>
      <c r="X17" s="58"/>
    </row>
    <row r="18" spans="2:24" ht="12.75">
      <c r="B18" s="68" t="s">
        <v>32</v>
      </c>
      <c r="C18" s="94">
        <v>1468</v>
      </c>
      <c r="D18" s="81"/>
      <c r="E18" s="95"/>
      <c r="F18" s="96"/>
      <c r="G18" s="81">
        <v>666</v>
      </c>
      <c r="H18" s="81"/>
      <c r="I18" s="95"/>
      <c r="J18" s="96"/>
      <c r="K18" s="95"/>
      <c r="N18" s="244" t="e">
        <f t="shared" si="0"/>
        <v>#DIV/0!</v>
      </c>
      <c r="O18" s="299"/>
      <c r="P18" s="299"/>
      <c r="Q18" s="299"/>
      <c r="R18" s="299"/>
      <c r="S18" s="299"/>
      <c r="T18" s="299"/>
      <c r="U18" s="299"/>
      <c r="V18" s="299"/>
      <c r="W18" s="299"/>
      <c r="X18" s="58"/>
    </row>
    <row r="19" spans="2:24" ht="12.75">
      <c r="B19" s="68" t="s">
        <v>31</v>
      </c>
      <c r="C19" s="94">
        <v>1490</v>
      </c>
      <c r="D19" s="81"/>
      <c r="E19" s="95"/>
      <c r="F19" s="96"/>
      <c r="G19" s="81">
        <v>563</v>
      </c>
      <c r="H19" s="81"/>
      <c r="I19" s="95"/>
      <c r="J19" s="96"/>
      <c r="K19" s="95"/>
      <c r="N19" s="244" t="e">
        <f t="shared" si="0"/>
        <v>#DIV/0!</v>
      </c>
      <c r="O19" s="299"/>
      <c r="P19" s="299"/>
      <c r="Q19" s="299"/>
      <c r="R19" s="299"/>
      <c r="S19" s="299"/>
      <c r="T19" s="299"/>
      <c r="U19" s="299"/>
      <c r="V19" s="299"/>
      <c r="W19" s="299"/>
      <c r="X19" s="58"/>
    </row>
    <row r="20" spans="2:23" ht="12.75">
      <c r="B20" s="166" t="s">
        <v>70</v>
      </c>
      <c r="C20" s="168">
        <f>AVERAGE(C8:C19)</f>
        <v>1137.25</v>
      </c>
      <c r="D20" s="169">
        <f>AVERAGE(D8:D19)</f>
        <v>1241.85</v>
      </c>
      <c r="E20" s="170"/>
      <c r="F20" s="171"/>
      <c r="G20" s="168">
        <f>AVERAGE(G8:G19)</f>
        <v>533.8333333333334</v>
      </c>
      <c r="H20" s="169">
        <f>AVERAGE(H8:H19)</f>
        <v>456.35</v>
      </c>
      <c r="I20" s="172"/>
      <c r="J20" s="171"/>
      <c r="K20" s="95"/>
      <c r="O20" s="299"/>
      <c r="P20" s="299"/>
      <c r="Q20" s="299"/>
      <c r="R20" s="299"/>
      <c r="S20" s="299"/>
      <c r="T20" s="299"/>
      <c r="U20" s="299"/>
      <c r="V20" s="299"/>
      <c r="W20" s="299"/>
    </row>
    <row r="21" spans="2:23" ht="12.75" customHeight="1">
      <c r="B21" s="167" t="str">
        <f>+'precio mayorista'!B21</f>
        <v>Promedio simple en 2016 a la fecha**</v>
      </c>
      <c r="C21" s="173">
        <f>AVERAGE(C8:C12)</f>
        <v>1000.2</v>
      </c>
      <c r="D21" s="174">
        <f>AVERAGE(D8:D19)</f>
        <v>1241.85</v>
      </c>
      <c r="E21" s="175"/>
      <c r="F21" s="176">
        <f>(D21/C21-1)*100</f>
        <v>24.160167966406696</v>
      </c>
      <c r="G21" s="173">
        <f>AVERAGE(G8:G12)</f>
        <v>445.8</v>
      </c>
      <c r="H21" s="174">
        <f>AVERAGE(H8:H19)</f>
        <v>456.35</v>
      </c>
      <c r="I21" s="177"/>
      <c r="J21" s="176">
        <f>(H21/G21-1)*100</f>
        <v>2.3665320771646403</v>
      </c>
      <c r="K21" s="95"/>
      <c r="O21" s="299"/>
      <c r="P21" s="299"/>
      <c r="Q21" s="299"/>
      <c r="R21" s="299"/>
      <c r="S21" s="299"/>
      <c r="T21" s="299"/>
      <c r="U21" s="299"/>
      <c r="V21" s="299"/>
      <c r="W21" s="299"/>
    </row>
    <row r="22" spans="2:23" ht="12.75">
      <c r="B22" s="327" t="s">
        <v>193</v>
      </c>
      <c r="C22" s="327"/>
      <c r="D22" s="327"/>
      <c r="E22" s="327"/>
      <c r="F22" s="327"/>
      <c r="G22" s="327"/>
      <c r="H22" s="327"/>
      <c r="I22" s="327"/>
      <c r="J22" s="327"/>
      <c r="K22" s="123"/>
      <c r="O22" s="299"/>
      <c r="P22" s="299"/>
      <c r="Q22" s="299"/>
      <c r="R22" s="299"/>
      <c r="S22" s="299"/>
      <c r="T22" s="299"/>
      <c r="U22" s="299"/>
      <c r="V22" s="299"/>
      <c r="W22" s="299"/>
    </row>
    <row r="23" spans="15:23" ht="12.75">
      <c r="O23" s="299"/>
      <c r="P23" s="299"/>
      <c r="Q23" s="299"/>
      <c r="R23" s="299"/>
      <c r="S23" s="299"/>
      <c r="T23" s="299"/>
      <c r="U23" s="299"/>
      <c r="V23" s="299"/>
      <c r="W23" s="299"/>
    </row>
    <row r="24" spans="4:23" ht="12.75">
      <c r="D24" s="158" t="s">
        <v>68</v>
      </c>
      <c r="E24" s="158" t="s">
        <v>69</v>
      </c>
      <c r="O24" s="299"/>
      <c r="P24" s="299"/>
      <c r="Q24" s="299"/>
      <c r="R24" s="299"/>
      <c r="S24" s="299"/>
      <c r="T24" s="299"/>
      <c r="U24" s="299"/>
      <c r="V24" s="299"/>
      <c r="W24" s="299"/>
    </row>
    <row r="25" spans="3:23" ht="12.75">
      <c r="C25" s="160">
        <v>41883</v>
      </c>
      <c r="D25" s="159">
        <v>979</v>
      </c>
      <c r="E25" s="159">
        <v>467</v>
      </c>
      <c r="O25" s="299"/>
      <c r="P25" s="299"/>
      <c r="Q25" s="299"/>
      <c r="R25" s="299"/>
      <c r="S25" s="299"/>
      <c r="T25" s="299"/>
      <c r="U25" s="299"/>
      <c r="V25" s="299"/>
      <c r="W25" s="299"/>
    </row>
    <row r="26" spans="3:23" ht="12.75">
      <c r="C26" s="160">
        <v>41913</v>
      </c>
      <c r="D26" s="159">
        <v>939</v>
      </c>
      <c r="E26" s="159">
        <v>456</v>
      </c>
      <c r="O26" s="299"/>
      <c r="P26" s="299"/>
      <c r="Q26" s="299"/>
      <c r="R26" s="299"/>
      <c r="S26" s="299"/>
      <c r="T26" s="299"/>
      <c r="U26" s="299"/>
      <c r="V26" s="299"/>
      <c r="W26" s="299"/>
    </row>
    <row r="27" spans="3:23" ht="12.75">
      <c r="C27" s="160">
        <v>41944</v>
      </c>
      <c r="D27" s="159">
        <v>1081</v>
      </c>
      <c r="E27" s="159">
        <v>418</v>
      </c>
      <c r="O27" s="299"/>
      <c r="P27" s="299"/>
      <c r="Q27" s="299"/>
      <c r="R27" s="299"/>
      <c r="S27" s="299"/>
      <c r="T27" s="299"/>
      <c r="U27" s="299"/>
      <c r="V27" s="299"/>
      <c r="W27" s="299"/>
    </row>
    <row r="28" spans="3:23" ht="12.75">
      <c r="C28" s="160">
        <v>41974</v>
      </c>
      <c r="D28" s="159">
        <v>1071</v>
      </c>
      <c r="E28" s="159">
        <v>421</v>
      </c>
      <c r="O28" s="299"/>
      <c r="P28" s="299"/>
      <c r="Q28" s="299"/>
      <c r="R28" s="299"/>
      <c r="S28" s="299"/>
      <c r="T28" s="299"/>
      <c r="U28" s="299"/>
      <c r="V28" s="299"/>
      <c r="W28" s="299"/>
    </row>
    <row r="29" spans="3:23" ht="12.75">
      <c r="C29" s="160">
        <v>42005</v>
      </c>
      <c r="D29" s="159">
        <f aca="true" t="shared" si="1" ref="D29:D40">+C8</f>
        <v>1057</v>
      </c>
      <c r="E29" s="159">
        <f aca="true" t="shared" si="2" ref="E29:E40">+G8</f>
        <v>418</v>
      </c>
      <c r="O29" s="299"/>
      <c r="P29" s="299"/>
      <c r="Q29" s="299"/>
      <c r="R29" s="299"/>
      <c r="S29" s="299"/>
      <c r="T29" s="299"/>
      <c r="U29" s="299"/>
      <c r="V29" s="299"/>
      <c r="W29" s="299"/>
    </row>
    <row r="30" spans="3:23" ht="12.75">
      <c r="C30" s="160">
        <v>42036</v>
      </c>
      <c r="D30" s="159">
        <f t="shared" si="1"/>
        <v>981</v>
      </c>
      <c r="E30" s="159">
        <f t="shared" si="2"/>
        <v>408</v>
      </c>
      <c r="O30" s="299"/>
      <c r="P30" s="299"/>
      <c r="Q30" s="299"/>
      <c r="R30" s="299"/>
      <c r="S30" s="299"/>
      <c r="T30" s="299"/>
      <c r="U30" s="299"/>
      <c r="V30" s="299"/>
      <c r="W30" s="299"/>
    </row>
    <row r="31" spans="3:23" ht="12.75">
      <c r="C31" s="160">
        <v>42064</v>
      </c>
      <c r="D31" s="159">
        <f t="shared" si="1"/>
        <v>1002</v>
      </c>
      <c r="E31" s="159">
        <f t="shared" si="2"/>
        <v>442</v>
      </c>
      <c r="O31" s="299"/>
      <c r="P31" s="299"/>
      <c r="Q31" s="299"/>
      <c r="R31" s="299"/>
      <c r="S31" s="299"/>
      <c r="T31" s="299"/>
      <c r="U31" s="299"/>
      <c r="V31" s="299"/>
      <c r="W31" s="299"/>
    </row>
    <row r="32" spans="3:23" ht="12.75">
      <c r="C32" s="160">
        <v>42095</v>
      </c>
      <c r="D32" s="159">
        <f t="shared" si="1"/>
        <v>991</v>
      </c>
      <c r="E32" s="159">
        <f t="shared" si="2"/>
        <v>482</v>
      </c>
      <c r="O32" s="299"/>
      <c r="P32" s="299"/>
      <c r="Q32" s="299"/>
      <c r="R32" s="299"/>
      <c r="S32" s="299"/>
      <c r="T32" s="299"/>
      <c r="U32" s="299"/>
      <c r="V32" s="299"/>
      <c r="W32" s="299"/>
    </row>
    <row r="33" spans="3:23" ht="12.75">
      <c r="C33" s="160">
        <v>42125</v>
      </c>
      <c r="D33" s="159">
        <f t="shared" si="1"/>
        <v>970</v>
      </c>
      <c r="E33" s="159">
        <f t="shared" si="2"/>
        <v>479</v>
      </c>
      <c r="O33" s="299"/>
      <c r="P33" s="299"/>
      <c r="Q33" s="299"/>
      <c r="R33" s="299"/>
      <c r="S33" s="299"/>
      <c r="T33" s="299"/>
      <c r="U33" s="299"/>
      <c r="V33" s="299"/>
      <c r="W33" s="299"/>
    </row>
    <row r="34" spans="3:23" ht="12.75">
      <c r="C34" s="160">
        <v>42156</v>
      </c>
      <c r="D34" s="159">
        <f t="shared" si="1"/>
        <v>954</v>
      </c>
      <c r="E34" s="159">
        <f t="shared" si="2"/>
        <v>455</v>
      </c>
      <c r="O34" s="299"/>
      <c r="P34" s="299"/>
      <c r="Q34" s="299"/>
      <c r="R34" s="299"/>
      <c r="S34" s="299"/>
      <c r="T34" s="299"/>
      <c r="U34" s="299"/>
      <c r="V34" s="299"/>
      <c r="W34" s="299"/>
    </row>
    <row r="35" spans="3:23" ht="12.75">
      <c r="C35" s="160">
        <v>42186</v>
      </c>
      <c r="D35" s="159">
        <f t="shared" si="1"/>
        <v>974</v>
      </c>
      <c r="E35" s="159">
        <f t="shared" si="2"/>
        <v>525</v>
      </c>
      <c r="O35" s="299"/>
      <c r="P35" s="299"/>
      <c r="Q35" s="299"/>
      <c r="R35" s="299"/>
      <c r="S35" s="299"/>
      <c r="T35" s="299"/>
      <c r="U35" s="299"/>
      <c r="V35" s="299"/>
      <c r="W35" s="299"/>
    </row>
    <row r="36" spans="3:23" ht="12.75">
      <c r="C36" s="160">
        <v>42217</v>
      </c>
      <c r="D36" s="159">
        <f t="shared" si="1"/>
        <v>1094</v>
      </c>
      <c r="E36" s="159">
        <f t="shared" si="2"/>
        <v>651</v>
      </c>
      <c r="O36" s="299"/>
      <c r="P36" s="299"/>
      <c r="Q36" s="299"/>
      <c r="R36" s="299"/>
      <c r="S36" s="299"/>
      <c r="T36" s="299"/>
      <c r="U36" s="299"/>
      <c r="V36" s="299"/>
      <c r="W36" s="299"/>
    </row>
    <row r="37" spans="3:23" ht="12.75">
      <c r="C37" s="160">
        <v>42248</v>
      </c>
      <c r="D37" s="159">
        <f t="shared" si="1"/>
        <v>1299</v>
      </c>
      <c r="E37" s="159">
        <f t="shared" si="2"/>
        <v>624</v>
      </c>
      <c r="O37" s="299"/>
      <c r="P37" s="299"/>
      <c r="Q37" s="299"/>
      <c r="R37" s="299"/>
      <c r="S37" s="299"/>
      <c r="T37" s="299"/>
      <c r="U37" s="299"/>
      <c r="V37" s="299"/>
      <c r="W37" s="299"/>
    </row>
    <row r="38" spans="3:23" ht="12.75">
      <c r="C38" s="160">
        <v>42278</v>
      </c>
      <c r="D38" s="159">
        <f t="shared" si="1"/>
        <v>1367</v>
      </c>
      <c r="E38" s="159">
        <f t="shared" si="2"/>
        <v>693</v>
      </c>
      <c r="O38" s="299"/>
      <c r="P38" s="299"/>
      <c r="Q38" s="299"/>
      <c r="R38" s="299"/>
      <c r="S38" s="299"/>
      <c r="T38" s="299"/>
      <c r="U38" s="299"/>
      <c r="V38" s="299"/>
      <c r="W38" s="299"/>
    </row>
    <row r="39" spans="3:23" ht="12.75">
      <c r="C39" s="160">
        <v>42309</v>
      </c>
      <c r="D39" s="159">
        <f t="shared" si="1"/>
        <v>1468</v>
      </c>
      <c r="E39" s="159">
        <f t="shared" si="2"/>
        <v>666</v>
      </c>
      <c r="O39" s="299"/>
      <c r="P39" s="299"/>
      <c r="Q39" s="299"/>
      <c r="R39" s="299"/>
      <c r="S39" s="299"/>
      <c r="T39" s="299"/>
      <c r="U39" s="299"/>
      <c r="V39" s="299"/>
      <c r="W39" s="299"/>
    </row>
    <row r="40" spans="3:16" ht="12.75">
      <c r="C40" s="160">
        <v>42339</v>
      </c>
      <c r="D40" s="159">
        <f t="shared" si="1"/>
        <v>1490</v>
      </c>
      <c r="E40" s="159">
        <f t="shared" si="2"/>
        <v>563</v>
      </c>
      <c r="P40" s="220"/>
    </row>
    <row r="41" spans="3:16" ht="12.75">
      <c r="C41" s="216">
        <v>42370</v>
      </c>
      <c r="D41" s="58">
        <f>+D8</f>
        <v>1409.25</v>
      </c>
      <c r="E41" s="58">
        <f>+H8</f>
        <v>475.75</v>
      </c>
      <c r="P41" s="220"/>
    </row>
    <row r="42" spans="3:5" ht="12.75">
      <c r="C42" s="216">
        <v>42401</v>
      </c>
      <c r="D42" s="58">
        <f>+D9</f>
        <v>1396</v>
      </c>
      <c r="E42" s="58">
        <f>+H9</f>
        <v>439</v>
      </c>
    </row>
    <row r="43" spans="3:5" ht="12.75">
      <c r="C43" s="216">
        <v>42430</v>
      </c>
      <c r="D43" s="58">
        <f>+D10</f>
        <v>1197</v>
      </c>
      <c r="E43" s="58">
        <f>+H10</f>
        <v>435</v>
      </c>
    </row>
    <row r="44" spans="3:5" ht="12.75">
      <c r="C44" s="216">
        <v>42461</v>
      </c>
      <c r="D44" s="58">
        <f>+D11</f>
        <v>1117</v>
      </c>
      <c r="E44" s="58">
        <f>+H11</f>
        <v>470</v>
      </c>
    </row>
    <row r="45" spans="3:5" ht="12.75">
      <c r="C45" s="216">
        <v>42491</v>
      </c>
      <c r="D45" s="58">
        <f>+D12</f>
        <v>1090</v>
      </c>
      <c r="E45" s="58">
        <f>+H12</f>
        <v>462</v>
      </c>
    </row>
    <row r="46" ht="12.75">
      <c r="B46" s="55"/>
    </row>
    <row r="47" ht="12.75">
      <c r="E47" s="58"/>
    </row>
  </sheetData>
  <sheetProtection/>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0" r:id="rId2"/>
  <headerFooter differentFirst="1">
    <oddFooter>&amp;C&amp;P</oddFooter>
  </headerFooter>
  <ignoredErrors>
    <ignoredError sqref="C20 E20:G20 D20 D21 H21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2016-06-20T18:25:20Z</cp:lastPrinted>
  <dcterms:created xsi:type="dcterms:W3CDTF">2011-10-13T14:46:36Z</dcterms:created>
  <dcterms:modified xsi:type="dcterms:W3CDTF">2016-06-20T18:32:59Z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