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966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s>
  <definedNames>
    <definedName name="_xlnm.Print_Area" localSheetId="1">'colofón'!$A$1:$I$39</definedName>
    <definedName name="_xlnm.Print_Area" localSheetId="4">'Comentarios'!$B$2:$L$8</definedName>
    <definedName name="_xlnm.Print_Area" localSheetId="15">'export'!$B$2:$K$44</definedName>
    <definedName name="_xlnm.Print_Area" localSheetId="14">'Ficha de Costos'!$B$2:$E$34</definedName>
    <definedName name="_xlnm.Print_Area" localSheetId="16">'import'!$B$2:$K$101</definedName>
    <definedName name="_xlnm.Print_Area" localSheetId="3">'Índice'!$A$1:$E$46</definedName>
    <definedName name="_xlnm.Print_Area" localSheetId="2">'Introducción'!$A$1:$J$39</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minorista'!$B$2:$J$45</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región'!$B$2:$L$47</definedName>
    <definedName name="_xlnm.Print_Area" localSheetId="10">'sup, prod y rend'!$B$2:$G$51</definedName>
    <definedName name="TDclase">'[1]TD clase'!$A$5:$G$6</definedName>
  </definedNames>
  <calcPr fullCalcOnLoad="1"/>
</workbook>
</file>

<file path=xl/sharedStrings.xml><?xml version="1.0" encoding="utf-8"?>
<sst xmlns="http://schemas.openxmlformats.org/spreadsheetml/2006/main" count="605" uniqueCount="286">
  <si>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</si>
  <si>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</si>
  <si>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</si>
  <si>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</si>
  <si>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</si>
  <si>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</si>
  <si>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</si>
  <si>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</si>
  <si>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</si>
  <si>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</si>
  <si>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</si>
  <si>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</si>
  <si>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</si>
  <si>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</si>
  <si>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</si>
  <si>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</si>
  <si>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</si>
  <si>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</si>
  <si>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</si>
  <si>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</si>
  <si>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</si>
  <si>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</si>
  <si>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</si>
  <si>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</si>
  <si>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</si>
  <si>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</si>
  <si>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</si>
  <si>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</si>
  <si>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</si>
  <si>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</si>
  <si>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</si>
  <si>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</si>
  <si>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</si>
  <si>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</si>
  <si>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</si>
  <si>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</si>
  <si>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</si>
  <si>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</si>
  <si>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</si>
  <si>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</si>
  <si>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</si>
  <si>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</si>
  <si>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</si>
  <si>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</si>
  <si>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</si>
  <si>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</si>
  <si>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</si>
  <si>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</si>
  <si>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</si>
  <si>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</si>
  <si>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</si>
  <si>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</si>
  <si>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</si>
  <si>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</si>
  <si>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</si>
  <si>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</si>
  <si>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</si>
  <si>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</si>
  <si>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</si>
  <si>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</si>
  <si>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</si>
  <si>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</si>
  <si>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</si>
  <si>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</si>
  <si>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</si>
  <si>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</si>
  <si>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</si>
  <si>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</si>
  <si>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</si>
  <si>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</si>
  <si>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</si>
  <si>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</si>
  <si>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</si>
  <si>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</si>
  <si>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</si>
  <si>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</si>
  <si>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</si>
  <si>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</si>
  <si>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</si>
  <si>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</si>
  <si>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</si>
  <si>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</si>
  <si>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</si>
  <si>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</si>
  <si>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</si>
  <si>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</si>
  <si>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</si>
  <si>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</si>
  <si>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</si>
  <si>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</si>
  <si>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</si>
  <si>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</si>
  <si>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</si>
  <si>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</si>
  <si>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</si>
  <si>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</si>
  <si>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</si>
  <si>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</si>
  <si>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</si>
  <si>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</si>
  <si>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</si>
  <si>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</si>
  <si>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</si>
  <si>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</si>
  <si>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</si>
  <si>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</si>
  <si>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</si>
  <si>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</si>
  <si>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</si>
  <si>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</si>
  <si>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</si>
  <si>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</si>
  <si>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</si>
  <si>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</si>
  <si>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</si>
  <si>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</si>
  <si>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</si>
  <si>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</si>
  <si>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</si>
  <si>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</si>
  <si>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</si>
  <si>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</si>
  <si>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</si>
  <si>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</si>
  <si>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</si>
  <si>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</si>
  <si>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</si>
  <si>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</si>
  <si>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</si>
  <si>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</si>
  <si>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</si>
  <si>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</si>
  <si>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</si>
  <si>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</si>
  <si>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</si>
  <si>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</si>
  <si>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</si>
  <si>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</si>
  <si>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</si>
  <si>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</si>
  <si>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</si>
  <si>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</si>
  <si>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</si>
  <si>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</si>
  <si>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</si>
  <si>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</si>
  <si>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</si>
  <si>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</si>
  <si>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</si>
  <si>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</si>
  <si>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</si>
  <si>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</si>
  <si>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</si>
  <si>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</si>
  <si>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</si>
  <si>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</si>
  <si>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</si>
  <si>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</si>
  <si>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</si>
  <si>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</si>
  <si>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</si>
  <si>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</si>
  <si>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</si>
  <si>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</si>
  <si>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</si>
  <si>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</si>
  <si>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</si>
  <si>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</si>
  <si>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</si>
  <si>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</si>
  <si>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</si>
  <si>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</si>
  <si>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</si>
  <si>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</si>
  <si>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</si>
  <si>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</si>
  <si>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</si>
  <si>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</si>
  <si>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</si>
  <si>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Rusia</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</si>
  <si>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</si>
  <si>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</si>
  <si>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</si>
  <si>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</si>
  <si>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</si>
  <si>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</si>
  <si>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</si>
  <si>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</si>
  <si>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</si>
  <si>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</si>
  <si>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</si>
  <si>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</si>
  <si>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</si>
  <si>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</si>
  <si>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</si>
  <si>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</si>
  <si>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</si>
  <si>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</si>
  <si>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</si>
  <si>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</si>
  <si>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</si>
  <si>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</si>
  <si>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</si>
  <si>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</si>
  <si>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</si>
  <si>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</si>
  <si>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</si>
  <si>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</si>
  <si>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</si>
  <si>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</si>
  <si>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</si>
  <si>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</si>
  <si>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</si>
  <si>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</si>
  <si>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</si>
  <si>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</si>
  <si>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</si>
  <si>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</si>
  <si>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</si>
  <si>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</si>
  <si>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</si>
  <si>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</si>
  <si>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</si>
  <si>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</si>
  <si>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</si>
  <si>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</si>
  <si>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</si>
  <si>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</si>
  <si>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</si>
  <si>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</si>
  <si>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</si>
  <si>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</si>
  <si>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</si>
  <si>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</si>
  <si>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Holanda</t>
  </si>
  <si>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</si>
  <si>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</si>
  <si>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</si>
  <si>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</si>
  <si>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</si>
  <si>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</si>
  <si>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</si>
  <si>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t>2016</t>
  </si>
  <si>
    <t>diff Vol</t>
  </si>
  <si>
    <t>diff $</t>
  </si>
  <si>
    <t>Px 2017</t>
  </si>
  <si>
    <t>($ nominales sin IVA / kilo)</t>
  </si>
  <si>
    <t xml:space="preserve">Promedio anual </t>
  </si>
  <si>
    <t>Promedio a la fecha</t>
  </si>
  <si>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r>
  </si>
  <si>
    <t>2016/17</t>
  </si>
  <si>
    <t>variación interanual</t>
  </si>
  <si>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corresponde a un promedio entre los precios mínimos y máximos ponderados por el volumen del producto arribado.</t>
    </r>
  </si>
  <si>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</si>
  <si>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</si>
  <si>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</si>
  <si>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</si>
  <si>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Vega Central Mapocho Santiago</t>
  </si>
  <si>
    <t>variación (%)</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</si>
  <si>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</si>
  <si>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Monalisa</t>
  </si>
  <si>
    <t>($ / kilo nominales con IVA)</t>
  </si>
  <si>
    <t>Turquía</t>
  </si>
  <si>
    <t>India</t>
  </si>
  <si>
    <t>Origen o destino no precisado</t>
  </si>
  <si>
    <t>Promedio nacional</t>
  </si>
  <si>
    <t>Promedio Nacional</t>
  </si>
  <si>
    <t>2017/18*</t>
  </si>
  <si>
    <t>*: La superficie corresponde al estudio de Intenciones de Siembra de julio 2017, para el año agrícola 2017/18. Este valor puede diferir por aproximación decimal en el cálculo. Para calcular la producción estimada para la temporada 2017/18, se utiliza un promedio de rendimiento de las dos temporadas anteriores, datos estimativos preliminares.</t>
  </si>
  <si>
    <r>
      <t xml:space="preserve">3. </t>
    </r>
    <r>
      <rPr>
        <u val="single"/>
        <sz val="10"/>
        <rFont val="Arial"/>
        <family val="2"/>
      </rPr>
      <t>Superficie, producción y rendimiento</t>
    </r>
    <r>
      <rPr>
        <sz val="10"/>
        <rFont val="Arial"/>
        <family val="2"/>
      </rPr>
      <t>: la superficie nacional estaría disminuyendo en la siguiente temporada. 
El estudio de INE sobre Intenciones de Siembra de julio 2017, para el año agrícola 2017/18 indica que en Chile la superficie sembrada con papas bordeará 46.523 hectáreas, lo que representa una disminución de 14% en la superficie nacional para la papa en comparación con la temporada 2016/17. Esta cifra preliminar podría explicarse por la baja en los precios que han experimentado los productores en la temporada 2016/17, la que aún se está expresando en los mercados, lo que desincentiva la producción de papa para varios productores. El rendimiento se ha estimado, como un promedio de los rendimientos de las últimas dos temporadas, aproximadamente 24 toneladas por hectárea. Con estos valores, se estima que la producción total de papa para la temporada 2017/18 alcanzaría 1,12 millones de toneladas, disminuyendo 21% en relación con el volumen estimado de papa producida la temporada recién pasada (cuadro 6 y gráfico 7).
Según la distribución regional de la superficie en 2016/17, la Región de La Araucanía nuevamente se presenta como la principal región con papas a nivel nacional, con 13.886 hectáreas, concentrando 26% del total de la superficie nacional encuestada. Esta región disminuyó 7% la superficie de papas, en comparación con la temporada anterior. La siguieron en importancia la Región de Los Lagos, con 11.022 hectáreas (representando 20% del total de la superficie nacional), y la Región del Biobío, con 9.892 hectáreas (ocupando 18% del total de la superficie de papa). Al sumar la región de Los Ríos a las tres regiones mencionadas anteriormente, se puede afirmar que la zona sur concentra 72% del total de la superficie de papa nacional. 
En cuanto a los rendimientos en 2016/17, éstos se registran más altos en la zona sur de Chile, donde se concentra el mayor porcentaje de superficie sembrada con papas. La región de los Lagos lidera con 43 ton/ha de rendimiento promedio regional. En la mayoría de las regiones se observa una recuperación de los rendimientos medios (a excepción de Metropolitana y Valparaíso). Esta recuperación de los rendimientos es producto de situaciones climáticas más favorables para el desarrollo del cultivo durante esta temporada (cuadros 8 y 9).
Es importante recordar que está vigente la resolución del SAG n°3276 de 2016, en la cual se informa sobre el Área Libre de plagas cuarentenarias - la cual comprende la provincia de Arauco en la Región del Bío Bío, y el territorio insular y continental de las regiones de La Araucanía, de Los Ríos, de Aysén, y de Magallanes - y además actualiza las disposiciones relativas a evitar la diseminación de estas plagas cuarentenarias hacia esta área, como por ejemplo la obligatoriedad de inscribirse en la Nómina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</si>
  <si>
    <t>Noviembre 2017</t>
  </si>
  <si>
    <r>
      <t>Información de mercado nacional y comercio exterior hasta octubre</t>
    </r>
    <r>
      <rPr>
        <sz val="11"/>
        <color indexed="8"/>
        <rFont val="Arial"/>
        <family val="2"/>
      </rPr>
      <t xml:space="preserve"> de 2017</t>
    </r>
  </si>
  <si>
    <t>Karú - Inia</t>
  </si>
  <si>
    <t>Pukará - Inia</t>
  </si>
  <si>
    <t>Patagonia - Inia</t>
  </si>
  <si>
    <t>($ nominales sin IVA / 25 kilos)</t>
  </si>
  <si>
    <r>
      <t xml:space="preserve">Región del Biobío
</t>
    </r>
    <r>
      <rPr>
        <sz val="10"/>
        <rFont val="Arial"/>
        <family val="2"/>
      </rPr>
      <t>Variedad Patagonia
Papa Guarda</t>
    </r>
  </si>
  <si>
    <r>
      <rPr>
        <b/>
        <sz val="10"/>
        <color indexed="8"/>
        <rFont val="Arial"/>
        <family val="2"/>
      </rPr>
      <t>Región de O'Higgins</t>
    </r>
    <r>
      <rPr>
        <sz val="10"/>
        <color indexed="8"/>
        <rFont val="Arial"/>
        <family val="2"/>
      </rPr>
      <t xml:space="preserve">
Variedad Pukará</t>
    </r>
  </si>
  <si>
    <r>
      <t xml:space="preserve">(3) El precio de la papa utilizado corresponde al precio promedio mayorista regional durante </t>
    </r>
    <r>
      <rPr>
        <sz val="10"/>
        <color indexed="10"/>
        <rFont val="Arial"/>
        <family val="2"/>
      </rPr>
      <t>octubre</t>
    </r>
    <r>
      <rPr>
        <sz val="10"/>
        <color indexed="8"/>
        <rFont val="Arial"/>
        <family val="2"/>
      </rPr>
      <t xml:space="preserve"> </t>
    </r>
    <r>
      <rPr>
        <sz val="10"/>
        <color indexed="8"/>
        <rFont val="Arial"/>
        <family val="2"/>
      </rPr>
      <t>de 2017.</t>
    </r>
  </si>
  <si>
    <t>Fecha de publicación: 2015 Region Metropolitana, 2016 Región Biobío, 2017 Región O'Higgins</t>
  </si>
  <si>
    <t>ene-oct 2016</t>
  </si>
  <si>
    <t>ene-oct 2017</t>
  </si>
  <si>
    <r>
      <t xml:space="preserve">1. </t>
    </r>
    <r>
      <rPr>
        <u val="single"/>
        <sz val="10"/>
        <rFont val="Arial"/>
        <family val="2"/>
      </rPr>
      <t>Precios de la papa en mercados mayoristas</t>
    </r>
    <r>
      <rPr>
        <sz val="10"/>
        <rFont val="Arial"/>
        <family val="2"/>
      </rPr>
      <t>: precios medios con tendencia al alza.
El precio promedio ponderado mensual de la papa en los mercados mayoristas durante octubre 2017 fue $149,2 por kilo, valor 7,2% superior al del mes anterior y 35,6% inferior al del mismo mes en el año 2016 (cuadro 1 y gráfico 1). Se observa una recuperación de los precios al alza, destacando este mes como el que registra el mayor precio del año 2017.
A partir de este boletín de noviembre 2017, los precios de papas por saco serán informados en formato de 25 kilogramos, ya que, por ley, los sacos de mayor volumen no podrán ser utilizados para el transporte y comercio. El precio promedio diario para el saco de 25 kilos, en los mercados mayoristas, también registra una tendencia alcista durante octubre, la que comenzó a registrarse en agosto de este año. En el período, el precio más alto registrado fue $3.939 el 18 de octubre (gráfico 2 y cuadro 2). La variedad con precio promedio por saco más alto en octubre 2017 fue Cardinal (en promedio $5.126, un 38% más que el precio promedio nacional). Desiré en cambio presentó el precio más bajo, aunque solo se registró venta un día en octubre (en promedio $2.521, un 32% menos que el precio promedio nacional). El promedio nacional para el mes de análisis es $3.720 el saco de 25 kilos. 
Los precios mayoristas de los mercados se presentan en general al alza, durante septiembre y octubre de este año. Arica destaca una vez más por ser el mercado que muestra los precios más altos comparado con todos los otros mercados nacionales donde Odepa registra precios. En octubre 2017 ese mercado registró un precio promedio de $5.704 el saco de 25 kilos, un 53% más alto que el promedio nacional. Destacan La vega Mapocho, mercado que presentó altos precios a comienzos de octubre, y La Palmera de La Serena, segundo mercado más destacado en altos precios durante el período analizado. Por otro lado, Talca registra el precio medio más bajo de octubre, $2.535, lo que representa 35% menos que el promedio nacional (cuadro 3 y gráfico 3). El anterior análisis guardaría cierta relación entre la distancia de los centros de distribución con la producción y sus volúmenes.</t>
    </r>
  </si>
  <si>
    <r>
      <t xml:space="preserve">2. </t>
    </r>
    <r>
      <rPr>
        <u val="single"/>
        <sz val="10"/>
        <rFont val="Arial"/>
        <family val="2"/>
      </rPr>
      <t>Precio de la papa en mercados minoristas</t>
    </r>
    <r>
      <rPr>
        <sz val="10"/>
        <rFont val="Arial"/>
        <family val="2"/>
      </rPr>
      <t>: precios al consumidor al alza en ferias libres, y a la baja en supermercados. 
El monitoreo de precios al consumidor que realiza Odepa en la ciudad de Santiago, se observó que el precio promedio mensual de octubre 2017 en supermercado es $896 por kilo, 5,9% inferior en relación al mes anterior, y 14% inferior comparado con el mismo mes del año anterior. En ferias el precio medio para octubre fue $397 por kilo, siendo este precio 5% mayor en relación al mes anterior, y 24,2% inferior en relación al mismo mes del año 2016. Como siempre, los precios son más altos en supermercados que en ferias, siendo 126% más alto en supermercados (cuadro 4 y gráfico 4). Se observa en el gráfico 4 que existe una similitud en el comportamiento de las variaciones de los precios entre mayorista, ferias libres y supermercados, lo que hace suponer que existe una transmisión de precios entre los diferentes mercados, a excepción de octubre 2017 en que el precio de supermercado no sigue la misma tendencia alcista que ferias libres y mayoristas.
Respecto a los precios al consumidor que Odepa recoge entre las regiones de Arica y Los Lagos, se observa que éstos son erráticos entre semanas. Además, en supermercados los precios son superiores a los de las ferias libres. Al comparar los precios promedios semanales entre junio y octubre 2017, entre ferias y supermercados, por región, se observa que la menor diferencia de precios en los últimos cinco meses se presentó en la Región de Arica, donde el promedio de precios en supermercados ($914) fue 109% más caro que en ferias ($437). Por otra parte, la mayor diferencia de precios entre supermercados y ferias libres se registró en la Región de la Araucanía, donde el promedio de precios en supermercado ($848) fue 231% más caro que en ferias libres ($256). El promedio de precios más alto en supermercado se registró en Valparaíso ($948 pesos por kilo), y el más bajo en la Región de La Araucanía ($848 pesos por kilo). En ferias libres, el promedio de precios más alto se registró en Arica ($437 pesos por kilo), y el más bajo en La Araucanía ($256 pesos por kilo). Destaca la alta variabilidad de precios en ferias libres de la Región de Los Lagos, y en supermercados de La Araucanía, en el período de análisis (cuadro 5, gráficos 5 y 6).</t>
    </r>
  </si>
  <si>
    <r>
      <t xml:space="preserve">4. </t>
    </r>
    <r>
      <rPr>
        <u val="single"/>
        <sz val="10"/>
        <rFont val="Arial"/>
        <family val="2"/>
      </rPr>
      <t>Ficha de Costos</t>
    </r>
    <r>
      <rPr>
        <sz val="10"/>
        <rFont val="Arial"/>
        <family val="2"/>
      </rPr>
      <t xml:space="preserve">: Márgenes en recuperación en escenarios de bajo rendimiento.
Odepa lleva un registro de fichas de costos de varios rubros, lo que permite analizar los costos asociados al desarrollo del cultivo, y los ingresos promedios que éstos generan para el productor. 
Para este mes, el análisis de margen neto entrega un valor negativo para la realidad de las regiones en donde se cuenta con análisis de fichas de costos, en un escenario de rendimiento de 25 toneladas por hectárea o menos, y precios por debajo de 120 pesos el kilo a productor. En el análisis de sensibilidad (cuadro 10) se puede revisar los precios que permiten alcanzar números rentables del cultivo. El punto de equilibrio para este mes, en la Región Metropolitana, se alcanzaría en $121 por kilo para un rendimiento de 30 ton/ha.
Los valores son referenciales. Para mayor información y detalle del cálculo, revisar www.odepa.cl/rubro/papas-y-tuberculos.
Además, en el siguiente link encontrará una ficha técnico-económica interactiva que le permitirá estimar los costos de producción: http://manualinia.papachile.cl/?page=login </t>
    </r>
  </si>
  <si>
    <r>
      <t xml:space="preserve">5. </t>
    </r>
    <r>
      <rPr>
        <u val="single"/>
        <sz val="10"/>
        <rFont val="Arial"/>
        <family val="2"/>
      </rPr>
      <t>Comercio exterior papa fresca y procesada</t>
    </r>
    <r>
      <rPr>
        <sz val="10"/>
        <rFont val="Arial"/>
        <family val="2"/>
      </rPr>
      <t>: alza de envíos de papas procesadas y fresca hacia Argentina, y por el contrario disminuyen los envíos desde Argentina hacia Chile.
La balanza comercial del período enero-octubre 2017 de los productos derivados de papa es, como siempre, negativa, con importaciones muy superiores a las ventas al exterior (cuadros 11 y 12).
Entre enero y octubre 2017 las exportaciones sumaron USD 7,5 millones, cifra 27% superior a la registrada en el mismo período del año anterior. En volumen, se exportaron cerca de 9.300 toneladas, 106% más que en el mismo período del año 2016. Probablemente esta alza de envíos se debe a un alto volumen de papa producida en Chile, que fue enviada mayoritariamente a Argentina, destacando el alza en valor y volumen de los envíos a ese país en papa preparada sin congelar (74% más de volumen que en el mismo período que el año anterior), y en papa fresca (2.400% más de volumen que en el mismo período que el año anterior). 
Las importaciones sumaron USD 85 millones y 90 mil toneladas entre enero y octubre 2017, lo que representa un alza en valor de 3% y en volumen de 7% en comparación con igual período del año anterior. Las papas preparadas congeladas son la principal categoría comprada por Chile, representando 79% del total de las compras de papas. En esa categoría destaca fuertemente Bélgica como principal exportador a Chile, concentrando cerca del 50% del total de compras en esa categoría. Junto con Países Bajos, Argentina y Alemania concentran el 98% del total de compras de esa categoría para el período de análisis. Bélgica además presenta en entre enero y octubre 2017 el mayor aumento en ventas y en volumen hacia Chile en comparación con igual período del año 2016. Argentina en cambio, registra en el mismo período la baja más destacada en valor y volumen en papas preparadas congeladas enviadas a Chile, en comparación con 2016.</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</si>
</sst>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_ * #,##0_ ;_ * \-#,##0_ ;_ * &quot;-&quot;_ ;_ @_ "/>
    <numFmt numFmtId="167" formatCode="_ * #,##0.00_ ;_ * \-#,##0.00_ ;_ * &quot;-&quot;??_ ;_ @_ "/>
    <numFmt numFmtId="168" formatCode="_-* #,##0.00\ _€_-;\-* #,##0.00\ _€_-;_-* &quot;-&quot;??\ _€_-;_-@_-"/>
    <numFmt numFmtId="169" formatCode="_(* #,##0_);_(* \(#,##0\);_(* &quot;-&quot;_);_(@_)"/>
    <numFmt numFmtId="170" formatCode="0.0"/>
    <numFmt numFmtId="171" formatCode="#,##0.0"/>
    <numFmt numFmtId="172" formatCode="_(* #,##0.00_);_(* \(#,##0.00\);_(* &quot;-&quot;??_);_(@_)"/>
    <numFmt numFmtId="173" formatCode="_(* #,##0_);_(* \(#,##0\);_(* &quot;-&quot;??_);_(@_)"/>
    <numFmt numFmtId="174" formatCode="_(* #,##0.0000_);_(* \(#,##0.0000\);_(* &quot;-&quot;_);_(@_)"/>
    <numFmt numFmtId="175" formatCode="_-* #,##0.000\ _€_-;\-* #,##0.000\ _€_-;_-* &quot;-&quot;?\ _€_-;_-@_-"/>
    <numFmt numFmtId="176" formatCode="dd/mm/yy;@"/>
    <numFmt numFmtId="177" formatCode="0.0%"/>
    <numFmt numFmtId="178" formatCode="_-* #,##0.000\ _€_-;\-* #,##0.000\ _€_-;_-* &quot;-&quot;???\ _€_-;_-@_-"/>
    <numFmt numFmtId="179" formatCode="#,##0_ ;\-#,##0\ "/>
    <numFmt numFmtId="180" formatCode="#,##0.0_ ;\-#,##0.0\ "/>
    <numFmt numFmtId="181" formatCode="dd/mm"/>
  </numFmts>
  <fonts count="129">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sz val="10"/>
      <color indexed="10"/>
      <name val="Calibri"/>
      <family val="2"/>
    </font>
    <font>
      <b/>
      <sz val="10"/>
      <color indexed="10"/>
      <name val="Arial"/>
      <family val="2"/>
    </font>
    <font>
      <i/>
      <sz val="10"/>
      <color indexed="10"/>
      <name val="Arial"/>
      <family val="2"/>
    </font>
    <font>
      <u val="single"/>
      <sz val="11"/>
      <color indexed="20"/>
      <name val="Calibri"/>
      <family val="2"/>
    </font>
    <font>
      <u val="single"/>
      <sz val="10"/>
      <color indexed="30"/>
      <name val="Arial"/>
      <family val="2"/>
    </font>
    <font>
      <u val="single"/>
      <sz val="10"/>
      <color indexed="9"/>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rgb="FFFF0000"/>
      <name val="Arial"/>
      <family val="2"/>
    </font>
    <font>
      <i/>
      <sz val="10"/>
      <color rgb="FFFF0000"/>
      <name val="Arial"/>
      <family val="2"/>
    </font>
    <font>
      <u val="single"/>
      <sz val="10"/>
      <color rgb="FF0033CC"/>
      <name val="Arial"/>
      <family val="2"/>
    </font>
    <font>
      <b/>
      <sz val="10"/>
      <color theme="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1" tint="0.49998000264167786"/>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border>
    <border>
      <left style="thin"/>
      <right style="thin"/>
      <top style="thin"/>
      <bottom style="thin"/>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right/>
      <top style="thin">
        <color theme="1" tint="0.49998000264167786"/>
      </top>
      <bottom style="thin">
        <color theme="1" tint="0.34999001026153564"/>
      </bottom>
    </border>
    <border>
      <left style="thin"/>
      <right/>
      <top style="thin"/>
      <bottom style="thin">
        <color theme="0" tint="-0.1499900072813034"/>
      </bottom>
    </border>
    <border>
      <left/>
      <right style="thin"/>
      <top style="thin"/>
      <bottom style="thin">
        <color theme="0" tint="-0.1499900072813034"/>
      </bottom>
    </border>
    <border>
      <left style="thin"/>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right/>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style="thin"/>
      <right style="thin"/>
      <top style="thin"/>
      <bottom style="thin">
        <color theme="0" tint="-0.1499900072813034"/>
      </bottom>
    </border>
    <border>
      <left style="thin"/>
      <right style="thin"/>
      <top style="thin">
        <color theme="0" tint="-0.1499900072813034"/>
      </top>
      <bottom style="thin">
        <color theme="0" tint="-0.1499900072813034"/>
      </bottom>
    </border>
    <border>
      <left style="thin"/>
      <right style="thin"/>
      <top style="thin">
        <color theme="0" tint="-0.1499900072813034"/>
      </top>
      <bottom style="thin"/>
    </border>
    <border>
      <left style="thin"/>
      <right/>
      <top style="thin"/>
      <bottom style="thin">
        <color theme="0" tint="-0.24997000396251678"/>
      </bottom>
    </border>
    <border>
      <left/>
      <right/>
      <top style="thin"/>
      <bottom style="thin">
        <color theme="0" tint="-0.24997000396251678"/>
      </bottom>
    </border>
    <border>
      <left/>
      <right style="thin"/>
      <top style="thin"/>
      <bottom style="thin">
        <color theme="0" tint="-0.24997000396251678"/>
      </bottom>
    </border>
    <border>
      <left style="thin"/>
      <right/>
      <top/>
      <bottom style="thin">
        <color theme="0" tint="-0.24997000396251678"/>
      </bottom>
    </border>
    <border>
      <left/>
      <right/>
      <top/>
      <bottom style="thin">
        <color theme="0" tint="-0.24997000396251678"/>
      </bottom>
    </border>
    <border>
      <left/>
      <right style="thin"/>
      <top/>
      <bottom style="thin">
        <color theme="0" tint="-0.24997000396251678"/>
      </bottom>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8" fillId="0" borderId="7"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cellStyleXfs>
  <cellXfs count="435">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3"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3" fillId="55" borderId="0" xfId="372" applyFont="1" applyFill="1" applyBorder="1" applyAlignment="1" applyProtection="1">
      <alignment horizontal="center"/>
      <protection/>
    </xf>
    <xf numFmtId="0" fontId="103"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4"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5" fillId="56" borderId="21" xfId="0" applyFont="1" applyFill="1" applyBorder="1" applyAlignment="1">
      <alignment vertical="center"/>
    </xf>
    <xf numFmtId="0" fontId="105" fillId="56" borderId="21" xfId="0" applyFont="1" applyFill="1" applyBorder="1" applyAlignment="1">
      <alignment horizontal="center" vertical="center" wrapText="1"/>
    </xf>
    <xf numFmtId="3" fontId="106"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6" fillId="55" borderId="0" xfId="0" applyFont="1" applyFill="1" applyAlignment="1">
      <alignment/>
    </xf>
    <xf numFmtId="3" fontId="105" fillId="55" borderId="23" xfId="0" applyNumberFormat="1" applyFont="1" applyFill="1" applyBorder="1" applyAlignment="1" quotePrefix="1">
      <alignment horizontal="center" vertical="center" wrapText="1"/>
    </xf>
    <xf numFmtId="3" fontId="105" fillId="55" borderId="24" xfId="0" applyNumberFormat="1" applyFont="1" applyFill="1" applyBorder="1" applyAlignment="1" quotePrefix="1">
      <alignment horizontal="center" vertical="center" wrapText="1"/>
    </xf>
    <xf numFmtId="171" fontId="105" fillId="55" borderId="24" xfId="0" applyNumberFormat="1" applyFont="1" applyFill="1" applyBorder="1" applyAlignment="1">
      <alignment horizontal="center" vertical="center" wrapText="1"/>
    </xf>
    <xf numFmtId="3" fontId="105" fillId="55" borderId="24" xfId="0" applyNumberFormat="1" applyFont="1" applyFill="1" applyBorder="1" applyAlignment="1">
      <alignment horizontal="center" vertical="center" wrapText="1"/>
    </xf>
    <xf numFmtId="171" fontId="105" fillId="55" borderId="25" xfId="0" applyNumberFormat="1" applyFont="1" applyFill="1" applyBorder="1" applyAlignment="1">
      <alignment horizontal="center" vertical="center" wrapText="1"/>
    </xf>
    <xf numFmtId="3" fontId="106" fillId="55" borderId="0" xfId="0" applyNumberFormat="1" applyFont="1" applyFill="1" applyAlignment="1">
      <alignmen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1" fontId="106" fillId="55" borderId="27" xfId="0" applyNumberFormat="1" applyFont="1" applyFill="1" applyBorder="1" applyAlignment="1">
      <alignment horizontal="right"/>
    </xf>
    <xf numFmtId="0" fontId="92" fillId="55" borderId="0" xfId="286" applyFont="1" applyFill="1" applyAlignment="1">
      <alignment/>
    </xf>
    <xf numFmtId="171"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5" fontId="2" fillId="55" borderId="0" xfId="362" applyNumberFormat="1" applyFont="1" applyFill="1">
      <alignment/>
      <protection/>
    </xf>
    <xf numFmtId="174" fontId="2" fillId="55" borderId="0" xfId="362" applyNumberFormat="1" applyFont="1" applyFill="1">
      <alignment/>
      <protection/>
    </xf>
    <xf numFmtId="3" fontId="107" fillId="0" borderId="0" xfId="0" applyNumberFormat="1" applyFont="1" applyAlignment="1">
      <alignment/>
    </xf>
    <xf numFmtId="0" fontId="108" fillId="55" borderId="0" xfId="0" applyFont="1" applyFill="1" applyAlignment="1">
      <alignment/>
    </xf>
    <xf numFmtId="14" fontId="106" fillId="55" borderId="22" xfId="0" applyNumberFormat="1" applyFont="1" applyFill="1" applyBorder="1" applyAlignment="1">
      <alignment horizontal="left"/>
    </xf>
    <xf numFmtId="0" fontId="106" fillId="55" borderId="0" xfId="0" applyFont="1" applyFill="1" applyAlignment="1">
      <alignment horizontal="center"/>
    </xf>
    <xf numFmtId="0" fontId="105" fillId="55" borderId="21" xfId="0" applyFont="1" applyFill="1" applyBorder="1" applyAlignment="1">
      <alignment vertical="center"/>
    </xf>
    <xf numFmtId="0" fontId="109" fillId="55" borderId="0" xfId="0" applyFont="1" applyFill="1" applyAlignment="1">
      <alignment horizontal="center" vertical="center" readingOrder="1"/>
    </xf>
    <xf numFmtId="3" fontId="105" fillId="55" borderId="28" xfId="0" applyNumberFormat="1" applyFont="1" applyFill="1" applyBorder="1" applyAlignment="1">
      <alignment/>
    </xf>
    <xf numFmtId="3" fontId="105" fillId="55" borderId="21" xfId="0" applyNumberFormat="1" applyFont="1" applyFill="1" applyBorder="1" applyAlignment="1">
      <alignment/>
    </xf>
    <xf numFmtId="171" fontId="105" fillId="55" borderId="29" xfId="0" applyNumberFormat="1" applyFont="1" applyFill="1" applyBorder="1" applyAlignment="1">
      <alignment horizontal="righ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171" fontId="105" fillId="55" borderId="25" xfId="0" applyNumberFormat="1" applyFont="1" applyFill="1" applyBorder="1" applyAlignment="1">
      <alignment horizontal="right"/>
    </xf>
    <xf numFmtId="0" fontId="106" fillId="55" borderId="0" xfId="0" applyFont="1" applyFill="1" applyBorder="1" applyAlignment="1">
      <alignment/>
    </xf>
    <xf numFmtId="0" fontId="110"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1" fillId="55" borderId="0" xfId="0" applyFont="1" applyFill="1" applyAlignment="1">
      <alignment/>
    </xf>
    <xf numFmtId="0" fontId="111" fillId="55" borderId="0" xfId="358" applyFont="1" applyFill="1">
      <alignment/>
      <protection/>
    </xf>
    <xf numFmtId="0" fontId="0" fillId="55" borderId="0" xfId="0" applyFill="1" applyAlignment="1">
      <alignment horizontal="center" vertical="center"/>
    </xf>
    <xf numFmtId="0" fontId="112" fillId="55" borderId="0" xfId="358" applyFont="1" applyFill="1" applyAlignment="1">
      <alignment vertical="top"/>
      <protection/>
    </xf>
    <xf numFmtId="0" fontId="113" fillId="55" borderId="0" xfId="358" applyFont="1" applyFill="1" applyAlignment="1">
      <alignment horizontal="left" vertical="top"/>
      <protection/>
    </xf>
    <xf numFmtId="17" fontId="114" fillId="55" borderId="0" xfId="358" applyNumberFormat="1" applyFont="1" applyFill="1" applyAlignment="1" quotePrefix="1">
      <alignment vertical="center"/>
      <protection/>
    </xf>
    <xf numFmtId="0" fontId="114" fillId="55" borderId="0" xfId="358" applyFont="1" applyFill="1" applyAlignment="1">
      <alignment vertical="center"/>
      <protection/>
    </xf>
    <xf numFmtId="0" fontId="115" fillId="55" borderId="0" xfId="358" applyFont="1" applyFill="1" applyAlignment="1">
      <alignment horizontal="left" vertical="center"/>
      <protection/>
    </xf>
    <xf numFmtId="170" fontId="2" fillId="55" borderId="0" xfId="362" applyNumberFormat="1"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30" xfId="305" applyNumberFormat="1" applyFont="1" applyFill="1" applyBorder="1" applyAlignment="1">
      <alignment horizontal="center" vertical="center" wrapText="1"/>
    </xf>
    <xf numFmtId="171" fontId="2" fillId="55" borderId="0" xfId="305" applyNumberFormat="1" applyFont="1" applyFill="1" applyBorder="1" applyAlignment="1">
      <alignment horizontal="center" vertical="center" wrapText="1"/>
    </xf>
    <xf numFmtId="171" fontId="2" fillId="55" borderId="0" xfId="362" applyNumberFormat="1" applyFont="1" applyFill="1" applyBorder="1" applyAlignment="1">
      <alignment horizontal="center"/>
      <protection/>
    </xf>
    <xf numFmtId="0" fontId="2" fillId="55" borderId="0" xfId="350" applyFont="1" applyFill="1" applyBorder="1">
      <alignment/>
      <protection/>
    </xf>
    <xf numFmtId="0" fontId="105" fillId="55" borderId="21" xfId="0" applyFont="1" applyFill="1" applyBorder="1" applyAlignment="1">
      <alignment horizontal="center" vertical="center" wrapText="1"/>
    </xf>
    <xf numFmtId="171" fontId="2" fillId="55" borderId="0" xfId="305" applyNumberFormat="1" applyFont="1" applyFill="1" applyBorder="1" applyAlignment="1">
      <alignment horizontal="center" vertical="center"/>
    </xf>
    <xf numFmtId="176" fontId="106" fillId="55" borderId="0" xfId="0" applyNumberFormat="1" applyFont="1" applyFill="1" applyAlignment="1">
      <alignment horizontal="left"/>
    </xf>
    <xf numFmtId="14" fontId="106" fillId="55" borderId="31" xfId="0" applyNumberFormat="1" applyFont="1" applyFill="1" applyBorder="1" applyAlignment="1">
      <alignment horizontal="left"/>
    </xf>
    <xf numFmtId="3" fontId="106" fillId="55" borderId="31" xfId="0" applyNumberFormat="1" applyFont="1" applyFill="1" applyBorder="1" applyAlignment="1">
      <alignment horizontal="center"/>
    </xf>
    <xf numFmtId="14" fontId="106" fillId="55" borderId="32" xfId="0" applyNumberFormat="1" applyFont="1" applyFill="1" applyBorder="1" applyAlignment="1">
      <alignment horizontal="left"/>
    </xf>
    <xf numFmtId="3" fontId="106" fillId="55" borderId="32" xfId="0" applyNumberFormat="1" applyFont="1" applyFill="1" applyBorder="1" applyAlignment="1">
      <alignment horizontal="center"/>
    </xf>
    <xf numFmtId="176" fontId="106" fillId="55" borderId="33" xfId="0" applyNumberFormat="1" applyFont="1" applyFill="1" applyBorder="1" applyAlignment="1">
      <alignment horizontal="left"/>
    </xf>
    <xf numFmtId="176" fontId="106"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105"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0" fillId="55" borderId="0" xfId="0" applyFont="1" applyFill="1" applyAlignment="1">
      <alignment/>
    </xf>
    <xf numFmtId="0" fontId="116" fillId="55" borderId="0" xfId="358" applyFont="1" applyFill="1" applyAlignment="1">
      <alignment horizontal="center"/>
      <protection/>
    </xf>
    <xf numFmtId="0" fontId="111" fillId="55" borderId="0" xfId="358" applyFont="1" applyFill="1" applyAlignment="1">
      <alignment horizontal="center"/>
      <protection/>
    </xf>
    <xf numFmtId="0" fontId="116" fillId="55" borderId="0" xfId="358" applyFont="1" applyFill="1" applyAlignment="1">
      <alignment/>
      <protection/>
    </xf>
    <xf numFmtId="0" fontId="111" fillId="55" borderId="0" xfId="358" applyFont="1" applyFill="1" applyAlignment="1">
      <alignment/>
      <protection/>
    </xf>
    <xf numFmtId="0" fontId="28" fillId="55" borderId="0" xfId="286" applyFont="1" applyFill="1" applyAlignment="1">
      <alignment vertical="center"/>
    </xf>
    <xf numFmtId="0" fontId="28" fillId="55" borderId="0" xfId="286" applyFont="1" applyFill="1" applyAlignment="1">
      <alignment horizontal="center" vertical="center"/>
    </xf>
    <xf numFmtId="0" fontId="116" fillId="55" borderId="0" xfId="358" applyFont="1" applyFill="1" applyAlignment="1">
      <alignment vertical="center"/>
      <protection/>
    </xf>
    <xf numFmtId="0" fontId="105" fillId="55" borderId="0" xfId="0" applyFont="1" applyFill="1" applyBorder="1" applyAlignment="1">
      <alignment horizontal="center"/>
    </xf>
    <xf numFmtId="171" fontId="105" fillId="55" borderId="0" xfId="0" applyNumberFormat="1" applyFont="1" applyFill="1" applyBorder="1" applyAlignment="1">
      <alignment horizontal="center" vertical="center" wrapText="1"/>
    </xf>
    <xf numFmtId="171" fontId="106" fillId="55" borderId="0" xfId="0" applyNumberFormat="1" applyFont="1" applyFill="1" applyBorder="1" applyAlignment="1">
      <alignment horizontal="right"/>
    </xf>
    <xf numFmtId="171" fontId="105" fillId="55" borderId="0" xfId="0" applyNumberFormat="1" applyFont="1" applyFill="1" applyBorder="1" applyAlignment="1">
      <alignment horizontal="right"/>
    </xf>
    <xf numFmtId="0" fontId="108" fillId="55" borderId="0" xfId="0" applyFont="1" applyFill="1" applyBorder="1" applyAlignment="1">
      <alignment horizontal="left"/>
    </xf>
    <xf numFmtId="0" fontId="105" fillId="56" borderId="0" xfId="0" applyFont="1" applyFill="1" applyBorder="1" applyAlignment="1">
      <alignment horizontal="center" vertical="center" wrapText="1"/>
    </xf>
    <xf numFmtId="3" fontId="106"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30" xfId="362" applyFont="1" applyFill="1" applyBorder="1" applyAlignment="1">
      <alignment horizontal="center" wrapText="1"/>
      <protection/>
    </xf>
    <xf numFmtId="3" fontId="2" fillId="55" borderId="3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116" fillId="55" borderId="0" xfId="358" applyFont="1" applyFill="1" applyAlignment="1">
      <alignment horizontal="center"/>
      <protection/>
    </xf>
    <xf numFmtId="0" fontId="105" fillId="55" borderId="28" xfId="0" applyFont="1" applyFill="1" applyBorder="1" applyAlignment="1">
      <alignment/>
    </xf>
    <xf numFmtId="0" fontId="105" fillId="55" borderId="29" xfId="0" applyFont="1" applyFill="1" applyBorder="1" applyAlignment="1">
      <alignment/>
    </xf>
    <xf numFmtId="0" fontId="105" fillId="55" borderId="28" xfId="0" applyFont="1" applyFill="1" applyBorder="1" applyAlignment="1">
      <alignment horizontal="left" vertical="center"/>
    </xf>
    <xf numFmtId="0" fontId="105" fillId="55" borderId="29" xfId="0" applyFont="1" applyFill="1" applyBorder="1" applyAlignment="1">
      <alignment horizontal="left" vertical="center"/>
    </xf>
    <xf numFmtId="3" fontId="2" fillId="0" borderId="0" xfId="362" applyNumberFormat="1" applyFont="1" applyFill="1">
      <alignment/>
      <protection/>
    </xf>
    <xf numFmtId="17" fontId="2" fillId="0" borderId="0" xfId="362" applyNumberFormat="1" applyFont="1" applyFill="1">
      <alignment/>
      <protection/>
    </xf>
    <xf numFmtId="177" fontId="2" fillId="55" borderId="0" xfId="382" applyNumberFormat="1" applyFont="1" applyFill="1" applyAlignment="1">
      <alignment/>
    </xf>
    <xf numFmtId="0" fontId="111" fillId="55" borderId="0" xfId="358" applyFont="1" applyFill="1" applyAlignment="1">
      <alignment wrapText="1"/>
      <protection/>
    </xf>
    <xf numFmtId="17" fontId="111" fillId="55" borderId="0" xfId="358" applyNumberFormat="1" applyFont="1" applyFill="1" applyAlignment="1" quotePrefix="1">
      <alignment horizontal="center"/>
      <protection/>
    </xf>
    <xf numFmtId="0" fontId="22" fillId="55" borderId="0" xfId="362" applyFont="1" applyFill="1" applyBorder="1" applyAlignment="1">
      <alignment/>
      <protection/>
    </xf>
    <xf numFmtId="178" fontId="2" fillId="55" borderId="0" xfId="362" applyNumberFormat="1" applyFont="1" applyFill="1">
      <alignment/>
      <protection/>
    </xf>
    <xf numFmtId="0" fontId="24" fillId="55" borderId="0" xfId="366" applyFont="1" applyFill="1" applyBorder="1" applyAlignment="1">
      <alignment vertical="center" wrapText="1"/>
      <protection/>
    </xf>
    <xf numFmtId="0" fontId="117" fillId="55" borderId="0" xfId="0" applyFont="1" applyFill="1" applyAlignment="1" quotePrefix="1">
      <alignment horizontal="center"/>
    </xf>
    <xf numFmtId="0" fontId="22" fillId="55" borderId="0" xfId="362" applyFont="1" applyFill="1" applyBorder="1" applyAlignment="1">
      <alignment horizontal="center"/>
      <protection/>
    </xf>
    <xf numFmtId="9" fontId="2" fillId="55" borderId="0" xfId="382" applyFont="1" applyFill="1" applyAlignment="1">
      <alignment/>
    </xf>
    <xf numFmtId="0" fontId="118" fillId="55" borderId="0" xfId="362" applyFont="1" applyFill="1">
      <alignment/>
      <protection/>
    </xf>
    <xf numFmtId="0" fontId="24" fillId="55" borderId="24" xfId="366" applyFont="1" applyFill="1" applyBorder="1" applyAlignment="1">
      <alignment horizontal="left" vertical="center" wrapText="1"/>
      <protection/>
    </xf>
    <xf numFmtId="0" fontId="24" fillId="55" borderId="24" xfId="362" applyFont="1" applyFill="1" applyBorder="1">
      <alignment/>
      <protection/>
    </xf>
    <xf numFmtId="3" fontId="106" fillId="55" borderId="33" xfId="0" applyNumberFormat="1" applyFont="1" applyFill="1" applyBorder="1" applyAlignment="1">
      <alignment horizontal="center"/>
    </xf>
    <xf numFmtId="3" fontId="106" fillId="55" borderId="0" xfId="0" applyNumberFormat="1" applyFont="1" applyFill="1" applyAlignment="1">
      <alignment horizontal="center"/>
    </xf>
    <xf numFmtId="0" fontId="119" fillId="55" borderId="0" xfId="0" applyFont="1" applyFill="1" applyAlignment="1">
      <alignment/>
    </xf>
    <xf numFmtId="177" fontId="119" fillId="55" borderId="0" xfId="382" applyNumberFormat="1" applyFont="1" applyFill="1" applyAlignment="1">
      <alignment/>
    </xf>
    <xf numFmtId="0" fontId="120" fillId="55" borderId="0" xfId="286" applyFont="1" applyFill="1" applyAlignment="1">
      <alignment/>
    </xf>
    <xf numFmtId="0" fontId="119" fillId="55" borderId="0" xfId="362" applyFont="1" applyFill="1">
      <alignment/>
      <protection/>
    </xf>
    <xf numFmtId="174" fontId="119" fillId="55" borderId="0" xfId="362" applyNumberFormat="1" applyFont="1" applyFill="1">
      <alignment/>
      <protection/>
    </xf>
    <xf numFmtId="171" fontId="2" fillId="55" borderId="34" xfId="351" applyNumberFormat="1" applyFont="1" applyFill="1" applyBorder="1" applyAlignment="1">
      <alignment horizontal="center" vertical="center" wrapText="1"/>
      <protection/>
    </xf>
    <xf numFmtId="171" fontId="2" fillId="55" borderId="32" xfId="351" applyNumberFormat="1" applyFont="1" applyFill="1" applyBorder="1" applyAlignment="1">
      <alignment horizontal="center" vertical="center" wrapText="1"/>
      <protection/>
    </xf>
    <xf numFmtId="171" fontId="2" fillId="0" borderId="32" xfId="351" applyNumberFormat="1" applyFont="1" applyFill="1" applyBorder="1" applyAlignment="1">
      <alignment horizontal="center" vertical="center" wrapText="1"/>
      <protection/>
    </xf>
    <xf numFmtId="171" fontId="2" fillId="55" borderId="0" xfId="351" applyNumberFormat="1" applyFont="1" applyFill="1" applyBorder="1" applyAlignment="1">
      <alignment horizontal="center" vertical="center" wrapText="1"/>
      <protection/>
    </xf>
    <xf numFmtId="171" fontId="22" fillId="55" borderId="20" xfId="351" applyNumberFormat="1" applyFont="1" applyFill="1" applyBorder="1" applyAlignment="1">
      <alignment horizontal="center" vertical="center" wrapText="1"/>
      <protection/>
    </xf>
    <xf numFmtId="171"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6" fillId="55" borderId="35" xfId="0" applyFont="1" applyFill="1" applyBorder="1" applyAlignment="1">
      <alignment horizontal="left" vertical="center"/>
    </xf>
    <xf numFmtId="3" fontId="106" fillId="55" borderId="0" xfId="0" applyNumberFormat="1" applyFont="1" applyFill="1" applyBorder="1" applyAlignment="1">
      <alignment horizontal="right" vertical="center"/>
    </xf>
    <xf numFmtId="171" fontId="106" fillId="55" borderId="27" xfId="0" applyNumberFormat="1" applyFont="1" applyFill="1" applyBorder="1" applyAlignment="1">
      <alignment horizontal="right" vertical="center"/>
    </xf>
    <xf numFmtId="171" fontId="119"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19" fillId="55" borderId="0" xfId="0" applyNumberFormat="1" applyFont="1" applyFill="1" applyAlignment="1">
      <alignment/>
    </xf>
    <xf numFmtId="0" fontId="2" fillId="55" borderId="0" xfId="0" applyFont="1" applyFill="1" applyAlignment="1">
      <alignment/>
    </xf>
    <xf numFmtId="0" fontId="105" fillId="56" borderId="0" xfId="0" applyFont="1" applyFill="1" applyBorder="1" applyAlignment="1">
      <alignment horizontal="center"/>
    </xf>
    <xf numFmtId="0" fontId="105" fillId="56" borderId="36" xfId="0" applyFont="1" applyFill="1" applyBorder="1" applyAlignment="1">
      <alignment vertical="center"/>
    </xf>
    <xf numFmtId="0" fontId="105" fillId="56" borderId="37" xfId="0" applyFont="1" applyFill="1" applyBorder="1" applyAlignment="1">
      <alignment horizontal="center" vertical="center" wrapText="1"/>
    </xf>
    <xf numFmtId="0" fontId="105" fillId="56" borderId="22" xfId="0" applyFont="1" applyFill="1" applyBorder="1" applyAlignment="1">
      <alignment horizontal="center" vertical="center" wrapText="1"/>
    </xf>
    <xf numFmtId="0" fontId="105" fillId="56" borderId="38" xfId="0" applyFont="1" applyFill="1" applyBorder="1" applyAlignment="1">
      <alignment horizontal="center" vertical="center" wrapText="1"/>
    </xf>
    <xf numFmtId="176" fontId="106" fillId="55" borderId="39" xfId="0" applyNumberFormat="1" applyFont="1" applyFill="1" applyBorder="1" applyAlignment="1">
      <alignment horizontal="left"/>
    </xf>
    <xf numFmtId="3" fontId="106" fillId="55" borderId="40" xfId="0" applyNumberFormat="1" applyFont="1" applyFill="1" applyBorder="1" applyAlignment="1">
      <alignment horizontal="center"/>
    </xf>
    <xf numFmtId="3" fontId="106" fillId="55" borderId="41" xfId="0" applyNumberFormat="1" applyFont="1" applyFill="1" applyBorder="1" applyAlignment="1">
      <alignment horizontal="center"/>
    </xf>
    <xf numFmtId="176" fontId="106" fillId="55" borderId="42" xfId="0" applyNumberFormat="1" applyFont="1" applyFill="1" applyBorder="1" applyAlignment="1">
      <alignment horizontal="left"/>
    </xf>
    <xf numFmtId="3" fontId="106" fillId="55" borderId="37" xfId="0" applyNumberFormat="1" applyFont="1" applyFill="1" applyBorder="1" applyAlignment="1">
      <alignment horizontal="center"/>
    </xf>
    <xf numFmtId="3" fontId="106" fillId="55" borderId="38" xfId="0" applyNumberFormat="1" applyFont="1" applyFill="1" applyBorder="1" applyAlignment="1">
      <alignment horizontal="center"/>
    </xf>
    <xf numFmtId="3" fontId="2" fillId="55" borderId="0" xfId="0" applyNumberFormat="1" applyFont="1" applyFill="1" applyAlignment="1">
      <alignment/>
    </xf>
    <xf numFmtId="0" fontId="91" fillId="55" borderId="0" xfId="286" applyFill="1" applyBorder="1" applyAlignment="1" applyProtection="1">
      <alignment horizontal="right"/>
      <protection/>
    </xf>
    <xf numFmtId="0" fontId="22" fillId="55" borderId="36" xfId="0" applyFont="1" applyFill="1" applyBorder="1" applyAlignment="1">
      <alignment horizontal="center" vertical="center" wrapText="1"/>
    </xf>
    <xf numFmtId="0" fontId="22" fillId="55" borderId="36" xfId="0" applyFont="1" applyFill="1" applyBorder="1" applyAlignment="1">
      <alignment vertical="center" wrapText="1"/>
    </xf>
    <xf numFmtId="180" fontId="2" fillId="55" borderId="36" xfId="301" applyNumberFormat="1" applyFont="1" applyFill="1" applyBorder="1" applyAlignment="1">
      <alignment horizontal="center" vertical="center" wrapText="1"/>
    </xf>
    <xf numFmtId="164" fontId="2" fillId="55" borderId="36" xfId="336" applyNumberFormat="1" applyFont="1" applyFill="1" applyBorder="1" applyAlignment="1">
      <alignment horizontal="center" vertical="center" wrapText="1"/>
    </xf>
    <xf numFmtId="0" fontId="22" fillId="55" borderId="36" xfId="0" applyFont="1" applyFill="1" applyBorder="1" applyAlignment="1">
      <alignment vertical="center"/>
    </xf>
    <xf numFmtId="0" fontId="33" fillId="55" borderId="36" xfId="0" applyFont="1" applyFill="1" applyBorder="1" applyAlignment="1">
      <alignment horizontal="right" vertical="center" wrapText="1"/>
    </xf>
    <xf numFmtId="164" fontId="34" fillId="55" borderId="36" xfId="336" applyNumberFormat="1" applyFont="1" applyFill="1" applyBorder="1" applyAlignment="1">
      <alignment horizontal="right" vertical="center" wrapText="1"/>
    </xf>
    <xf numFmtId="0" fontId="33" fillId="55" borderId="36" xfId="0" applyFont="1" applyFill="1" applyBorder="1" applyAlignment="1">
      <alignment horizontal="right"/>
    </xf>
    <xf numFmtId="0" fontId="22" fillId="55" borderId="0" xfId="0" applyFont="1" applyFill="1" applyBorder="1" applyAlignment="1">
      <alignment/>
    </xf>
    <xf numFmtId="164" fontId="34" fillId="55" borderId="0" xfId="336" applyNumberFormat="1" applyFont="1" applyFill="1" applyBorder="1" applyAlignment="1">
      <alignment vertical="center" wrapText="1"/>
    </xf>
    <xf numFmtId="3" fontId="22" fillId="55" borderId="36" xfId="300" applyNumberFormat="1" applyFont="1" applyFill="1" applyBorder="1" applyAlignment="1">
      <alignment horizontal="center" vertical="center"/>
    </xf>
    <xf numFmtId="0" fontId="2" fillId="55" borderId="0" xfId="0" applyFont="1" applyFill="1" applyBorder="1" applyAlignment="1">
      <alignment vertical="center"/>
    </xf>
    <xf numFmtId="0" fontId="106" fillId="55" borderId="0" xfId="0" applyFont="1" applyFill="1" applyBorder="1" applyAlignment="1">
      <alignment/>
    </xf>
    <xf numFmtId="3" fontId="22" fillId="55" borderId="0" xfId="300" applyNumberFormat="1" applyFont="1" applyFill="1" applyBorder="1" applyAlignment="1">
      <alignment horizontal="center" vertical="center"/>
    </xf>
    <xf numFmtId="164" fontId="34" fillId="55" borderId="36" xfId="336" applyNumberFormat="1" applyFont="1" applyFill="1" applyBorder="1" applyAlignment="1">
      <alignment horizontal="center" vertical="center" wrapText="1"/>
    </xf>
    <xf numFmtId="0" fontId="22" fillId="55" borderId="36" xfId="0" applyFont="1" applyFill="1" applyBorder="1" applyAlignment="1">
      <alignment horizontal="left"/>
    </xf>
    <xf numFmtId="0" fontId="121" fillId="55" borderId="0" xfId="358" applyFont="1" applyFill="1" applyAlignment="1">
      <alignment horizontal="center"/>
      <protection/>
    </xf>
    <xf numFmtId="0" fontId="105" fillId="55" borderId="0" xfId="358" applyFont="1" applyFill="1" applyAlignment="1">
      <alignment horizontal="center" vertical="center"/>
      <protection/>
    </xf>
    <xf numFmtId="0" fontId="37" fillId="55" borderId="0" xfId="362" applyFont="1" applyFill="1" applyBorder="1" applyAlignment="1">
      <alignment horizontal="center" vertical="center"/>
      <protection/>
    </xf>
    <xf numFmtId="0" fontId="38" fillId="55" borderId="0" xfId="362" applyFont="1" applyFill="1">
      <alignment/>
      <protection/>
    </xf>
    <xf numFmtId="0" fontId="38" fillId="55" borderId="0" xfId="362" applyFont="1" applyFill="1" applyBorder="1">
      <alignment/>
      <protection/>
    </xf>
    <xf numFmtId="0" fontId="38" fillId="55" borderId="0" xfId="362" applyFont="1" applyFill="1" applyBorder="1" applyAlignment="1">
      <alignment horizontal="left" vertical="top" wrapText="1"/>
      <protection/>
    </xf>
    <xf numFmtId="16" fontId="106" fillId="55" borderId="0" xfId="0" applyNumberFormat="1" applyFont="1" applyFill="1" applyAlignment="1">
      <alignment/>
    </xf>
    <xf numFmtId="164" fontId="122" fillId="55" borderId="36" xfId="336" applyNumberFormat="1" applyFont="1" applyFill="1" applyBorder="1" applyAlignment="1">
      <alignment horizontal="center" vertical="center" wrapText="1"/>
    </xf>
    <xf numFmtId="0" fontId="119" fillId="55" borderId="0" xfId="362" applyNumberFormat="1" applyFont="1" applyFill="1">
      <alignment/>
      <protection/>
    </xf>
    <xf numFmtId="0" fontId="106" fillId="55" borderId="35" xfId="0" applyFont="1" applyFill="1" applyBorder="1" applyAlignment="1">
      <alignment horizontal="left" vertical="center" wrapText="1"/>
    </xf>
    <xf numFmtId="3" fontId="105" fillId="55" borderId="28" xfId="0" applyNumberFormat="1" applyFont="1" applyFill="1" applyBorder="1" applyAlignment="1" quotePrefix="1">
      <alignment horizontal="center" vertical="center" wrapText="1"/>
    </xf>
    <xf numFmtId="3" fontId="105" fillId="55" borderId="21" xfId="0" applyNumberFormat="1" applyFont="1" applyFill="1" applyBorder="1" applyAlignment="1" quotePrefix="1">
      <alignment horizontal="center" vertical="center" wrapText="1"/>
    </xf>
    <xf numFmtId="171" fontId="105" fillId="55" borderId="21" xfId="0" applyNumberFormat="1" applyFont="1" applyFill="1" applyBorder="1" applyAlignment="1">
      <alignment horizontal="center" vertical="center" wrapText="1"/>
    </xf>
    <xf numFmtId="3" fontId="105" fillId="55" borderId="21" xfId="0" applyNumberFormat="1" applyFont="1" applyFill="1" applyBorder="1" applyAlignment="1">
      <alignment horizontal="center" vertical="center" wrapText="1"/>
    </xf>
    <xf numFmtId="171" fontId="105" fillId="55" borderId="29" xfId="0" applyNumberFormat="1" applyFont="1" applyFill="1" applyBorder="1" applyAlignment="1">
      <alignment horizontal="center" vertical="center" wrapText="1"/>
    </xf>
    <xf numFmtId="0" fontId="123" fillId="55" borderId="0" xfId="0" applyFont="1" applyFill="1" applyAlignment="1">
      <alignment/>
    </xf>
    <xf numFmtId="171" fontId="34" fillId="55" borderId="0" xfId="305" applyNumberFormat="1" applyFont="1" applyFill="1" applyBorder="1" applyAlignment="1">
      <alignment horizontal="center" vertical="center"/>
    </xf>
    <xf numFmtId="3" fontId="34"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6" fillId="55" borderId="0" xfId="0" applyFont="1" applyFill="1" applyAlignment="1">
      <alignment/>
    </xf>
    <xf numFmtId="171" fontId="106" fillId="55" borderId="25" xfId="0" applyNumberFormat="1" applyFont="1" applyFill="1" applyBorder="1" applyAlignment="1">
      <alignment horizontal="righ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1" fontId="106" fillId="55" borderId="27" xfId="0" applyNumberFormat="1" applyFont="1" applyFill="1" applyBorder="1" applyAlignment="1">
      <alignment horizontal="righ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0" fontId="106" fillId="55" borderId="0" xfId="0" applyFont="1" applyFill="1" applyBorder="1" applyAlignment="1">
      <alignment/>
    </xf>
    <xf numFmtId="171" fontId="106" fillId="55" borderId="0" xfId="0" applyNumberFormat="1" applyFont="1" applyFill="1" applyBorder="1" applyAlignment="1">
      <alignment horizontal="right"/>
    </xf>
    <xf numFmtId="0" fontId="105" fillId="55" borderId="28" xfId="0" applyFont="1" applyFill="1" applyBorder="1" applyAlignment="1">
      <alignment/>
    </xf>
    <xf numFmtId="0" fontId="105" fillId="55" borderId="29" xfId="0" applyFont="1" applyFill="1" applyBorder="1" applyAlignment="1">
      <alignment/>
    </xf>
    <xf numFmtId="0" fontId="24" fillId="55" borderId="0" xfId="366" applyFont="1" applyFill="1" applyBorder="1" applyAlignment="1">
      <alignment vertical="center" wrapText="1"/>
      <protection/>
    </xf>
    <xf numFmtId="0" fontId="106" fillId="55" borderId="35"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24" fillId="55" borderId="0" xfId="362" applyFont="1" applyFill="1" applyBorder="1" applyAlignment="1">
      <alignment horizontal="center"/>
      <protection/>
    </xf>
    <xf numFmtId="0" fontId="106" fillId="55" borderId="35" xfId="0" applyFont="1" applyFill="1" applyBorder="1" applyAlignment="1">
      <alignment horizontal="left" vertical="center" wrapText="1"/>
    </xf>
    <xf numFmtId="9" fontId="119" fillId="55" borderId="0" xfId="382" applyFont="1" applyFill="1" applyAlignment="1">
      <alignment/>
    </xf>
    <xf numFmtId="3" fontId="0" fillId="0" borderId="0" xfId="0" applyNumberFormat="1" applyAlignment="1">
      <alignment/>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1" fontId="2" fillId="55" borderId="0" xfId="362" applyNumberFormat="1" applyFont="1" applyFill="1">
      <alignment/>
      <protection/>
    </xf>
    <xf numFmtId="0" fontId="2" fillId="55" borderId="0" xfId="362" applyFont="1" applyFill="1" applyBorder="1" applyAlignment="1">
      <alignment vertical="center" wrapText="1"/>
      <protection/>
    </xf>
    <xf numFmtId="0" fontId="2" fillId="55" borderId="0" xfId="0" applyFont="1" applyFill="1" applyBorder="1" applyAlignment="1">
      <alignment horizontal="left" vertical="center" wrapText="1"/>
    </xf>
    <xf numFmtId="0" fontId="119" fillId="55" borderId="0" xfId="0" applyFont="1" applyFill="1" applyBorder="1" applyAlignment="1">
      <alignment horizontal="left" vertical="center" wrapText="1"/>
    </xf>
    <xf numFmtId="0" fontId="7" fillId="55" borderId="0" xfId="0" applyFont="1" applyFill="1" applyAlignment="1">
      <alignment/>
    </xf>
    <xf numFmtId="0" fontId="34" fillId="55" borderId="0" xfId="362" applyFont="1" applyFill="1">
      <alignment/>
      <protection/>
    </xf>
    <xf numFmtId="3" fontId="119" fillId="55" borderId="0" xfId="362" applyNumberFormat="1" applyFont="1" applyFill="1" applyBorder="1" applyAlignment="1">
      <alignment horizontal="center"/>
      <protection/>
    </xf>
    <xf numFmtId="0" fontId="125" fillId="55" borderId="0" xfId="362" applyFont="1" applyFill="1">
      <alignment/>
      <protection/>
    </xf>
    <xf numFmtId="177" fontId="125" fillId="55" borderId="0" xfId="382" applyNumberFormat="1" applyFont="1" applyFill="1" applyAlignment="1">
      <alignment/>
    </xf>
    <xf numFmtId="0" fontId="119" fillId="55" borderId="0" xfId="362" applyFont="1" applyFill="1" applyAlignment="1">
      <alignment horizontal="center"/>
      <protection/>
    </xf>
    <xf numFmtId="3" fontId="125" fillId="55" borderId="0" xfId="362" applyNumberFormat="1" applyFont="1" applyFill="1" applyBorder="1" applyAlignment="1">
      <alignment horizontal="center"/>
      <protection/>
    </xf>
    <xf numFmtId="3" fontId="119" fillId="55" borderId="0" xfId="362" applyNumberFormat="1" applyFont="1" applyFill="1">
      <alignment/>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0" xfId="362" applyNumberFormat="1" applyFont="1" applyFill="1" applyBorder="1" applyAlignment="1">
      <alignment/>
      <protection/>
    </xf>
    <xf numFmtId="0" fontId="119" fillId="55" borderId="0" xfId="362" applyFont="1" applyFill="1" applyAlignment="1">
      <alignment wrapText="1"/>
      <protection/>
    </xf>
    <xf numFmtId="177" fontId="119" fillId="55" borderId="0" xfId="382" applyNumberFormat="1" applyFont="1" applyFill="1" applyAlignment="1">
      <alignment wrapText="1"/>
    </xf>
    <xf numFmtId="177" fontId="119" fillId="55" borderId="0" xfId="362" applyNumberFormat="1" applyFont="1" applyFill="1" applyAlignment="1">
      <alignment wrapText="1"/>
      <protection/>
    </xf>
    <xf numFmtId="0" fontId="2" fillId="55" borderId="0" xfId="362" applyFont="1" applyFill="1" applyAlignment="1">
      <alignment/>
      <protection/>
    </xf>
    <xf numFmtId="0" fontId="34" fillId="55" borderId="0" xfId="362" applyFont="1" applyFill="1" applyAlignment="1">
      <alignment/>
      <protection/>
    </xf>
    <xf numFmtId="0" fontId="119" fillId="55" borderId="0" xfId="362" applyFont="1" applyFill="1" applyBorder="1">
      <alignment/>
      <protection/>
    </xf>
    <xf numFmtId="0" fontId="124" fillId="55" borderId="0" xfId="362" applyFont="1" applyFill="1" applyBorder="1" applyAlignment="1">
      <alignment horizontal="center" vertical="center" wrapText="1"/>
      <protection/>
    </xf>
    <xf numFmtId="171" fontId="119" fillId="55" borderId="0" xfId="362" applyNumberFormat="1" applyFont="1" applyFill="1" applyBorder="1">
      <alignment/>
      <protection/>
    </xf>
    <xf numFmtId="0" fontId="22" fillId="55" borderId="43" xfId="362" applyFont="1" applyFill="1" applyBorder="1" applyAlignment="1">
      <alignment horizontal="center"/>
      <protection/>
    </xf>
    <xf numFmtId="165" fontId="34" fillId="55" borderId="36" xfId="336" applyNumberFormat="1" applyFont="1" applyFill="1" applyBorder="1" applyAlignment="1">
      <alignment horizontal="center" vertical="center" wrapText="1"/>
    </xf>
    <xf numFmtId="165" fontId="2" fillId="55" borderId="0" xfId="336" applyNumberFormat="1" applyFont="1" applyFill="1" applyBorder="1" applyAlignment="1">
      <alignment horizontal="center" vertical="center" wrapText="1"/>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3" fontId="2" fillId="0" borderId="0" xfId="362" applyNumberFormat="1" applyFont="1" applyFill="1" applyBorder="1" applyAlignment="1">
      <alignment horizontal="center" vertical="center"/>
      <protection/>
    </xf>
    <xf numFmtId="171" fontId="106" fillId="55" borderId="31" xfId="0" applyNumberFormat="1" applyFont="1" applyFill="1" applyBorder="1" applyAlignment="1">
      <alignment horizontal="center"/>
    </xf>
    <xf numFmtId="3" fontId="106" fillId="55" borderId="44" xfId="0" applyNumberFormat="1" applyFont="1" applyFill="1" applyBorder="1" applyAlignment="1">
      <alignment horizontal="center"/>
    </xf>
    <xf numFmtId="3" fontId="2" fillId="0" borderId="24" xfId="362" applyNumberFormat="1" applyFont="1" applyFill="1" applyBorder="1" applyAlignment="1">
      <alignment horizontal="center" vertical="center"/>
      <protection/>
    </xf>
    <xf numFmtId="171" fontId="106" fillId="55" borderId="33" xfId="0" applyNumberFormat="1" applyFont="1" applyFill="1" applyBorder="1" applyAlignment="1">
      <alignment horizontal="center"/>
    </xf>
    <xf numFmtId="171" fontId="106" fillId="55" borderId="45" xfId="0" applyNumberFormat="1" applyFont="1" applyFill="1" applyBorder="1" applyAlignment="1">
      <alignment horizontal="center"/>
    </xf>
    <xf numFmtId="3" fontId="106" fillId="55" borderId="46" xfId="0" applyNumberFormat="1" applyFont="1" applyFill="1" applyBorder="1" applyAlignment="1">
      <alignment horizontal="center"/>
    </xf>
    <xf numFmtId="171" fontId="106" fillId="55" borderId="47" xfId="0" applyNumberFormat="1" applyFont="1" applyFill="1" applyBorder="1" applyAlignment="1">
      <alignment horizontal="center"/>
    </xf>
    <xf numFmtId="3" fontId="106" fillId="55" borderId="48" xfId="0" applyNumberFormat="1" applyFont="1" applyFill="1" applyBorder="1" applyAlignment="1">
      <alignment horizontal="center"/>
    </xf>
    <xf numFmtId="3" fontId="2" fillId="0" borderId="22" xfId="362" applyNumberFormat="1" applyFont="1" applyFill="1" applyBorder="1" applyAlignment="1">
      <alignment horizontal="center" vertical="center"/>
      <protection/>
    </xf>
    <xf numFmtId="171" fontId="106" fillId="55" borderId="49" xfId="0" applyNumberFormat="1" applyFont="1" applyFill="1" applyBorder="1" applyAlignment="1">
      <alignment horizontal="center"/>
    </xf>
    <xf numFmtId="171" fontId="106" fillId="55" borderId="50" xfId="0" applyNumberFormat="1" applyFont="1" applyFill="1" applyBorder="1" applyAlignment="1">
      <alignment horizontal="center"/>
    </xf>
    <xf numFmtId="3" fontId="106" fillId="55" borderId="33" xfId="0" applyNumberFormat="1" applyFont="1" applyFill="1" applyBorder="1" applyAlignment="1">
      <alignment horizontal="center"/>
    </xf>
    <xf numFmtId="3" fontId="106" fillId="55" borderId="49" xfId="0" applyNumberFormat="1" applyFont="1" applyFill="1" applyBorder="1" applyAlignment="1">
      <alignment horizontal="center"/>
    </xf>
    <xf numFmtId="3" fontId="105" fillId="55" borderId="44" xfId="0" applyNumberFormat="1" applyFont="1" applyFill="1" applyBorder="1" applyAlignment="1">
      <alignment horizontal="center"/>
    </xf>
    <xf numFmtId="3" fontId="105" fillId="55" borderId="33" xfId="0" applyNumberFormat="1" applyFont="1" applyFill="1" applyBorder="1" applyAlignment="1">
      <alignment horizontal="center"/>
    </xf>
    <xf numFmtId="3" fontId="105" fillId="55" borderId="45" xfId="0" applyNumberFormat="1" applyFont="1" applyFill="1" applyBorder="1" applyAlignment="1">
      <alignment horizontal="center"/>
    </xf>
    <xf numFmtId="3" fontId="105" fillId="55" borderId="48" xfId="0" applyNumberFormat="1" applyFont="1" applyFill="1" applyBorder="1" applyAlignment="1">
      <alignment horizontal="center"/>
    </xf>
    <xf numFmtId="3" fontId="105" fillId="55" borderId="49" xfId="0" applyNumberFormat="1" applyFont="1" applyFill="1" applyBorder="1" applyAlignment="1">
      <alignment horizontal="center"/>
    </xf>
    <xf numFmtId="171" fontId="105" fillId="55" borderId="50" xfId="0" applyNumberFormat="1" applyFont="1" applyFill="1" applyBorder="1" applyAlignment="1">
      <alignment horizontal="center"/>
    </xf>
    <xf numFmtId="0" fontId="106" fillId="55" borderId="51" xfId="0" applyNumberFormat="1" applyFont="1" applyFill="1" applyBorder="1" applyAlignment="1">
      <alignment horizontal="left"/>
    </xf>
    <xf numFmtId="0" fontId="106" fillId="55" borderId="52" xfId="0" applyNumberFormat="1" applyFont="1" applyFill="1" applyBorder="1" applyAlignment="1">
      <alignment horizontal="left"/>
    </xf>
    <xf numFmtId="0" fontId="106" fillId="55" borderId="53" xfId="0" applyNumberFormat="1" applyFont="1" applyFill="1" applyBorder="1" applyAlignment="1">
      <alignment horizontal="left"/>
    </xf>
    <xf numFmtId="0" fontId="105" fillId="55" borderId="51" xfId="0" applyNumberFormat="1" applyFont="1" applyFill="1" applyBorder="1" applyAlignment="1">
      <alignment horizontal="left"/>
    </xf>
    <xf numFmtId="0" fontId="105" fillId="55" borderId="53" xfId="0" applyNumberFormat="1" applyFont="1" applyFill="1" applyBorder="1" applyAlignment="1">
      <alignment horizontal="left"/>
    </xf>
    <xf numFmtId="41" fontId="106" fillId="55" borderId="0" xfId="301" applyFont="1" applyFill="1" applyAlignment="1">
      <alignment horizontal="center"/>
    </xf>
    <xf numFmtId="9" fontId="119" fillId="55" borderId="0" xfId="382" applyFont="1" applyFill="1" applyAlignment="1">
      <alignment horizontal="center"/>
    </xf>
    <xf numFmtId="0" fontId="2" fillId="0" borderId="0" xfId="362" applyFont="1" applyFill="1" applyAlignment="1">
      <alignment horizontal="center"/>
      <protection/>
    </xf>
    <xf numFmtId="3" fontId="106" fillId="55" borderId="54" xfId="0" applyNumberFormat="1" applyFont="1" applyFill="1" applyBorder="1" applyAlignment="1">
      <alignment/>
    </xf>
    <xf numFmtId="3" fontId="106" fillId="55" borderId="55" xfId="0" applyNumberFormat="1" applyFont="1" applyFill="1" applyBorder="1" applyAlignment="1">
      <alignment/>
    </xf>
    <xf numFmtId="171" fontId="106" fillId="55" borderId="56" xfId="0" applyNumberFormat="1" applyFont="1" applyFill="1" applyBorder="1" applyAlignment="1">
      <alignment horizontal="right"/>
    </xf>
    <xf numFmtId="0" fontId="106" fillId="55" borderId="57" xfId="0" applyFont="1" applyFill="1" applyBorder="1" applyAlignment="1">
      <alignment/>
    </xf>
    <xf numFmtId="3" fontId="106" fillId="55" borderId="57" xfId="0" applyNumberFormat="1" applyFont="1" applyFill="1" applyBorder="1" applyAlignment="1">
      <alignment/>
    </xf>
    <xf numFmtId="3" fontId="106" fillId="55" borderId="58" xfId="0" applyNumberFormat="1" applyFont="1" applyFill="1" applyBorder="1" applyAlignment="1">
      <alignment/>
    </xf>
    <xf numFmtId="171" fontId="106" fillId="55" borderId="59" xfId="0" applyNumberFormat="1" applyFont="1" applyFill="1" applyBorder="1" applyAlignment="1">
      <alignment horizontal="right"/>
    </xf>
    <xf numFmtId="41" fontId="2" fillId="55" borderId="0" xfId="301" applyFont="1" applyFill="1" applyAlignment="1">
      <alignment/>
    </xf>
    <xf numFmtId="9" fontId="2" fillId="55" borderId="0" xfId="382" applyFont="1" applyFill="1" applyAlignment="1">
      <alignment horizontal="center"/>
    </xf>
    <xf numFmtId="0" fontId="2" fillId="55" borderId="0" xfId="362" applyFont="1" applyFill="1" applyAlignment="1">
      <alignment horizontal="center"/>
      <protection/>
    </xf>
    <xf numFmtId="0" fontId="24" fillId="55" borderId="0" xfId="362" applyFont="1" applyFill="1" applyAlignment="1">
      <alignment wrapText="1"/>
      <protection/>
    </xf>
    <xf numFmtId="0" fontId="106" fillId="55" borderId="58" xfId="0" applyNumberFormat="1" applyFont="1" applyFill="1" applyBorder="1" applyAlignment="1">
      <alignment/>
    </xf>
    <xf numFmtId="0" fontId="26" fillId="55" borderId="0" xfId="0" applyFont="1" applyFill="1" applyBorder="1" applyAlignment="1">
      <alignment horizontal="left"/>
    </xf>
    <xf numFmtId="3" fontId="106" fillId="0" borderId="41" xfId="0" applyNumberFormat="1" applyFont="1" applyFill="1" applyBorder="1" applyAlignment="1">
      <alignment horizontal="center"/>
    </xf>
    <xf numFmtId="3" fontId="106" fillId="0" borderId="38" xfId="0" applyNumberFormat="1" applyFont="1" applyFill="1" applyBorder="1" applyAlignment="1">
      <alignment horizontal="center"/>
    </xf>
    <xf numFmtId="165" fontId="33" fillId="55" borderId="36" xfId="336" applyNumberFormat="1" applyFont="1" applyFill="1" applyBorder="1" applyAlignment="1">
      <alignment horizontal="right" vertical="center" wrapText="1"/>
    </xf>
    <xf numFmtId="0" fontId="106" fillId="55" borderId="58" xfId="0" applyFont="1" applyFill="1" applyBorder="1" applyAlignment="1">
      <alignment/>
    </xf>
    <xf numFmtId="0" fontId="2" fillId="0" borderId="0" xfId="362" applyFont="1" applyFill="1">
      <alignment/>
      <protection/>
    </xf>
    <xf numFmtId="0" fontId="2" fillId="55" borderId="26" xfId="366" applyFont="1" applyFill="1" applyBorder="1">
      <alignment/>
      <protection/>
    </xf>
    <xf numFmtId="0" fontId="2" fillId="55" borderId="0" xfId="366" applyFont="1" applyFill="1" applyBorder="1">
      <alignment/>
      <protection/>
    </xf>
    <xf numFmtId="0" fontId="2" fillId="55" borderId="27" xfId="366" applyFont="1" applyFill="1" applyBorder="1">
      <alignment/>
      <protection/>
    </xf>
    <xf numFmtId="0" fontId="126" fillId="55" borderId="0" xfId="286" applyFont="1" applyFill="1" applyAlignment="1">
      <alignment/>
    </xf>
    <xf numFmtId="9" fontId="118" fillId="55" borderId="0" xfId="382" applyFont="1" applyFill="1" applyAlignment="1">
      <alignment horizontal="center"/>
    </xf>
    <xf numFmtId="177" fontId="118" fillId="55" borderId="0" xfId="382" applyNumberFormat="1" applyFont="1" applyFill="1" applyAlignment="1">
      <alignment/>
    </xf>
    <xf numFmtId="0" fontId="83" fillId="0" borderId="0" xfId="0" applyFont="1" applyAlignment="1">
      <alignment/>
    </xf>
    <xf numFmtId="0" fontId="118" fillId="55" borderId="0" xfId="362" applyFont="1" applyFill="1" applyAlignment="1">
      <alignment horizontal="center"/>
      <protection/>
    </xf>
    <xf numFmtId="0" fontId="127" fillId="55" borderId="0" xfId="362" applyFont="1" applyFill="1" applyBorder="1" applyAlignment="1">
      <alignment horizontal="center"/>
      <protection/>
    </xf>
    <xf numFmtId="0" fontId="118" fillId="55" borderId="0" xfId="362" applyFont="1" applyFill="1" applyBorder="1">
      <alignment/>
      <protection/>
    </xf>
    <xf numFmtId="0" fontId="127" fillId="55" borderId="0" xfId="362" applyFont="1" applyFill="1" applyBorder="1" applyAlignment="1">
      <alignment horizontal="center" vertical="center" wrapText="1"/>
      <protection/>
    </xf>
    <xf numFmtId="0" fontId="106" fillId="55" borderId="55" xfId="0" applyFont="1" applyFill="1" applyBorder="1" applyAlignment="1">
      <alignment/>
    </xf>
    <xf numFmtId="171" fontId="22" fillId="0" borderId="20" xfId="351" applyNumberFormat="1" applyFont="1" applyFill="1" applyBorder="1" applyAlignment="1">
      <alignment horizontal="center" vertical="center" wrapText="1"/>
      <protection/>
    </xf>
    <xf numFmtId="164" fontId="122" fillId="0" borderId="36" xfId="336" applyNumberFormat="1" applyFont="1" applyFill="1" applyBorder="1" applyAlignment="1">
      <alignment horizontal="center" vertical="center" wrapText="1"/>
    </xf>
    <xf numFmtId="0" fontId="106" fillId="55" borderId="24" xfId="0" applyFont="1" applyFill="1" applyBorder="1" applyAlignment="1">
      <alignment vertical="center"/>
    </xf>
    <xf numFmtId="3" fontId="106" fillId="55" borderId="23" xfId="0" applyNumberFormat="1" applyFont="1" applyFill="1" applyBorder="1" applyAlignment="1">
      <alignment vertical="center"/>
    </xf>
    <xf numFmtId="3" fontId="106" fillId="55" borderId="24" xfId="0" applyNumberFormat="1" applyFont="1" applyFill="1" applyBorder="1" applyAlignment="1">
      <alignment vertical="center"/>
    </xf>
    <xf numFmtId="171" fontId="106" fillId="55" borderId="25" xfId="0" applyNumberFormat="1" applyFont="1" applyFill="1" applyBorder="1" applyAlignment="1">
      <alignment horizontal="right" vertical="center"/>
    </xf>
    <xf numFmtId="9" fontId="118" fillId="55" borderId="0" xfId="382" applyFont="1" applyFill="1" applyAlignment="1">
      <alignment/>
    </xf>
    <xf numFmtId="0" fontId="118" fillId="55" borderId="0" xfId="0" applyFont="1" applyFill="1" applyAlignment="1">
      <alignment/>
    </xf>
    <xf numFmtId="0" fontId="127" fillId="55" borderId="0" xfId="0" applyFont="1" applyFill="1" applyBorder="1" applyAlignment="1">
      <alignment horizontal="center" vertical="center" wrapText="1"/>
    </xf>
    <xf numFmtId="177" fontId="118" fillId="55" borderId="0" xfId="382" applyNumberFormat="1" applyFont="1" applyFill="1" applyAlignment="1">
      <alignment horizontal="center"/>
    </xf>
    <xf numFmtId="0" fontId="118" fillId="55" borderId="0" xfId="0" applyFont="1" applyFill="1" applyAlignment="1">
      <alignment horizontal="right"/>
    </xf>
    <xf numFmtId="3" fontId="118" fillId="55" borderId="0" xfId="0" applyNumberFormat="1" applyFont="1" applyFill="1" applyAlignment="1">
      <alignment horizontal="center"/>
    </xf>
    <xf numFmtId="9" fontId="118" fillId="55" borderId="0" xfId="0" applyNumberFormat="1" applyFont="1" applyFill="1" applyAlignment="1">
      <alignment horizontal="center"/>
    </xf>
    <xf numFmtId="0" fontId="118" fillId="55" borderId="0" xfId="0" applyFont="1" applyFill="1" applyAlignment="1">
      <alignment horizontal="center"/>
    </xf>
    <xf numFmtId="0" fontId="128" fillId="55" borderId="0" xfId="286" applyFont="1" applyFill="1" applyAlignment="1">
      <alignment/>
    </xf>
    <xf numFmtId="0" fontId="127" fillId="55" borderId="0" xfId="0" applyFont="1" applyFill="1" applyAlignment="1">
      <alignment horizontal="center" vertical="center" wrapText="1"/>
    </xf>
    <xf numFmtId="3" fontId="118" fillId="55" borderId="0" xfId="0" applyNumberFormat="1" applyFont="1" applyFill="1" applyAlignment="1">
      <alignment/>
    </xf>
    <xf numFmtId="179" fontId="118" fillId="55" borderId="0" xfId="300" applyNumberFormat="1" applyFont="1" applyFill="1" applyAlignment="1">
      <alignment horizontal="center"/>
    </xf>
    <xf numFmtId="177" fontId="127" fillId="55" borderId="0" xfId="0" applyNumberFormat="1" applyFont="1" applyFill="1" applyAlignment="1">
      <alignment horizontal="center"/>
    </xf>
    <xf numFmtId="43" fontId="118" fillId="55" borderId="0" xfId="300" applyFont="1" applyFill="1" applyAlignment="1">
      <alignment/>
    </xf>
    <xf numFmtId="0" fontId="127" fillId="56" borderId="0" xfId="0" applyFont="1" applyFill="1" applyBorder="1" applyAlignment="1">
      <alignment horizontal="center" vertical="center"/>
    </xf>
    <xf numFmtId="0" fontId="127" fillId="55" borderId="0" xfId="0" applyFont="1" applyFill="1" applyAlignment="1">
      <alignment horizontal="right"/>
    </xf>
    <xf numFmtId="0" fontId="127" fillId="55" borderId="0" xfId="0" applyFont="1" applyFill="1" applyAlignment="1">
      <alignment horizontal="center" vertical="center"/>
    </xf>
    <xf numFmtId="0" fontId="83" fillId="55" borderId="0" xfId="0" applyFont="1" applyFill="1" applyAlignment="1">
      <alignment/>
    </xf>
    <xf numFmtId="9" fontId="83" fillId="55" borderId="0" xfId="382" applyFont="1" applyFill="1" applyAlignment="1">
      <alignment vertical="center"/>
    </xf>
    <xf numFmtId="3" fontId="118" fillId="55" borderId="0" xfId="0" applyNumberFormat="1" applyFont="1" applyFill="1" applyAlignment="1">
      <alignment vertical="center"/>
    </xf>
    <xf numFmtId="43" fontId="118" fillId="55" borderId="0" xfId="300" applyFont="1" applyFill="1" applyAlignment="1">
      <alignment vertical="center"/>
    </xf>
    <xf numFmtId="1" fontId="83" fillId="55" borderId="0" xfId="0" applyNumberFormat="1" applyFont="1" applyFill="1" applyAlignment="1">
      <alignment vertical="center"/>
    </xf>
    <xf numFmtId="9" fontId="83" fillId="55" borderId="0" xfId="382" applyFont="1" applyFill="1" applyAlignment="1">
      <alignment horizontal="center" vertical="center"/>
    </xf>
    <xf numFmtId="0" fontId="83" fillId="55" borderId="0" xfId="0" applyFont="1" applyFill="1" applyAlignment="1">
      <alignment vertical="center"/>
    </xf>
    <xf numFmtId="0" fontId="118" fillId="55" borderId="0" xfId="0" applyFont="1" applyFill="1" applyAlignment="1">
      <alignment vertical="center"/>
    </xf>
    <xf numFmtId="17" fontId="121" fillId="55" borderId="0" xfId="0" applyNumberFormat="1" applyFont="1" applyFill="1" applyAlignment="1" quotePrefix="1">
      <alignment horizontal="center"/>
    </xf>
    <xf numFmtId="0" fontId="121" fillId="55" borderId="0" xfId="0" applyFont="1" applyFill="1" applyAlignment="1">
      <alignment horizontal="center"/>
    </xf>
    <xf numFmtId="0" fontId="38" fillId="55" borderId="0" xfId="362" applyFont="1" applyFill="1" applyBorder="1" applyAlignment="1">
      <alignment horizontal="left" vertical="top" wrapText="1" indent="3"/>
      <protection/>
    </xf>
    <xf numFmtId="0" fontId="37" fillId="55" borderId="0" xfId="362" applyFont="1" applyFill="1" applyBorder="1" applyAlignment="1">
      <alignment horizontal="center" vertical="center"/>
      <protection/>
    </xf>
    <xf numFmtId="0" fontId="38"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3" xfId="366" applyFont="1" applyFill="1" applyBorder="1" applyAlignment="1">
      <alignment horizontal="center" vertical="center"/>
      <protection/>
    </xf>
    <xf numFmtId="0" fontId="22" fillId="55" borderId="24" xfId="366" applyFont="1" applyFill="1" applyBorder="1" applyAlignment="1">
      <alignment horizontal="center" vertical="center"/>
      <protection/>
    </xf>
    <xf numFmtId="0" fontId="22" fillId="55" borderId="25" xfId="366" applyFont="1" applyFill="1" applyBorder="1" applyAlignment="1">
      <alignment horizontal="center" vertical="center"/>
      <protection/>
    </xf>
    <xf numFmtId="0" fontId="2" fillId="55" borderId="26"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7" xfId="366" applyFont="1" applyFill="1" applyBorder="1" applyAlignment="1">
      <alignment horizontal="left" vertical="top" wrapText="1"/>
      <protection/>
    </xf>
    <xf numFmtId="0" fontId="2" fillId="55" borderId="37" xfId="366" applyFont="1" applyFill="1" applyBorder="1" applyAlignment="1">
      <alignment horizontal="left" vertical="top" wrapText="1"/>
      <protection/>
    </xf>
    <xf numFmtId="0" fontId="2" fillId="55" borderId="22" xfId="366" applyFont="1" applyFill="1" applyBorder="1" applyAlignment="1">
      <alignment horizontal="left" vertical="top" wrapText="1"/>
      <protection/>
    </xf>
    <xf numFmtId="0" fontId="2" fillId="55" borderId="38" xfId="366" applyFont="1" applyFill="1" applyBorder="1" applyAlignment="1">
      <alignment horizontal="left" vertical="top" wrapText="1"/>
      <protection/>
    </xf>
    <xf numFmtId="0" fontId="2" fillId="55" borderId="30"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 fillId="55" borderId="24" xfId="0" applyFont="1" applyFill="1" applyBorder="1" applyAlignment="1">
      <alignment horizontal="left" vertical="center" wrapText="1"/>
    </xf>
    <xf numFmtId="0" fontId="2" fillId="55" borderId="24"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5" xfId="362" applyFont="1" applyFill="1" applyBorder="1" applyAlignment="1">
      <alignment horizontal="center" vertical="center"/>
      <protection/>
    </xf>
    <xf numFmtId="0" fontId="22" fillId="55" borderId="60"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0" fontId="105" fillId="56" borderId="36" xfId="0" applyFont="1" applyFill="1" applyBorder="1" applyAlignment="1">
      <alignment horizontal="center"/>
    </xf>
    <xf numFmtId="0" fontId="24" fillId="55" borderId="0" xfId="366" applyFont="1" applyFill="1" applyAlignment="1">
      <alignment horizontal="left" wrapText="1"/>
      <protection/>
    </xf>
    <xf numFmtId="0" fontId="22" fillId="55" borderId="0" xfId="366" applyFont="1" applyFill="1" applyBorder="1" applyAlignment="1">
      <alignment horizontal="center"/>
      <protection/>
    </xf>
    <xf numFmtId="0" fontId="22" fillId="55" borderId="3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24" xfId="362" applyFont="1" applyFill="1" applyBorder="1" applyAlignment="1">
      <alignment horizontal="left" vertical="center" wrapText="1"/>
      <protection/>
    </xf>
    <xf numFmtId="0" fontId="2" fillId="55" borderId="24" xfId="362" applyFont="1" applyFill="1" applyBorder="1" applyAlignment="1">
      <alignment horizontal="left" vertic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 fillId="55" borderId="24" xfId="362" applyNumberFormat="1" applyFont="1" applyFill="1" applyBorder="1" applyAlignment="1">
      <alignment horizontal="left" vertical="center" wrapText="1"/>
      <protection/>
    </xf>
    <xf numFmtId="0" fontId="2" fillId="55" borderId="24" xfId="362" applyNumberFormat="1" applyFont="1" applyFill="1" applyBorder="1" applyAlignment="1">
      <alignment horizontal="left" vertical="center"/>
      <protection/>
    </xf>
    <xf numFmtId="173" fontId="22" fillId="55" borderId="60" xfId="300" applyNumberFormat="1" applyFont="1" applyFill="1" applyBorder="1" applyAlignment="1">
      <alignment horizontal="center" vertical="center"/>
    </xf>
    <xf numFmtId="173" fontId="22" fillId="55" borderId="42" xfId="300" applyNumberFormat="1" applyFont="1" applyFill="1" applyBorder="1" applyAlignment="1">
      <alignment horizontal="center" vertical="center"/>
    </xf>
    <xf numFmtId="0" fontId="127" fillId="57" borderId="28" xfId="0" applyFont="1" applyFill="1" applyBorder="1" applyAlignment="1">
      <alignment horizontal="center" wrapText="1"/>
    </xf>
    <xf numFmtId="0" fontId="127" fillId="57" borderId="21" xfId="0" applyFont="1" applyFill="1" applyBorder="1" applyAlignment="1">
      <alignment horizontal="center" wrapText="1"/>
    </xf>
    <xf numFmtId="0" fontId="127" fillId="57" borderId="29"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28" xfId="0" applyFont="1" applyFill="1" applyBorder="1" applyAlignment="1">
      <alignment horizontal="center"/>
    </xf>
    <xf numFmtId="0" fontId="22" fillId="55" borderId="21" xfId="0" applyFont="1" applyFill="1" applyBorder="1" applyAlignment="1">
      <alignment horizontal="center"/>
    </xf>
    <xf numFmtId="0" fontId="22" fillId="55" borderId="29" xfId="0" applyFont="1" applyFill="1" applyBorder="1" applyAlignment="1">
      <alignment horizontal="center"/>
    </xf>
    <xf numFmtId="0" fontId="106" fillId="55" borderId="0" xfId="0" applyFont="1" applyFill="1" applyBorder="1" applyAlignment="1">
      <alignment horizontal="left"/>
    </xf>
    <xf numFmtId="0" fontId="106" fillId="55" borderId="0" xfId="0" applyFont="1" applyFill="1" applyBorder="1" applyAlignment="1">
      <alignment horizontal="left" wrapText="1"/>
    </xf>
    <xf numFmtId="0" fontId="106" fillId="55" borderId="36" xfId="0" applyFont="1" applyFill="1" applyBorder="1" applyAlignment="1">
      <alignment horizontal="left" vertical="center" wrapText="1"/>
    </xf>
    <xf numFmtId="0" fontId="105" fillId="55" borderId="0" xfId="0" applyFont="1" applyFill="1" applyBorder="1" applyAlignment="1">
      <alignment horizontal="center"/>
    </xf>
    <xf numFmtId="0" fontId="105" fillId="55" borderId="28" xfId="0" applyFont="1" applyFill="1" applyBorder="1" applyAlignment="1">
      <alignment horizontal="center"/>
    </xf>
    <xf numFmtId="0" fontId="105" fillId="55" borderId="21" xfId="0" applyFont="1" applyFill="1" applyBorder="1" applyAlignment="1">
      <alignment horizontal="center"/>
    </xf>
    <xf numFmtId="0" fontId="105" fillId="55" borderId="29" xfId="0" applyFont="1" applyFill="1" applyBorder="1" applyAlignment="1">
      <alignment horizontal="center"/>
    </xf>
    <xf numFmtId="0" fontId="105" fillId="55" borderId="35" xfId="0" applyFont="1" applyFill="1" applyBorder="1" applyAlignment="1">
      <alignment horizontal="left" vertical="center"/>
    </xf>
    <xf numFmtId="0" fontId="105" fillId="55" borderId="42" xfId="0" applyFont="1" applyFill="1" applyBorder="1" applyAlignment="1">
      <alignment horizontal="left" vertical="center"/>
    </xf>
    <xf numFmtId="0" fontId="105" fillId="55" borderId="25" xfId="0" applyFont="1" applyFill="1" applyBorder="1" applyAlignment="1">
      <alignment horizontal="left" vertical="center"/>
    </xf>
    <xf numFmtId="0" fontId="105" fillId="55" borderId="38" xfId="0" applyFont="1" applyFill="1" applyBorder="1" applyAlignment="1">
      <alignment horizontal="left" vertical="center"/>
    </xf>
    <xf numFmtId="0" fontId="106" fillId="55" borderId="60" xfId="0" applyFont="1" applyFill="1" applyBorder="1" applyAlignment="1">
      <alignment horizontal="left" vertical="center" wrapText="1"/>
    </xf>
    <xf numFmtId="0" fontId="26" fillId="55" borderId="0" xfId="0" applyFont="1" applyFill="1" applyBorder="1" applyAlignment="1">
      <alignment horizontal="left"/>
    </xf>
    <xf numFmtId="0" fontId="108" fillId="55" borderId="0" xfId="0" applyFont="1" applyFill="1" applyBorder="1" applyAlignment="1">
      <alignment horizontal="left"/>
    </xf>
    <xf numFmtId="0" fontId="106" fillId="55" borderId="35" xfId="0" applyFont="1" applyFill="1" applyBorder="1" applyAlignment="1">
      <alignment horizontal="left" vertical="center" wrapText="1"/>
    </xf>
    <xf numFmtId="0" fontId="106" fillId="55" borderId="42" xfId="0" applyFont="1" applyFill="1" applyBorder="1" applyAlignment="1">
      <alignment horizontal="left" vertical="center" wrapText="1"/>
    </xf>
    <xf numFmtId="0" fontId="105" fillId="55" borderId="35" xfId="0" applyFont="1" applyFill="1" applyBorder="1" applyAlignment="1">
      <alignment horizontal="center" vertical="center"/>
    </xf>
    <xf numFmtId="0" fontId="105" fillId="55" borderId="60" xfId="0" applyFont="1" applyFill="1" applyBorder="1" applyAlignment="1">
      <alignment horizontal="center" vertical="center"/>
    </xf>
    <xf numFmtId="0" fontId="106" fillId="55" borderId="35" xfId="0" applyFont="1" applyFill="1" applyBorder="1" applyAlignment="1">
      <alignment horizontal="left" vertical="center"/>
    </xf>
    <xf numFmtId="0" fontId="106" fillId="55" borderId="60" xfId="0" applyFont="1" applyFill="1" applyBorder="1" applyAlignment="1">
      <alignment horizontal="left" vertical="center"/>
    </xf>
    <xf numFmtId="0" fontId="106" fillId="55" borderId="42" xfId="0" applyFont="1" applyFill="1" applyBorder="1" applyAlignment="1">
      <alignment horizontal="left"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45">
    <dxf>
      <font>
        <color theme="4" tint="-0.24993999302387238"/>
      </font>
      <fill>
        <patternFill>
          <bgColor theme="8" tint="0.7999799847602844"/>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theme="4" tint="-0.24993999302387238"/>
      </font>
      <fill>
        <patternFill>
          <bgColor theme="8" tint="0.7999799847602844"/>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ont>
        <color rgb="FF006100"/>
      </font>
      <fill>
        <patternFill>
          <bgColor rgb="FFC6EFCE"/>
        </patternFill>
      </fill>
      <border/>
    </dxf>
    <dxf>
      <font>
        <color rgb="FF9C0006"/>
      </font>
      <fill>
        <patternFill>
          <bgColor rgb="FFFFC7CE"/>
        </patternFill>
      </fill>
      <border/>
    </dxf>
    <dxf>
      <font>
        <color theme="4" tint="-0.24993999302387238"/>
      </font>
      <fill>
        <patternFill>
          <bgColor theme="8" tint="0.7999799847602844"/>
        </patternFill>
      </fill>
      <border/>
    </dxf>
  </dxfs>
  <tableStyles count="1" defaultTableStyle="TableStyleMedium2" defaultPivotStyle="PivotStyleLight16">
    <tableStyle name="PivotStyleLight16 2" table="0" count="11">
      <tableStyleElement type="headerRow" dxfId="41"/>
      <tableStyleElement type="totalRow"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secondRowSubheading" dxfId="33"/>
      <tableStyleElement type="pageFieldLabels" dxfId="32"/>
      <tableStyleElement type="pageFieldValues" dxfId="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625"/>
          <c:w val="0.88825"/>
          <c:h val="0.886"/>
        </c:manualLayout>
      </c:layout>
      <c:lineChart>
        <c:grouping val="standard"/>
        <c:varyColors val="0"/>
        <c:ser>
          <c:idx val="0"/>
          <c:order val="0"/>
          <c:tx>
            <c:strRef>
              <c:f>'precio mayorista'!$C$7</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2016</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2017</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43490189"/>
        <c:axId val="55867382"/>
      </c:lineChart>
      <c:catAx>
        <c:axId val="43490189"/>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5867382"/>
        <c:crosses val="autoZero"/>
        <c:auto val="1"/>
        <c:lblOffset val="100"/>
        <c:tickLblSkip val="1"/>
        <c:noMultiLvlLbl val="0"/>
      </c:catAx>
      <c:valAx>
        <c:axId val="55867382"/>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3490189"/>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25"/>
          <c:y val="0.07475"/>
          <c:w val="0.946"/>
          <c:h val="0.84525"/>
        </c:manualLayout>
      </c:layout>
      <c:barChart>
        <c:barDir val="col"/>
        <c:grouping val="clustered"/>
        <c:varyColors val="0"/>
        <c:ser>
          <c:idx val="0"/>
          <c:order val="0"/>
          <c:tx>
            <c:strRef>
              <c:f>'rend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1"/>
          <c:order val="1"/>
          <c:tx>
            <c:strRef>
              <c:f>'rend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ser>
          <c:idx val="2"/>
          <c:order val="2"/>
          <c:tx>
            <c:strRef>
              <c:f>'rend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región'!$C$23:$K$23</c:f>
              <c:numCache/>
            </c:numRef>
          </c:val>
        </c:ser>
        <c:overlap val="-27"/>
        <c:gapWidth val="219"/>
        <c:axId val="45732401"/>
        <c:axId val="8938426"/>
      </c:barChart>
      <c:catAx>
        <c:axId val="457324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8938426"/>
        <c:crosses val="autoZero"/>
        <c:auto val="1"/>
        <c:lblOffset val="100"/>
        <c:tickLblSkip val="1"/>
        <c:noMultiLvlLbl val="0"/>
      </c:catAx>
      <c:valAx>
        <c:axId val="8938426"/>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5732401"/>
        <c:crossesAt val="1"/>
        <c:crossBetween val="between"/>
        <c:dispUnits/>
      </c:valAx>
      <c:spPr>
        <a:noFill/>
        <a:ln>
          <a:noFill/>
        </a:ln>
      </c:spPr>
    </c:plotArea>
    <c:legend>
      <c:legendPos val="r"/>
      <c:layout>
        <c:manualLayout>
          <c:xMode val="edge"/>
          <c:yMode val="edge"/>
          <c:x val="0.38025"/>
          <c:y val="0.927"/>
          <c:w val="0.2382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4 de septiembre al 31 de octubre de 2017 
</a:t>
            </a:r>
            <a:r>
              <a:rPr lang="en-US" cap="none" sz="1000" b="1" i="0" u="none" baseline="0">
                <a:solidFill>
                  <a:srgbClr val="000000"/>
                </a:solidFill>
              </a:rPr>
              <a:t>(en $/25 kilos sin IVA)</a:t>
            </a:r>
          </a:p>
        </c:rich>
      </c:tx>
      <c:layout>
        <c:manualLayout>
          <c:xMode val="factor"/>
          <c:yMode val="factor"/>
          <c:x val="-0.00125"/>
          <c:y val="-0.01175"/>
        </c:manualLayout>
      </c:layout>
      <c:spPr>
        <a:noFill/>
        <a:ln w="3175">
          <a:noFill/>
        </a:ln>
      </c:spPr>
    </c:title>
    <c:plotArea>
      <c:layout>
        <c:manualLayout>
          <c:xMode val="edge"/>
          <c:yMode val="edge"/>
          <c:x val="0.04425"/>
          <c:y val="0.12625"/>
          <c:w val="0.95225"/>
          <c:h val="0.833"/>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Ref>
              <c:f>'[2]serie de precios saco 25 kg'!$A$3:$A$34</c:f>
              <c:numCache>
                <c:ptCount val="32"/>
                <c:pt idx="0">
                  <c:v>42982</c:v>
                </c:pt>
                <c:pt idx="1">
                  <c:v>42984</c:v>
                </c:pt>
                <c:pt idx="2">
                  <c:v>42991</c:v>
                </c:pt>
                <c:pt idx="3">
                  <c:v>42993</c:v>
                </c:pt>
                <c:pt idx="4">
                  <c:v>42998</c:v>
                </c:pt>
                <c:pt idx="5">
                  <c:v>42999</c:v>
                </c:pt>
                <c:pt idx="6">
                  <c:v>43000</c:v>
                </c:pt>
                <c:pt idx="7">
                  <c:v>43003</c:v>
                </c:pt>
                <c:pt idx="8">
                  <c:v>43004</c:v>
                </c:pt>
                <c:pt idx="9">
                  <c:v>43005</c:v>
                </c:pt>
                <c:pt idx="10">
                  <c:v>43006</c:v>
                </c:pt>
                <c:pt idx="11">
                  <c:v>43007</c:v>
                </c:pt>
                <c:pt idx="12">
                  <c:v>43010</c:v>
                </c:pt>
                <c:pt idx="13">
                  <c:v>43011</c:v>
                </c:pt>
                <c:pt idx="14">
                  <c:v>43012</c:v>
                </c:pt>
                <c:pt idx="15">
                  <c:v>43013</c:v>
                </c:pt>
                <c:pt idx="16">
                  <c:v>43014</c:v>
                </c:pt>
                <c:pt idx="17">
                  <c:v>43018</c:v>
                </c:pt>
                <c:pt idx="18">
                  <c:v>43019</c:v>
                </c:pt>
                <c:pt idx="19">
                  <c:v>43020</c:v>
                </c:pt>
                <c:pt idx="20">
                  <c:v>43021</c:v>
                </c:pt>
                <c:pt idx="21">
                  <c:v>43024</c:v>
                </c:pt>
                <c:pt idx="22">
                  <c:v>43025</c:v>
                </c:pt>
                <c:pt idx="23">
                  <c:v>43026</c:v>
                </c:pt>
                <c:pt idx="24">
                  <c:v>43027</c:v>
                </c:pt>
                <c:pt idx="25">
                  <c:v>43028</c:v>
                </c:pt>
                <c:pt idx="26">
                  <c:v>43031</c:v>
                </c:pt>
                <c:pt idx="27">
                  <c:v>43032</c:v>
                </c:pt>
                <c:pt idx="28">
                  <c:v>43033</c:v>
                </c:pt>
                <c:pt idx="29">
                  <c:v>43034</c:v>
                </c:pt>
                <c:pt idx="30">
                  <c:v>43038</c:v>
                </c:pt>
                <c:pt idx="31">
                  <c:v>43039</c:v>
                </c:pt>
              </c:numCache>
            </c:numRef>
          </c:cat>
          <c:val>
            <c:numRef>
              <c:f>'[2]serie de precios saco 25 kg'!$N$3:$N$34</c:f>
              <c:numCache>
                <c:ptCount val="32"/>
                <c:pt idx="0">
                  <c:v>3132.16</c:v>
                </c:pt>
                <c:pt idx="1">
                  <c:v>3133.06</c:v>
                </c:pt>
                <c:pt idx="2">
                  <c:v>3163.92</c:v>
                </c:pt>
                <c:pt idx="3">
                  <c:v>3571.43</c:v>
                </c:pt>
                <c:pt idx="4">
                  <c:v>3276.025</c:v>
                </c:pt>
                <c:pt idx="5">
                  <c:v>3610.898888888889</c:v>
                </c:pt>
                <c:pt idx="6">
                  <c:v>3599.997692307693</c:v>
                </c:pt>
                <c:pt idx="7">
                  <c:v>3860.1149999999993</c:v>
                </c:pt>
                <c:pt idx="8">
                  <c:v>3729.093571428571</c:v>
                </c:pt>
                <c:pt idx="9">
                  <c:v>3798.3500000000004</c:v>
                </c:pt>
                <c:pt idx="10">
                  <c:v>3731.5892307692297</c:v>
                </c:pt>
                <c:pt idx="11">
                  <c:v>3784.0125</c:v>
                </c:pt>
                <c:pt idx="12">
                  <c:v>3633.07</c:v>
                </c:pt>
                <c:pt idx="13">
                  <c:v>3789.1666666666665</c:v>
                </c:pt>
                <c:pt idx="14">
                  <c:v>3653.4400000000005</c:v>
                </c:pt>
                <c:pt idx="15">
                  <c:v>3920.7956250000007</c:v>
                </c:pt>
                <c:pt idx="16">
                  <c:v>3731.3510526315795</c:v>
                </c:pt>
                <c:pt idx="17">
                  <c:v>3448.661818181819</c:v>
                </c:pt>
                <c:pt idx="18">
                  <c:v>3552.231333333334</c:v>
                </c:pt>
                <c:pt idx="19">
                  <c:v>3430.8517647058825</c:v>
                </c:pt>
                <c:pt idx="20">
                  <c:v>3731.8209090909095</c:v>
                </c:pt>
                <c:pt idx="21">
                  <c:v>3691.0964705882357</c:v>
                </c:pt>
                <c:pt idx="22">
                  <c:v>3742.8642105263166</c:v>
                </c:pt>
                <c:pt idx="23">
                  <c:v>3938.875</c:v>
                </c:pt>
                <c:pt idx="24">
                  <c:v>3883.8615789473683</c:v>
                </c:pt>
                <c:pt idx="25">
                  <c:v>3797.701818181819</c:v>
                </c:pt>
                <c:pt idx="26">
                  <c:v>3668.022666666667</c:v>
                </c:pt>
                <c:pt idx="27">
                  <c:v>3583.355</c:v>
                </c:pt>
                <c:pt idx="28">
                  <c:v>3757.6558333333337</c:v>
                </c:pt>
                <c:pt idx="29">
                  <c:v>3893.633529411765</c:v>
                </c:pt>
                <c:pt idx="30">
                  <c:v>3677.53625</c:v>
                </c:pt>
                <c:pt idx="31">
                  <c:v>3867.1880000000006</c:v>
                </c:pt>
              </c:numCache>
            </c:numRef>
          </c:val>
          <c:smooth val="0"/>
        </c:ser>
        <c:marker val="1"/>
        <c:axId val="33044391"/>
        <c:axId val="28964064"/>
      </c:lineChart>
      <c:catAx>
        <c:axId val="33044391"/>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28964064"/>
        <c:crosses val="autoZero"/>
        <c:auto val="0"/>
        <c:lblOffset val="100"/>
        <c:tickLblSkip val="1"/>
        <c:noMultiLvlLbl val="0"/>
      </c:catAx>
      <c:valAx>
        <c:axId val="28964064"/>
        <c:scaling>
          <c:orientation val="minMax"/>
          <c:max val="4000"/>
          <c:min val="3000"/>
        </c:scaling>
        <c:axPos val="l"/>
        <c:title>
          <c:tx>
            <c:rich>
              <a:bodyPr vert="horz" rot="-5400000" anchor="ctr"/>
              <a:lstStyle/>
              <a:p>
                <a:pPr algn="ctr">
                  <a:defRPr/>
                </a:pPr>
                <a:r>
                  <a:rPr lang="en-US" cap="none" sz="1000" b="0" i="0" u="none" baseline="0">
                    <a:solidFill>
                      <a:srgbClr val="000000"/>
                    </a:solidFill>
                  </a:rPr>
                  <a:t>$ / saco 25 kg</a:t>
                </a:r>
              </a:p>
            </c:rich>
          </c:tx>
          <c:layout>
            <c:manualLayout>
              <c:xMode val="factor"/>
              <c:yMode val="factor"/>
              <c:x val="-0.00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3044391"/>
        <c:crossesAt val="1"/>
        <c:crossBetween val="between"/>
        <c:dispUnits/>
        <c:majorUnit val="5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13 de septiembre al 31 de octubre 2017 
</a:t>
            </a:r>
            <a:r>
              <a:rPr lang="en-US" cap="none" sz="1000" b="1" i="0" u="none" baseline="0">
                <a:solidFill>
                  <a:srgbClr val="000000"/>
                </a:solidFill>
              </a:rPr>
              <a:t>(en $ por saco de 25 kilos, sin IVA)</a:t>
            </a:r>
          </a:p>
        </c:rich>
      </c:tx>
      <c:layout>
        <c:manualLayout>
          <c:xMode val="factor"/>
          <c:yMode val="factor"/>
          <c:x val="-0.0365"/>
          <c:y val="-0.01275"/>
        </c:manualLayout>
      </c:layout>
      <c:spPr>
        <a:noFill/>
        <a:ln w="3175">
          <a:noFill/>
        </a:ln>
      </c:spPr>
    </c:title>
    <c:plotArea>
      <c:layout>
        <c:manualLayout>
          <c:xMode val="edge"/>
          <c:yMode val="edge"/>
          <c:x val="0.023"/>
          <c:y val="0.1045"/>
          <c:w val="0.80575"/>
          <c:h val="0.809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de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59349985"/>
        <c:axId val="64387818"/>
      </c:lineChart>
      <c:dateAx>
        <c:axId val="59349985"/>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64387818"/>
        <c:crosses val="autoZero"/>
        <c:auto val="0"/>
        <c:baseTimeUnit val="days"/>
        <c:majorUnit val="2"/>
        <c:majorTimeUnit val="days"/>
        <c:minorUnit val="1"/>
        <c:minorTimeUnit val="days"/>
        <c:noMultiLvlLbl val="0"/>
      </c:dateAx>
      <c:valAx>
        <c:axId val="64387818"/>
        <c:scaling>
          <c:orientation val="minMax"/>
          <c:max val="6500"/>
          <c:min val="2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08"/>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9349985"/>
        <c:crossesAt val="1"/>
        <c:crossBetween val="between"/>
        <c:dispUnits/>
      </c:valAx>
      <c:spPr>
        <a:noFill/>
        <a:ln>
          <a:noFill/>
        </a:ln>
      </c:spPr>
    </c:plotArea>
    <c:legend>
      <c:legendPos val="r"/>
      <c:layout>
        <c:manualLayout>
          <c:xMode val="edge"/>
          <c:yMode val="edge"/>
          <c:x val="0.83925"/>
          <c:y val="0.06425"/>
          <c:w val="0.1597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ferias libres y mercados mayoristas de Santiago</a:t>
            </a:r>
          </a:p>
        </c:rich>
      </c:tx>
      <c:layout>
        <c:manualLayout>
          <c:xMode val="factor"/>
          <c:yMode val="factor"/>
          <c:x val="-0.00125"/>
          <c:y val="-0.01275"/>
        </c:manualLayout>
      </c:layout>
      <c:spPr>
        <a:noFill/>
        <a:ln w="3175">
          <a:noFill/>
        </a:ln>
      </c:spPr>
    </c:title>
    <c:plotArea>
      <c:layout>
        <c:manualLayout>
          <c:xMode val="edge"/>
          <c:yMode val="edge"/>
          <c:x val="0.02675"/>
          <c:y val="0.07075"/>
          <c:w val="0.982"/>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ser>
          <c:idx val="2"/>
          <c:order val="2"/>
          <c:tx>
            <c:strRef>
              <c:f>'precio minorista'!$F$24</c:f>
              <c:strCache>
                <c:ptCount val="1"/>
                <c:pt idx="0">
                  <c:v>Mayorista</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noFill/>
              </a:ln>
            </c:spPr>
          </c:marker>
          <c:cat>
            <c:strRef>
              <c:f>'precio minorista'!$C$25:$C$45</c:f>
              <c:strCache/>
            </c:strRef>
          </c:cat>
          <c:val>
            <c:numRef>
              <c:f>'precio minorista'!$F$25:$F$45</c:f>
              <c:numCache/>
            </c:numRef>
          </c:val>
          <c:smooth val="0"/>
        </c:ser>
        <c:marker val="1"/>
        <c:axId val="42619451"/>
        <c:axId val="48030740"/>
      </c:lineChart>
      <c:dateAx>
        <c:axId val="4261945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8030740"/>
        <c:crosses val="autoZero"/>
        <c:auto val="0"/>
        <c:baseTimeUnit val="months"/>
        <c:majorUnit val="2"/>
        <c:majorTimeUnit val="months"/>
        <c:minorUnit val="1"/>
        <c:minorTimeUnit val="months"/>
        <c:noMultiLvlLbl val="0"/>
      </c:dateAx>
      <c:valAx>
        <c:axId val="48030740"/>
        <c:scaling>
          <c:orientation val="minMax"/>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2619451"/>
        <c:crossesAt val="1"/>
        <c:crossBetween val="between"/>
        <c:dispUnits/>
      </c:valAx>
      <c:spPr>
        <a:noFill/>
        <a:ln>
          <a:noFill/>
        </a:ln>
      </c:spPr>
    </c:plotArea>
    <c:legend>
      <c:legendPos val="r"/>
      <c:layout>
        <c:manualLayout>
          <c:xMode val="edge"/>
          <c:yMode val="edge"/>
          <c:x val="0.23925"/>
          <c:y val="0.914"/>
          <c:w val="0.5495"/>
          <c:h val="0.08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12 de junio al 30 de octubre 2017 ($/ kilo con IVA)</a:t>
            </a:r>
          </a:p>
        </c:rich>
      </c:tx>
      <c:layout>
        <c:manualLayout>
          <c:xMode val="factor"/>
          <c:yMode val="factor"/>
          <c:x val="-0.00275"/>
          <c:y val="-0.01425"/>
        </c:manualLayout>
      </c:layout>
      <c:spPr>
        <a:noFill/>
        <a:ln w="3175">
          <a:noFill/>
        </a:ln>
      </c:spPr>
    </c:title>
    <c:plotArea>
      <c:layout>
        <c:manualLayout>
          <c:xMode val="edge"/>
          <c:yMode val="edge"/>
          <c:x val="0.057"/>
          <c:y val="0.09275"/>
          <c:w val="0.94875"/>
          <c:h val="0.785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29623477"/>
        <c:axId val="65284702"/>
      </c:lineChart>
      <c:dateAx>
        <c:axId val="29623477"/>
        <c:scaling>
          <c:orientation val="minMax"/>
        </c:scaling>
        <c:axPos val="b"/>
        <c:delete val="0"/>
        <c:numFmt formatCode="dd/mm" sourceLinked="0"/>
        <c:majorTickMark val="out"/>
        <c:minorTickMark val="none"/>
        <c:tickLblPos val="nextTo"/>
        <c:spPr>
          <a:ln w="3175">
            <a:solidFill>
              <a:srgbClr val="C0C0C0"/>
            </a:solidFill>
          </a:ln>
        </c:spPr>
        <c:crossAx val="65284702"/>
        <c:crosses val="autoZero"/>
        <c:auto val="0"/>
        <c:baseTimeUnit val="days"/>
        <c:majorUnit val="14"/>
        <c:majorTimeUnit val="days"/>
        <c:minorUnit val="1"/>
        <c:minorTimeUnit val="days"/>
        <c:noMultiLvlLbl val="0"/>
      </c:dateAx>
      <c:valAx>
        <c:axId val="65284702"/>
        <c:scaling>
          <c:orientation val="minMax"/>
          <c:max val="1150"/>
          <c:min val="6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29623477"/>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12 de junio al 30 de octubre 2017 ($/ kilo con IVA)</a:t>
            </a:r>
          </a:p>
        </c:rich>
      </c:tx>
      <c:layout>
        <c:manualLayout>
          <c:xMode val="factor"/>
          <c:yMode val="factor"/>
          <c:x val="-0.00125"/>
          <c:y val="-0.01425"/>
        </c:manualLayout>
      </c:layout>
      <c:spPr>
        <a:noFill/>
        <a:ln w="3175">
          <a:noFill/>
        </a:ln>
      </c:spPr>
    </c:title>
    <c:plotArea>
      <c:layout>
        <c:manualLayout>
          <c:xMode val="edge"/>
          <c:yMode val="edge"/>
          <c:x val="0.0495"/>
          <c:y val="0.0895"/>
          <c:w val="0.95625"/>
          <c:h val="0.79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50691407"/>
        <c:axId val="53569480"/>
      </c:lineChart>
      <c:dateAx>
        <c:axId val="50691407"/>
        <c:scaling>
          <c:orientation val="minMax"/>
        </c:scaling>
        <c:axPos val="b"/>
        <c:delete val="0"/>
        <c:numFmt formatCode="dd/mm" sourceLinked="0"/>
        <c:majorTickMark val="out"/>
        <c:minorTickMark val="none"/>
        <c:tickLblPos val="nextTo"/>
        <c:spPr>
          <a:ln w="3175">
            <a:solidFill>
              <a:srgbClr val="C0C0C0"/>
            </a:solidFill>
          </a:ln>
        </c:spPr>
        <c:crossAx val="53569480"/>
        <c:crosses val="autoZero"/>
        <c:auto val="0"/>
        <c:baseTimeUnit val="days"/>
        <c:majorUnit val="14"/>
        <c:majorTimeUnit val="days"/>
        <c:minorUnit val="1"/>
        <c:minorTimeUnit val="days"/>
        <c:noMultiLvlLbl val="0"/>
      </c:dateAx>
      <c:valAx>
        <c:axId val="53569480"/>
        <c:scaling>
          <c:orientation val="minMax"/>
          <c:max val="550"/>
          <c:min val="1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50691407"/>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685"/>
          <c:w val="0.888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rend'!$C$7:$C$24</c:f>
              <c:strCache/>
            </c:strRef>
          </c:cat>
          <c:val>
            <c:numRef>
              <c:f>'sup, prod y rend'!$D$7:$D$24</c:f>
              <c:numCache/>
            </c:numRef>
          </c:val>
          <c:smooth val="0"/>
        </c:ser>
        <c:marker val="1"/>
        <c:axId val="12363273"/>
        <c:axId val="44160594"/>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'sup, prod y rend'!$C$7:$C$24</c:f>
              <c:strCache/>
            </c:strRef>
          </c:cat>
          <c:val>
            <c:numRef>
              <c:f>'sup, prod y rend'!$E$7:$E$24</c:f>
              <c:numCache/>
            </c:numRef>
          </c:val>
          <c:smooth val="0"/>
        </c:ser>
        <c:marker val="1"/>
        <c:axId val="61901027"/>
        <c:axId val="20238332"/>
      </c:lineChart>
      <c:catAx>
        <c:axId val="12363273"/>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44160594"/>
        <c:crosses val="autoZero"/>
        <c:auto val="1"/>
        <c:lblOffset val="100"/>
        <c:tickLblSkip val="1"/>
        <c:noMultiLvlLbl val="0"/>
      </c:catAx>
      <c:valAx>
        <c:axId val="44160594"/>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12363273"/>
        <c:crossesAt val="1"/>
        <c:crossBetween val="between"/>
        <c:dispUnits/>
      </c:valAx>
      <c:catAx>
        <c:axId val="61901027"/>
        <c:scaling>
          <c:orientation val="minMax"/>
        </c:scaling>
        <c:axPos val="b"/>
        <c:delete val="1"/>
        <c:majorTickMark val="out"/>
        <c:minorTickMark val="none"/>
        <c:tickLblPos val="nextTo"/>
        <c:crossAx val="20238332"/>
        <c:crosses val="autoZero"/>
        <c:auto val="1"/>
        <c:lblOffset val="100"/>
        <c:tickLblSkip val="1"/>
        <c:noMultiLvlLbl val="0"/>
      </c:catAx>
      <c:valAx>
        <c:axId val="20238332"/>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61901027"/>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25"/>
          <c:y val="-0.011"/>
        </c:manualLayout>
      </c:layout>
      <c:spPr>
        <a:noFill/>
        <a:ln w="3175">
          <a:noFill/>
        </a:ln>
      </c:spPr>
    </c:title>
    <c:plotArea>
      <c:layout>
        <c:manualLayout>
          <c:xMode val="edge"/>
          <c:yMode val="edge"/>
          <c:x val="0.03875"/>
          <c:y val="0.072"/>
          <c:w val="0.945"/>
          <c:h val="0.85025"/>
        </c:manualLayout>
      </c:layout>
      <c:barChart>
        <c:barDir val="col"/>
        <c:grouping val="clustered"/>
        <c:varyColors val="0"/>
        <c:ser>
          <c:idx val="0"/>
          <c:order val="0"/>
          <c:tx>
            <c:strRef>
              <c:f>'sup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1"/>
          <c:order val="1"/>
          <c:tx>
            <c:strRef>
              <c:f>'sup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ser>
          <c:idx val="2"/>
          <c:order val="2"/>
          <c:tx>
            <c:strRef>
              <c:f>'sup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región'!$C$23:$K$23</c:f>
              <c:numCache/>
            </c:numRef>
          </c:val>
        </c:ser>
        <c:overlap val="-27"/>
        <c:gapWidth val="219"/>
        <c:axId val="47927261"/>
        <c:axId val="28692166"/>
      </c:barChart>
      <c:catAx>
        <c:axId val="479272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8692166"/>
        <c:crosses val="autoZero"/>
        <c:auto val="1"/>
        <c:lblOffset val="100"/>
        <c:tickLblSkip val="1"/>
        <c:noMultiLvlLbl val="0"/>
      </c:catAx>
      <c:valAx>
        <c:axId val="28692166"/>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7927261"/>
        <c:crossesAt val="1"/>
        <c:crossBetween val="between"/>
        <c:dispUnits/>
      </c:valAx>
      <c:spPr>
        <a:noFill/>
        <a:ln>
          <a:noFill/>
        </a:ln>
      </c:spPr>
    </c:plotArea>
    <c:legend>
      <c:legendPos val="r"/>
      <c:layout>
        <c:manualLayout>
          <c:xMode val="edge"/>
          <c:yMode val="edge"/>
          <c:x val="0.3805"/>
          <c:y val="0.92625"/>
          <c:w val="0.241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25"/>
        </c:manualLayout>
      </c:layout>
      <c:spPr>
        <a:noFill/>
        <a:ln w="3175">
          <a:noFill/>
        </a:ln>
      </c:spPr>
    </c:title>
    <c:plotArea>
      <c:layout>
        <c:manualLayout>
          <c:xMode val="edge"/>
          <c:yMode val="edge"/>
          <c:x val="0.04575"/>
          <c:y val="0.0715"/>
          <c:w val="0.93825"/>
          <c:h val="0.84875"/>
        </c:manualLayout>
      </c:layout>
      <c:barChart>
        <c:barDir val="col"/>
        <c:grouping val="clustered"/>
        <c:varyColors val="0"/>
        <c:ser>
          <c:idx val="0"/>
          <c:order val="0"/>
          <c:tx>
            <c:strRef>
              <c:f>'prod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1"/>
          <c:order val="1"/>
          <c:tx>
            <c:strRef>
              <c:f>'prod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ser>
          <c:idx val="2"/>
          <c:order val="2"/>
          <c:tx>
            <c:strRef>
              <c:f>'prod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región'!$C$23:$K$23</c:f>
              <c:numCache/>
            </c:numRef>
          </c:val>
        </c:ser>
        <c:overlap val="-27"/>
        <c:gapWidth val="219"/>
        <c:axId val="56902903"/>
        <c:axId val="42364080"/>
      </c:barChart>
      <c:catAx>
        <c:axId val="569029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2364080"/>
        <c:crosses val="autoZero"/>
        <c:auto val="1"/>
        <c:lblOffset val="100"/>
        <c:tickLblSkip val="1"/>
        <c:noMultiLvlLbl val="0"/>
      </c:catAx>
      <c:valAx>
        <c:axId val="4236408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6902903"/>
        <c:crossesAt val="1"/>
        <c:crossBetween val="between"/>
        <c:dispUnits/>
      </c:valAx>
      <c:spPr>
        <a:noFill/>
        <a:ln>
          <a:noFill/>
        </a:ln>
      </c:spPr>
    </c:plotArea>
    <c:legend>
      <c:legendPos val="r"/>
      <c:layout>
        <c:manualLayout>
          <c:xMode val="edge"/>
          <c:yMode val="edge"/>
          <c:x val="0.37725"/>
          <c:y val="0.932"/>
          <c:w val="0.246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161925</xdr:rowOff>
    </xdr:from>
    <xdr:to>
      <xdr:col>2</xdr:col>
      <xdr:colOff>447675</xdr:colOff>
      <xdr:row>8</xdr:row>
      <xdr:rowOff>171450</xdr:rowOff>
    </xdr:to>
    <xdr:pic>
      <xdr:nvPicPr>
        <xdr:cNvPr id="1" name="Picture 2" descr="LOGO_ODEPA"/>
        <xdr:cNvPicPr preferRelativeResize="1">
          <a:picLocks noChangeAspect="1"/>
        </xdr:cNvPicPr>
      </xdr:nvPicPr>
      <xdr:blipFill>
        <a:blip r:embed="rId1"/>
        <a:stretch>
          <a:fillRect/>
        </a:stretch>
      </xdr:blipFill>
      <xdr:spPr>
        <a:xfrm>
          <a:off x="142875" y="161925"/>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27</xdr:row>
      <xdr:rowOff>66675</xdr:rowOff>
    </xdr:from>
    <xdr:to>
      <xdr:col>6</xdr:col>
      <xdr:colOff>1190625</xdr:colOff>
      <xdr:row>49</xdr:row>
      <xdr:rowOff>76200</xdr:rowOff>
    </xdr:to>
    <xdr:graphicFrame>
      <xdr:nvGraphicFramePr>
        <xdr:cNvPr id="1" name="Gráfico 1"/>
        <xdr:cNvGraphicFramePr/>
      </xdr:nvGraphicFramePr>
      <xdr:xfrm>
        <a:off x="180975" y="4829175"/>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66675</xdr:rowOff>
    </xdr:from>
    <xdr:to>
      <xdr:col>11</xdr:col>
      <xdr:colOff>95250</xdr:colOff>
      <xdr:row>45</xdr:row>
      <xdr:rowOff>123825</xdr:rowOff>
    </xdr:to>
    <xdr:graphicFrame>
      <xdr:nvGraphicFramePr>
        <xdr:cNvPr id="1" name="Gráfico 1"/>
        <xdr:cNvGraphicFramePr/>
      </xdr:nvGraphicFramePr>
      <xdr:xfrm>
        <a:off x="47625" y="3857625"/>
        <a:ext cx="8239125"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66675</xdr:rowOff>
    </xdr:from>
    <xdr:to>
      <xdr:col>11</xdr:col>
      <xdr:colOff>638175</xdr:colOff>
      <xdr:row>47</xdr:row>
      <xdr:rowOff>104775</xdr:rowOff>
    </xdr:to>
    <xdr:graphicFrame>
      <xdr:nvGraphicFramePr>
        <xdr:cNvPr id="1" name="Gráfico 1"/>
        <xdr:cNvGraphicFramePr/>
      </xdr:nvGraphicFramePr>
      <xdr:xfrm>
        <a:off x="171450" y="3924300"/>
        <a:ext cx="8534400" cy="3762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xdr:rowOff>
    </xdr:from>
    <xdr:to>
      <xdr:col>11</xdr:col>
      <xdr:colOff>552450</xdr:colOff>
      <xdr:row>45</xdr:row>
      <xdr:rowOff>114300</xdr:rowOff>
    </xdr:to>
    <xdr:graphicFrame>
      <xdr:nvGraphicFramePr>
        <xdr:cNvPr id="1" name="Gráfico 2"/>
        <xdr:cNvGraphicFramePr/>
      </xdr:nvGraphicFramePr>
      <xdr:xfrm>
        <a:off x="171450" y="3905250"/>
        <a:ext cx="874395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38100</xdr:rowOff>
    </xdr:from>
    <xdr:to>
      <xdr:col>2</xdr:col>
      <xdr:colOff>476250</xdr:colOff>
      <xdr:row>38</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286625"/>
          <a:ext cx="182880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152400</xdr:rowOff>
    </xdr:from>
    <xdr:to>
      <xdr:col>3</xdr:col>
      <xdr:colOff>314325</xdr:colOff>
      <xdr:row>38</xdr:row>
      <xdr:rowOff>66675</xdr:rowOff>
    </xdr:to>
    <xdr:pic>
      <xdr:nvPicPr>
        <xdr:cNvPr id="1" name="Picture 1" descr="LOGO_FUCOA"/>
        <xdr:cNvPicPr preferRelativeResize="1">
          <a:picLocks noChangeAspect="1"/>
        </xdr:cNvPicPr>
      </xdr:nvPicPr>
      <xdr:blipFill>
        <a:blip r:embed="rId1"/>
        <a:srcRect t="45156" b="48161"/>
        <a:stretch>
          <a:fillRect/>
        </a:stretch>
      </xdr:blipFill>
      <xdr:spPr>
        <a:xfrm>
          <a:off x="28575" y="8134350"/>
          <a:ext cx="1838325" cy="10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695700" y="762000"/>
          <a:ext cx="3190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38550" y="904875"/>
          <a:ext cx="3257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28975" y="1076325"/>
          <a:ext cx="3686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62500" y="271462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895725" y="5210175"/>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391150" y="53721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57825" y="551497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495925" y="5695950"/>
          <a:ext cx="1390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33925" y="505777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24475" y="49149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31</xdr:row>
      <xdr:rowOff>114300</xdr:rowOff>
    </xdr:from>
    <xdr:to>
      <xdr:col>3</xdr:col>
      <xdr:colOff>238125</xdr:colOff>
      <xdr:row>31</xdr:row>
      <xdr:rowOff>114300</xdr:rowOff>
    </xdr:to>
    <xdr:sp>
      <xdr:nvSpPr>
        <xdr:cNvPr id="11" name="Conector recto 33"/>
        <xdr:cNvSpPr>
          <a:spLocks/>
        </xdr:cNvSpPr>
      </xdr:nvSpPr>
      <xdr:spPr>
        <a:xfrm flipV="1">
          <a:off x="6657975" y="4733925"/>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48250" y="4552950"/>
          <a:ext cx="1857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86225" y="4400550"/>
          <a:ext cx="2790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76800" y="4238625"/>
          <a:ext cx="2000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05225" y="1400175"/>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76800" y="1924050"/>
          <a:ext cx="2038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62550" y="2095500"/>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62550" y="22383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57825" y="2390775"/>
          <a:ext cx="1466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76900" y="2571750"/>
          <a:ext cx="1238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391150" y="2895600"/>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57825" y="305752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72125" y="3200400"/>
          <a:ext cx="1304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43600" y="3552825"/>
          <a:ext cx="914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895975" y="37433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391025" y="3390900"/>
          <a:ext cx="2466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52650" y="1238250"/>
          <a:ext cx="477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362450"/>
        <a:ext cx="6286500" cy="334327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742950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36</xdr:row>
      <xdr:rowOff>47625</xdr:rowOff>
    </xdr:from>
    <xdr:to>
      <xdr:col>12</xdr:col>
      <xdr:colOff>95250</xdr:colOff>
      <xdr:row>56</xdr:row>
      <xdr:rowOff>9525</xdr:rowOff>
    </xdr:to>
    <xdr:graphicFrame>
      <xdr:nvGraphicFramePr>
        <xdr:cNvPr id="1" name="Gráfico 4"/>
        <xdr:cNvGraphicFramePr/>
      </xdr:nvGraphicFramePr>
      <xdr:xfrm>
        <a:off x="104775" y="6696075"/>
        <a:ext cx="8239125" cy="3600450"/>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54</xdr:row>
      <xdr:rowOff>9525</xdr:rowOff>
    </xdr:from>
    <xdr:ext cx="1000125" cy="219075"/>
    <xdr:sp>
      <xdr:nvSpPr>
        <xdr:cNvPr id="2" name="1 CuadroTexto"/>
        <xdr:cNvSpPr txBox="1">
          <a:spLocks noChangeArrowheads="1"/>
        </xdr:cNvSpPr>
      </xdr:nvSpPr>
      <xdr:spPr>
        <a:xfrm>
          <a:off x="57150" y="9972675"/>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267950" cy="41338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90700" cy="209550"/>
    <xdr:sp>
      <xdr:nvSpPr>
        <xdr:cNvPr id="2" name="1 CuadroTexto"/>
        <xdr:cNvSpPr txBox="1">
          <a:spLocks noChangeArrowheads="1"/>
        </xdr:cNvSpPr>
      </xdr:nvSpPr>
      <xdr:spPr>
        <a:xfrm>
          <a:off x="95250" y="10001250"/>
          <a:ext cx="179070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cdr:x>
      <cdr:y>1</cdr:y>
    </cdr:to>
    <cdr:sp>
      <cdr:nvSpPr>
        <cdr:cNvPr id="1" name="1 CuadroTexto"/>
        <cdr:cNvSpPr txBox="1">
          <a:spLocks noChangeArrowheads="1"/>
        </cdr:cNvSpPr>
      </cdr:nvSpPr>
      <cdr:spPr>
        <a:xfrm>
          <a:off x="0" y="3543300"/>
          <a:ext cx="20193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22</xdr:row>
      <xdr:rowOff>47625</xdr:rowOff>
    </xdr:from>
    <xdr:to>
      <xdr:col>9</xdr:col>
      <xdr:colOff>714375</xdr:colOff>
      <xdr:row>45</xdr:row>
      <xdr:rowOff>76200</xdr:rowOff>
    </xdr:to>
    <xdr:graphicFrame>
      <xdr:nvGraphicFramePr>
        <xdr:cNvPr id="1" name="Gráfico 1"/>
        <xdr:cNvGraphicFramePr/>
      </xdr:nvGraphicFramePr>
      <xdr:xfrm>
        <a:off x="180975" y="3571875"/>
        <a:ext cx="8248650" cy="3752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7%20B%20Papa\papa%20mayorist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Hoja6"/>
      <sheetName val="Hoja8"/>
      <sheetName val="papa diario"/>
      <sheetName val="din por variedad"/>
      <sheetName val="serie de precios saco 25 kg"/>
      <sheetName val="din por mercado"/>
      <sheetName val="serie de precios saco 50 kg"/>
      <sheetName val="dinamica por volumen"/>
      <sheetName val="Hoja4"/>
      <sheetName val="Hoja3"/>
      <sheetName val="Hoja5"/>
      <sheetName val="Hoja7"/>
      <sheetName val="MERCADOS"/>
    </sheetNames>
    <sheetDataSet>
      <sheetData sheetId="7">
        <row r="3">
          <cell r="A3">
            <v>42982</v>
          </cell>
          <cell r="N3">
            <v>3132.16</v>
          </cell>
        </row>
        <row r="4">
          <cell r="A4">
            <v>42984</v>
          </cell>
          <cell r="N4">
            <v>3133.06</v>
          </cell>
        </row>
        <row r="5">
          <cell r="A5">
            <v>42991</v>
          </cell>
          <cell r="N5">
            <v>3163.92</v>
          </cell>
        </row>
        <row r="6">
          <cell r="A6">
            <v>42993</v>
          </cell>
          <cell r="N6">
            <v>3571.43</v>
          </cell>
        </row>
        <row r="7">
          <cell r="A7">
            <v>42998</v>
          </cell>
          <cell r="N7">
            <v>3276.025</v>
          </cell>
        </row>
        <row r="8">
          <cell r="A8">
            <v>42999</v>
          </cell>
          <cell r="N8">
            <v>3610.898888888889</v>
          </cell>
        </row>
        <row r="9">
          <cell r="A9">
            <v>43000</v>
          </cell>
          <cell r="N9">
            <v>3599.997692307693</v>
          </cell>
        </row>
        <row r="10">
          <cell r="A10">
            <v>43003</v>
          </cell>
          <cell r="N10">
            <v>3860.1149999999993</v>
          </cell>
        </row>
        <row r="11">
          <cell r="A11">
            <v>43004</v>
          </cell>
          <cell r="N11">
            <v>3729.093571428571</v>
          </cell>
        </row>
        <row r="12">
          <cell r="A12">
            <v>43005</v>
          </cell>
          <cell r="N12">
            <v>3798.3500000000004</v>
          </cell>
        </row>
        <row r="13">
          <cell r="A13">
            <v>43006</v>
          </cell>
          <cell r="N13">
            <v>3731.5892307692297</v>
          </cell>
        </row>
        <row r="14">
          <cell r="A14">
            <v>43007</v>
          </cell>
          <cell r="N14">
            <v>3784.0125</v>
          </cell>
        </row>
        <row r="15">
          <cell r="A15">
            <v>43010</v>
          </cell>
          <cell r="N15">
            <v>3633.07</v>
          </cell>
        </row>
        <row r="16">
          <cell r="A16">
            <v>43011</v>
          </cell>
          <cell r="N16">
            <v>3789.1666666666665</v>
          </cell>
        </row>
        <row r="17">
          <cell r="A17">
            <v>43012</v>
          </cell>
          <cell r="N17">
            <v>3653.4400000000005</v>
          </cell>
        </row>
        <row r="18">
          <cell r="A18">
            <v>43013</v>
          </cell>
          <cell r="N18">
            <v>3920.7956250000007</v>
          </cell>
        </row>
        <row r="19">
          <cell r="A19">
            <v>43014</v>
          </cell>
          <cell r="N19">
            <v>3731.3510526315795</v>
          </cell>
        </row>
        <row r="20">
          <cell r="A20">
            <v>43018</v>
          </cell>
          <cell r="N20">
            <v>3448.661818181819</v>
          </cell>
        </row>
        <row r="21">
          <cell r="A21">
            <v>43019</v>
          </cell>
          <cell r="N21">
            <v>3552.231333333334</v>
          </cell>
        </row>
        <row r="22">
          <cell r="A22">
            <v>43020</v>
          </cell>
          <cell r="N22">
            <v>3430.8517647058825</v>
          </cell>
        </row>
        <row r="23">
          <cell r="A23">
            <v>43021</v>
          </cell>
          <cell r="N23">
            <v>3731.8209090909095</v>
          </cell>
        </row>
        <row r="24">
          <cell r="A24">
            <v>43024</v>
          </cell>
          <cell r="N24">
            <v>3691.0964705882357</v>
          </cell>
        </row>
        <row r="25">
          <cell r="A25">
            <v>43025</v>
          </cell>
          <cell r="N25">
            <v>3742.8642105263166</v>
          </cell>
        </row>
        <row r="26">
          <cell r="A26">
            <v>43026</v>
          </cell>
          <cell r="N26">
            <v>3938.875</v>
          </cell>
        </row>
        <row r="27">
          <cell r="A27">
            <v>43027</v>
          </cell>
          <cell r="N27">
            <v>3883.8615789473683</v>
          </cell>
        </row>
        <row r="28">
          <cell r="A28">
            <v>43028</v>
          </cell>
          <cell r="N28">
            <v>3797.701818181819</v>
          </cell>
        </row>
        <row r="29">
          <cell r="A29">
            <v>43031</v>
          </cell>
          <cell r="N29">
            <v>3668.022666666667</v>
          </cell>
        </row>
        <row r="30">
          <cell r="A30">
            <v>43032</v>
          </cell>
          <cell r="N30">
            <v>3583.355</v>
          </cell>
        </row>
        <row r="31">
          <cell r="A31">
            <v>43033</v>
          </cell>
          <cell r="N31">
            <v>3757.6558333333337</v>
          </cell>
        </row>
        <row r="32">
          <cell r="A32">
            <v>43034</v>
          </cell>
          <cell r="N32">
            <v>3893.633529411765</v>
          </cell>
        </row>
        <row r="33">
          <cell r="A33">
            <v>43038</v>
          </cell>
          <cell r="N33">
            <v>3677.53625</v>
          </cell>
        </row>
        <row r="34">
          <cell r="A34">
            <v>43039</v>
          </cell>
          <cell r="N34">
            <v>3867.1880000000006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80" workbookViewId="0" topLeftCell="A1">
      <selection activeCell="L218" sqref="L218"/>
    </sheetView>
  </sheetViews>
  <sheetFormatPr defaultColWidth="10.8515625" defaultRowHeight="15"/>
  <cols>
    <col min="1" max="27" width="10.8515625" style="70" customWidth="1"/>
    <col min="28" max="16384" width="10.8515625" style="70" customWidth="1"/>
  </cols>
  <sheetData>
    <row r="1" ht="15">
      <c r="A1" s="73"/>
    </row>
    <row r="13" spans="6:10" ht="25.5">
      <c r="F13" s="74"/>
      <c r="G13" s="74"/>
      <c r="H13" s="75"/>
      <c r="I13" s="75"/>
      <c r="J13" s="75"/>
    </row>
    <row r="14" spans="5:7" ht="15">
      <c r="E14" s="71"/>
      <c r="F14" s="71"/>
      <c r="G14" s="71"/>
    </row>
    <row r="15" spans="5:10" ht="15.75">
      <c r="E15" s="76"/>
      <c r="F15" s="77"/>
      <c r="G15" s="77"/>
      <c r="H15" s="78"/>
      <c r="I15" s="78"/>
      <c r="J15" s="78"/>
    </row>
    <row r="20" ht="25.5">
      <c r="D20" s="74" t="s">
        <v>109</v>
      </c>
    </row>
    <row r="39" spans="4:6" ht="15.75">
      <c r="D39" s="358"/>
      <c r="E39" s="359"/>
      <c r="F39" s="359"/>
    </row>
    <row r="42" ht="15.75">
      <c r="E42" s="135" t="s">
        <v>270</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A1:AD48"/>
  <sheetViews>
    <sheetView zoomScale="80" zoomScaleNormal="80" zoomScalePageLayoutView="0" workbookViewId="0" topLeftCell="A1">
      <selection activeCell="A1" sqref="A1"/>
    </sheetView>
  </sheetViews>
  <sheetFormatPr defaultColWidth="10.8515625" defaultRowHeight="15"/>
  <cols>
    <col min="1" max="1" width="1.7109375" style="35" customWidth="1"/>
    <col min="2" max="2" width="12.140625" style="35" customWidth="1"/>
    <col min="3" max="3" width="11.8515625" style="35" customWidth="1"/>
    <col min="4" max="4" width="13.7109375" style="35" customWidth="1"/>
    <col min="5" max="5" width="14.421875" style="35" customWidth="1"/>
    <col min="6" max="7" width="12.00390625" style="35" customWidth="1"/>
    <col min="8" max="8" width="12.7109375" style="35" customWidth="1"/>
    <col min="9" max="9" width="14.00390625" style="35" customWidth="1"/>
    <col min="10" max="10" width="13.00390625" style="35" customWidth="1"/>
    <col min="11" max="11" width="12.00390625" style="35" customWidth="1"/>
    <col min="12" max="12" width="13.8515625" style="35" customWidth="1"/>
    <col min="13" max="13" width="13.421875" style="35" customWidth="1"/>
    <col min="14" max="14" width="12.28125" style="35" customWidth="1"/>
    <col min="15" max="15" width="12.00390625" style="35" customWidth="1"/>
    <col min="16" max="16" width="13.00390625" style="35" customWidth="1"/>
    <col min="17" max="17" width="13.7109375" style="35" customWidth="1"/>
    <col min="18" max="18" width="13.00390625" style="35" customWidth="1"/>
    <col min="19" max="19" width="2.140625" style="35" customWidth="1"/>
    <col min="20" max="20" width="10.8515625" style="35" customWidth="1"/>
    <col min="21" max="21" width="10.8515625" style="143" customWidth="1"/>
    <col min="22" max="22" width="10.8515625" style="334" hidden="1" customWidth="1"/>
    <col min="23" max="23" width="9.28125" style="334" hidden="1" customWidth="1"/>
    <col min="24" max="24" width="13.00390625" style="334" hidden="1" customWidth="1"/>
    <col min="25" max="25" width="13.140625" style="334" hidden="1" customWidth="1"/>
    <col min="26" max="26" width="7.140625" style="334" hidden="1" customWidth="1"/>
    <col min="27" max="27" width="8.140625" style="334" hidden="1" customWidth="1"/>
    <col min="28" max="28" width="9.28125" style="334" hidden="1" customWidth="1"/>
    <col min="29" max="29" width="15.7109375" style="334" hidden="1" customWidth="1"/>
    <col min="30" max="30" width="13.140625" style="334" hidden="1" customWidth="1"/>
    <col min="31" max="31" width="10.8515625" style="143" customWidth="1"/>
    <col min="32" max="16384" width="10.8515625" style="35" customWidth="1"/>
  </cols>
  <sheetData>
    <row r="1" spans="1:3" ht="8.25" customHeight="1">
      <c r="A1" s="35" t="s">
        <v>238</v>
      </c>
      <c r="B1" s="212"/>
      <c r="C1" s="212"/>
    </row>
    <row r="2" spans="2:20" ht="12.75">
      <c r="B2" s="377" t="s">
        <v>60</v>
      </c>
      <c r="C2" s="377"/>
      <c r="D2" s="377"/>
      <c r="E2" s="377"/>
      <c r="F2" s="377"/>
      <c r="G2" s="377"/>
      <c r="H2" s="377"/>
      <c r="I2" s="377"/>
      <c r="J2" s="377"/>
      <c r="K2" s="377"/>
      <c r="L2" s="377"/>
      <c r="M2" s="377"/>
      <c r="N2" s="377"/>
      <c r="O2" s="377"/>
      <c r="P2" s="377"/>
      <c r="Q2" s="377"/>
      <c r="R2" s="377"/>
      <c r="S2" s="161"/>
      <c r="T2" s="45" t="s">
        <v>148</v>
      </c>
    </row>
    <row r="3" spans="2:19" ht="12.75">
      <c r="B3" s="377" t="s">
        <v>145</v>
      </c>
      <c r="C3" s="377"/>
      <c r="D3" s="377"/>
      <c r="E3" s="377"/>
      <c r="F3" s="377"/>
      <c r="G3" s="377"/>
      <c r="H3" s="377"/>
      <c r="I3" s="377"/>
      <c r="J3" s="377"/>
      <c r="K3" s="377"/>
      <c r="L3" s="377"/>
      <c r="M3" s="377"/>
      <c r="N3" s="377"/>
      <c r="O3" s="377"/>
      <c r="P3" s="377"/>
      <c r="Q3" s="377"/>
      <c r="R3" s="377"/>
      <c r="S3" s="161"/>
    </row>
    <row r="4" spans="2:19" ht="12.75">
      <c r="B4" s="377" t="s">
        <v>107</v>
      </c>
      <c r="C4" s="377"/>
      <c r="D4" s="377"/>
      <c r="E4" s="377"/>
      <c r="F4" s="377"/>
      <c r="G4" s="377"/>
      <c r="H4" s="377"/>
      <c r="I4" s="377"/>
      <c r="J4" s="377"/>
      <c r="K4" s="377"/>
      <c r="L4" s="377"/>
      <c r="M4" s="377"/>
      <c r="N4" s="377"/>
      <c r="O4" s="377"/>
      <c r="P4" s="377"/>
      <c r="Q4" s="377"/>
      <c r="R4" s="377"/>
      <c r="S4" s="161"/>
    </row>
    <row r="5" spans="3:20" ht="12.75">
      <c r="C5" s="389" t="s">
        <v>214</v>
      </c>
      <c r="D5" s="389"/>
      <c r="E5" s="389"/>
      <c r="F5" s="389"/>
      <c r="G5" s="389"/>
      <c r="H5" s="389"/>
      <c r="I5" s="389"/>
      <c r="J5" s="389"/>
      <c r="K5" s="389" t="s">
        <v>215</v>
      </c>
      <c r="L5" s="389"/>
      <c r="M5" s="389"/>
      <c r="N5" s="389"/>
      <c r="O5" s="389"/>
      <c r="P5" s="389"/>
      <c r="Q5" s="389"/>
      <c r="R5" s="389"/>
      <c r="S5" s="164"/>
      <c r="T5" s="163"/>
    </row>
    <row r="6" spans="2:30" ht="12.75">
      <c r="B6" s="165" t="s">
        <v>136</v>
      </c>
      <c r="C6" s="166" t="s">
        <v>158</v>
      </c>
      <c r="D6" s="167" t="s">
        <v>23</v>
      </c>
      <c r="E6" s="167" t="s">
        <v>22</v>
      </c>
      <c r="F6" s="167" t="s">
        <v>135</v>
      </c>
      <c r="G6" s="167" t="s">
        <v>19</v>
      </c>
      <c r="H6" s="167" t="s">
        <v>18</v>
      </c>
      <c r="I6" s="167" t="s">
        <v>17</v>
      </c>
      <c r="J6" s="168" t="s">
        <v>15</v>
      </c>
      <c r="K6" s="166" t="s">
        <v>158</v>
      </c>
      <c r="L6" s="167" t="s">
        <v>23</v>
      </c>
      <c r="M6" s="167" t="s">
        <v>22</v>
      </c>
      <c r="N6" s="167" t="s">
        <v>135</v>
      </c>
      <c r="O6" s="167" t="s">
        <v>19</v>
      </c>
      <c r="P6" s="167" t="s">
        <v>18</v>
      </c>
      <c r="Q6" s="167" t="s">
        <v>17</v>
      </c>
      <c r="R6" s="168" t="s">
        <v>15</v>
      </c>
      <c r="S6" s="113"/>
      <c r="T6" s="163"/>
      <c r="W6" s="347" t="s">
        <v>158</v>
      </c>
      <c r="X6" s="347" t="s">
        <v>23</v>
      </c>
      <c r="Y6" s="347" t="s">
        <v>22</v>
      </c>
      <c r="Z6" s="347" t="s">
        <v>135</v>
      </c>
      <c r="AA6" s="347" t="s">
        <v>19</v>
      </c>
      <c r="AB6" s="347" t="s">
        <v>18</v>
      </c>
      <c r="AC6" s="347" t="s">
        <v>17</v>
      </c>
      <c r="AD6" s="347" t="s">
        <v>15</v>
      </c>
    </row>
    <row r="7" spans="2:30" ht="12.75">
      <c r="B7" s="169">
        <v>42898</v>
      </c>
      <c r="C7" s="170">
        <v>828</v>
      </c>
      <c r="D7" s="91">
        <v>1071</v>
      </c>
      <c r="E7" s="91">
        <v>934.5</v>
      </c>
      <c r="F7" s="91">
        <v>929.5</v>
      </c>
      <c r="G7" s="91">
        <v>957</v>
      </c>
      <c r="H7" s="91">
        <v>754.5</v>
      </c>
      <c r="I7" s="91">
        <v>915</v>
      </c>
      <c r="J7" s="171">
        <v>761</v>
      </c>
      <c r="K7" s="170">
        <v>403</v>
      </c>
      <c r="L7" s="91">
        <v>412</v>
      </c>
      <c r="M7" s="91">
        <v>275</v>
      </c>
      <c r="N7" s="91">
        <v>358</v>
      </c>
      <c r="O7" s="91">
        <v>419</v>
      </c>
      <c r="P7" s="91">
        <v>279.5</v>
      </c>
      <c r="Q7" s="91">
        <v>263</v>
      </c>
      <c r="R7" s="171">
        <v>281.5</v>
      </c>
      <c r="S7" s="114"/>
      <c r="T7" s="163"/>
      <c r="W7" s="319">
        <f>+IF(K7="","",((C7-K7)/K7))</f>
        <v>1.054590570719603</v>
      </c>
      <c r="X7" s="319">
        <f aca="true" t="shared" si="0" ref="X7:AD22">+IF(L7="","",((D7-L7)/L7))</f>
        <v>1.5995145631067962</v>
      </c>
      <c r="Y7" s="319">
        <f t="shared" si="0"/>
        <v>2.398181818181818</v>
      </c>
      <c r="Z7" s="319">
        <f t="shared" si="0"/>
        <v>1.5963687150837989</v>
      </c>
      <c r="AA7" s="319">
        <f t="shared" si="0"/>
        <v>1.2840095465393795</v>
      </c>
      <c r="AB7" s="319">
        <f t="shared" si="0"/>
        <v>1.6994633273703041</v>
      </c>
      <c r="AC7" s="319">
        <f t="shared" si="0"/>
        <v>2.4790874524714828</v>
      </c>
      <c r="AD7" s="319">
        <f t="shared" si="0"/>
        <v>1.7033747779751331</v>
      </c>
    </row>
    <row r="8" spans="2:30" ht="12.75">
      <c r="B8" s="169">
        <v>42905</v>
      </c>
      <c r="C8" s="170">
        <v>900</v>
      </c>
      <c r="D8" s="91">
        <v>985</v>
      </c>
      <c r="E8" s="91">
        <v>932.5</v>
      </c>
      <c r="F8" s="91">
        <v>975</v>
      </c>
      <c r="G8" s="91">
        <v>932.5</v>
      </c>
      <c r="H8" s="91">
        <v>953</v>
      </c>
      <c r="I8" s="91">
        <v>904</v>
      </c>
      <c r="J8" s="171">
        <v>956</v>
      </c>
      <c r="K8" s="170">
        <v>387.5</v>
      </c>
      <c r="L8" s="91">
        <v>377</v>
      </c>
      <c r="M8" s="91">
        <v>300</v>
      </c>
      <c r="N8" s="91">
        <v>372</v>
      </c>
      <c r="O8" s="91">
        <v>419</v>
      </c>
      <c r="P8" s="91">
        <v>269.5</v>
      </c>
      <c r="Q8" s="91">
        <v>256</v>
      </c>
      <c r="R8" s="171">
        <v>358.5</v>
      </c>
      <c r="S8" s="114"/>
      <c r="T8" s="163"/>
      <c r="W8" s="319">
        <f aca="true" t="shared" si="1" ref="W8:W27">+IF(K8="","",((C8-K8)/K8))</f>
        <v>1.3225806451612903</v>
      </c>
      <c r="X8" s="319">
        <f t="shared" si="0"/>
        <v>1.6127320954907163</v>
      </c>
      <c r="Y8" s="319">
        <f t="shared" si="0"/>
        <v>2.1083333333333334</v>
      </c>
      <c r="Z8" s="319">
        <f t="shared" si="0"/>
        <v>1.6209677419354838</v>
      </c>
      <c r="AA8" s="319">
        <f t="shared" si="0"/>
        <v>1.2255369928400954</v>
      </c>
      <c r="AB8" s="319">
        <f t="shared" si="0"/>
        <v>2.536178107606679</v>
      </c>
      <c r="AC8" s="319">
        <f t="shared" si="0"/>
        <v>2.53125</v>
      </c>
      <c r="AD8" s="319">
        <f t="shared" si="0"/>
        <v>1.6666666666666667</v>
      </c>
    </row>
    <row r="9" spans="2:30" ht="12.75">
      <c r="B9" s="169">
        <v>42912</v>
      </c>
      <c r="C9" s="170">
        <v>963</v>
      </c>
      <c r="D9" s="91">
        <v>988</v>
      </c>
      <c r="E9" s="91">
        <v>982</v>
      </c>
      <c r="F9" s="91">
        <v>951</v>
      </c>
      <c r="G9" s="91">
        <v>963.5</v>
      </c>
      <c r="H9" s="91">
        <v>1057.5</v>
      </c>
      <c r="I9" s="91">
        <v>961</v>
      </c>
      <c r="J9" s="171">
        <v>930</v>
      </c>
      <c r="K9" s="170">
        <v>438</v>
      </c>
      <c r="L9" s="91">
        <v>380</v>
      </c>
      <c r="M9" s="91">
        <v>308</v>
      </c>
      <c r="N9" s="91">
        <v>386.5</v>
      </c>
      <c r="O9" s="91">
        <v>402</v>
      </c>
      <c r="P9" s="91">
        <v>292.5</v>
      </c>
      <c r="Q9" s="91">
        <v>263</v>
      </c>
      <c r="R9" s="171"/>
      <c r="S9" s="114"/>
      <c r="T9" s="163"/>
      <c r="W9" s="319">
        <f t="shared" si="1"/>
        <v>1.1986301369863013</v>
      </c>
      <c r="X9" s="319">
        <f t="shared" si="0"/>
        <v>1.6</v>
      </c>
      <c r="Y9" s="319">
        <f t="shared" si="0"/>
        <v>2.188311688311688</v>
      </c>
      <c r="Z9" s="319">
        <f t="shared" si="0"/>
        <v>1.4605433376455368</v>
      </c>
      <c r="AA9" s="319">
        <f t="shared" si="0"/>
        <v>1.3967661691542288</v>
      </c>
      <c r="AB9" s="319">
        <f t="shared" si="0"/>
        <v>2.6153846153846154</v>
      </c>
      <c r="AC9" s="319">
        <f t="shared" si="0"/>
        <v>2.653992395437262</v>
      </c>
      <c r="AD9" s="319">
        <f t="shared" si="0"/>
      </c>
    </row>
    <row r="10" spans="2:30" ht="12.75">
      <c r="B10" s="169">
        <v>42919</v>
      </c>
      <c r="C10" s="170">
        <v>987</v>
      </c>
      <c r="D10" s="91">
        <v>992</v>
      </c>
      <c r="E10" s="91">
        <v>978.5</v>
      </c>
      <c r="F10" s="91">
        <v>952.5</v>
      </c>
      <c r="G10" s="91">
        <v>984</v>
      </c>
      <c r="H10" s="91">
        <v>983.5</v>
      </c>
      <c r="I10" s="91">
        <v>929</v>
      </c>
      <c r="J10" s="171">
        <v>969</v>
      </c>
      <c r="K10" s="170">
        <v>425</v>
      </c>
      <c r="L10" s="91">
        <v>376</v>
      </c>
      <c r="M10" s="91">
        <v>311</v>
      </c>
      <c r="N10" s="91">
        <v>379</v>
      </c>
      <c r="O10" s="91">
        <v>402</v>
      </c>
      <c r="P10" s="91">
        <v>297</v>
      </c>
      <c r="Q10" s="91">
        <v>250</v>
      </c>
      <c r="R10" s="171">
        <v>358.5</v>
      </c>
      <c r="S10" s="114"/>
      <c r="T10" s="163"/>
      <c r="W10" s="319">
        <f t="shared" si="1"/>
        <v>1.3223529411764705</v>
      </c>
      <c r="X10" s="319">
        <f t="shared" si="0"/>
        <v>1.6382978723404256</v>
      </c>
      <c r="Y10" s="319">
        <f t="shared" si="0"/>
        <v>2.1463022508038585</v>
      </c>
      <c r="Z10" s="319">
        <f t="shared" si="0"/>
        <v>1.5131926121372032</v>
      </c>
      <c r="AA10" s="319">
        <f t="shared" si="0"/>
        <v>1.4477611940298507</v>
      </c>
      <c r="AB10" s="319">
        <f t="shared" si="0"/>
        <v>2.3114478114478114</v>
      </c>
      <c r="AC10" s="319">
        <f t="shared" si="0"/>
        <v>2.716</v>
      </c>
      <c r="AD10" s="319">
        <f t="shared" si="0"/>
        <v>1.702928870292887</v>
      </c>
    </row>
    <row r="11" spans="2:30" ht="12.75">
      <c r="B11" s="169">
        <v>42926</v>
      </c>
      <c r="C11" s="170">
        <v>928</v>
      </c>
      <c r="D11" s="91">
        <v>973</v>
      </c>
      <c r="E11" s="91">
        <v>942.5</v>
      </c>
      <c r="F11" s="91">
        <v>938.5</v>
      </c>
      <c r="G11" s="91">
        <v>974</v>
      </c>
      <c r="H11" s="91">
        <v>883</v>
      </c>
      <c r="I11" s="91">
        <v>885</v>
      </c>
      <c r="J11" s="171">
        <v>888</v>
      </c>
      <c r="K11" s="170">
        <v>400</v>
      </c>
      <c r="L11" s="91">
        <v>375</v>
      </c>
      <c r="M11" s="91">
        <v>318</v>
      </c>
      <c r="N11" s="91">
        <v>361</v>
      </c>
      <c r="O11" s="91">
        <v>383.5</v>
      </c>
      <c r="P11" s="91">
        <v>303</v>
      </c>
      <c r="Q11" s="91">
        <v>270</v>
      </c>
      <c r="R11" s="171">
        <v>281.5</v>
      </c>
      <c r="S11" s="114"/>
      <c r="T11" s="163"/>
      <c r="W11" s="319">
        <f t="shared" si="1"/>
        <v>1.32</v>
      </c>
      <c r="X11" s="319">
        <f t="shared" si="0"/>
        <v>1.5946666666666667</v>
      </c>
      <c r="Y11" s="319">
        <f t="shared" si="0"/>
        <v>1.9638364779874213</v>
      </c>
      <c r="Z11" s="319">
        <f t="shared" si="0"/>
        <v>1.5997229916897506</v>
      </c>
      <c r="AA11" s="319">
        <f t="shared" si="0"/>
        <v>1.5397653194263363</v>
      </c>
      <c r="AB11" s="319">
        <f t="shared" si="0"/>
        <v>1.9141914191419143</v>
      </c>
      <c r="AC11" s="319">
        <f t="shared" si="0"/>
        <v>2.2777777777777777</v>
      </c>
      <c r="AD11" s="319">
        <f t="shared" si="0"/>
        <v>2.1545293072824157</v>
      </c>
    </row>
    <row r="12" spans="2:30" ht="12.75">
      <c r="B12" s="169">
        <v>42933</v>
      </c>
      <c r="C12" s="170">
        <v>787</v>
      </c>
      <c r="D12" s="91">
        <v>955</v>
      </c>
      <c r="E12" s="91">
        <v>878</v>
      </c>
      <c r="F12" s="91">
        <v>883</v>
      </c>
      <c r="G12" s="91">
        <v>957</v>
      </c>
      <c r="H12" s="91">
        <v>870</v>
      </c>
      <c r="I12" s="91">
        <v>826.5</v>
      </c>
      <c r="J12" s="171">
        <v>898</v>
      </c>
      <c r="K12" s="170">
        <v>430</v>
      </c>
      <c r="L12" s="91">
        <v>367</v>
      </c>
      <c r="M12" s="91">
        <v>296</v>
      </c>
      <c r="N12" s="91">
        <v>387</v>
      </c>
      <c r="O12" s="91">
        <v>411</v>
      </c>
      <c r="P12" s="91">
        <v>298.5</v>
      </c>
      <c r="Q12" s="91">
        <v>238</v>
      </c>
      <c r="R12" s="171">
        <v>350</v>
      </c>
      <c r="S12" s="114"/>
      <c r="T12" s="163"/>
      <c r="W12" s="319">
        <f t="shared" si="1"/>
        <v>0.8302325581395349</v>
      </c>
      <c r="X12" s="319">
        <f t="shared" si="0"/>
        <v>1.6021798365122615</v>
      </c>
      <c r="Y12" s="319">
        <f t="shared" si="0"/>
        <v>1.9662162162162162</v>
      </c>
      <c r="Z12" s="319">
        <f t="shared" si="0"/>
        <v>1.2816537467700257</v>
      </c>
      <c r="AA12" s="319">
        <f t="shared" si="0"/>
        <v>1.3284671532846715</v>
      </c>
      <c r="AB12" s="319">
        <f t="shared" si="0"/>
        <v>1.914572864321608</v>
      </c>
      <c r="AC12" s="319">
        <f t="shared" si="0"/>
        <v>2.472689075630252</v>
      </c>
      <c r="AD12" s="319">
        <f t="shared" si="0"/>
        <v>1.5657142857142856</v>
      </c>
    </row>
    <row r="13" spans="2:30" ht="12.75">
      <c r="B13" s="169">
        <v>42940</v>
      </c>
      <c r="C13" s="170">
        <v>705</v>
      </c>
      <c r="D13" s="91">
        <v>910</v>
      </c>
      <c r="E13" s="91">
        <v>874</v>
      </c>
      <c r="F13" s="91">
        <v>846</v>
      </c>
      <c r="G13" s="91">
        <v>878.5</v>
      </c>
      <c r="H13" s="91">
        <v>843.5</v>
      </c>
      <c r="I13" s="91">
        <v>793.5</v>
      </c>
      <c r="J13" s="171">
        <v>721</v>
      </c>
      <c r="K13" s="170">
        <v>400</v>
      </c>
      <c r="L13" s="91">
        <v>356.5</v>
      </c>
      <c r="M13" s="91">
        <v>296</v>
      </c>
      <c r="N13" s="91">
        <v>364</v>
      </c>
      <c r="O13" s="91">
        <v>380.5</v>
      </c>
      <c r="P13" s="91">
        <v>293.5</v>
      </c>
      <c r="Q13" s="91">
        <v>250</v>
      </c>
      <c r="R13" s="171">
        <v>300</v>
      </c>
      <c r="S13" s="114"/>
      <c r="T13" s="163"/>
      <c r="W13" s="319">
        <f t="shared" si="1"/>
        <v>0.7625</v>
      </c>
      <c r="X13" s="319">
        <f t="shared" si="0"/>
        <v>1.5525946704067322</v>
      </c>
      <c r="Y13" s="319">
        <f t="shared" si="0"/>
        <v>1.9527027027027026</v>
      </c>
      <c r="Z13" s="319">
        <f t="shared" si="0"/>
        <v>1.3241758241758241</v>
      </c>
      <c r="AA13" s="319">
        <f t="shared" si="0"/>
        <v>1.3088042049934296</v>
      </c>
      <c r="AB13" s="319">
        <f t="shared" si="0"/>
        <v>1.8739352640545144</v>
      </c>
      <c r="AC13" s="319">
        <f t="shared" si="0"/>
        <v>2.174</v>
      </c>
      <c r="AD13" s="319">
        <f t="shared" si="0"/>
        <v>1.4033333333333333</v>
      </c>
    </row>
    <row r="14" spans="2:30" ht="12.75">
      <c r="B14" s="169">
        <v>42947</v>
      </c>
      <c r="C14" s="170">
        <v>945.5</v>
      </c>
      <c r="D14" s="91">
        <v>919</v>
      </c>
      <c r="E14" s="91">
        <v>933.5</v>
      </c>
      <c r="F14" s="91">
        <v>925.5</v>
      </c>
      <c r="G14" s="91">
        <v>953.5</v>
      </c>
      <c r="H14" s="91">
        <v>964</v>
      </c>
      <c r="I14" s="91">
        <v>869.5</v>
      </c>
      <c r="J14" s="171">
        <v>844</v>
      </c>
      <c r="K14" s="170">
        <v>425</v>
      </c>
      <c r="L14" s="91">
        <v>357</v>
      </c>
      <c r="M14" s="91">
        <v>297.5</v>
      </c>
      <c r="N14" s="91">
        <v>353.5</v>
      </c>
      <c r="O14" s="91">
        <v>363</v>
      </c>
      <c r="P14" s="91">
        <v>290</v>
      </c>
      <c r="Q14" s="91">
        <v>231</v>
      </c>
      <c r="R14" s="171">
        <v>358.5</v>
      </c>
      <c r="S14" s="114"/>
      <c r="T14" s="163"/>
      <c r="W14" s="319">
        <f t="shared" si="1"/>
        <v>1.224705882352941</v>
      </c>
      <c r="X14" s="319">
        <f t="shared" si="0"/>
        <v>1.5742296918767507</v>
      </c>
      <c r="Y14" s="319">
        <f t="shared" si="0"/>
        <v>2.13781512605042</v>
      </c>
      <c r="Z14" s="319">
        <f t="shared" si="0"/>
        <v>1.618104667609618</v>
      </c>
      <c r="AA14" s="319">
        <f t="shared" si="0"/>
        <v>1.6267217630853994</v>
      </c>
      <c r="AB14" s="319">
        <f t="shared" si="0"/>
        <v>2.3241379310344827</v>
      </c>
      <c r="AC14" s="319">
        <f t="shared" si="0"/>
        <v>2.764069264069264</v>
      </c>
      <c r="AD14" s="319">
        <f t="shared" si="0"/>
        <v>1.3542538354253835</v>
      </c>
    </row>
    <row r="15" spans="2:30" ht="12.75">
      <c r="B15" s="169">
        <v>42954</v>
      </c>
      <c r="C15" s="170">
        <v>890</v>
      </c>
      <c r="D15" s="91">
        <v>952</v>
      </c>
      <c r="E15" s="91">
        <v>927.5</v>
      </c>
      <c r="F15" s="91">
        <v>915</v>
      </c>
      <c r="G15" s="91">
        <v>883</v>
      </c>
      <c r="H15" s="91">
        <v>978.5</v>
      </c>
      <c r="I15" s="91">
        <v>875.5</v>
      </c>
      <c r="J15" s="171">
        <v>889</v>
      </c>
      <c r="K15" s="170">
        <v>450</v>
      </c>
      <c r="L15" s="91">
        <v>325</v>
      </c>
      <c r="M15" s="91"/>
      <c r="N15" s="91">
        <v>348.5</v>
      </c>
      <c r="O15" s="91">
        <v>356.5</v>
      </c>
      <c r="P15" s="91">
        <v>281.5</v>
      </c>
      <c r="Q15" s="91"/>
      <c r="R15" s="171">
        <v>244</v>
      </c>
      <c r="S15" s="114"/>
      <c r="T15" s="163"/>
      <c r="W15" s="319">
        <f t="shared" si="1"/>
        <v>0.9777777777777777</v>
      </c>
      <c r="X15" s="319">
        <f t="shared" si="0"/>
        <v>1.9292307692307693</v>
      </c>
      <c r="Y15" s="319">
        <f t="shared" si="0"/>
      </c>
      <c r="Z15" s="319">
        <f t="shared" si="0"/>
        <v>1.6255380200860832</v>
      </c>
      <c r="AA15" s="319">
        <f t="shared" si="0"/>
        <v>1.476858345021038</v>
      </c>
      <c r="AB15" s="319">
        <f t="shared" si="0"/>
        <v>2.476021314387211</v>
      </c>
      <c r="AC15" s="319">
        <f t="shared" si="0"/>
      </c>
      <c r="AD15" s="319">
        <f t="shared" si="0"/>
        <v>2.6434426229508197</v>
      </c>
    </row>
    <row r="16" spans="2:30" ht="12.75">
      <c r="B16" s="169">
        <v>42961</v>
      </c>
      <c r="C16" s="170">
        <v>849</v>
      </c>
      <c r="D16" s="91">
        <v>942</v>
      </c>
      <c r="E16" s="91">
        <v>893.5</v>
      </c>
      <c r="F16" s="91">
        <v>873</v>
      </c>
      <c r="G16" s="91">
        <v>971.5</v>
      </c>
      <c r="H16" s="91">
        <v>862.5</v>
      </c>
      <c r="I16" s="91">
        <v>924</v>
      </c>
      <c r="J16" s="171">
        <v>866</v>
      </c>
      <c r="K16" s="170"/>
      <c r="L16" s="91">
        <v>362.5</v>
      </c>
      <c r="M16" s="91">
        <v>292.5</v>
      </c>
      <c r="N16" s="91">
        <v>315</v>
      </c>
      <c r="O16" s="91">
        <v>350.5</v>
      </c>
      <c r="P16" s="91">
        <v>278</v>
      </c>
      <c r="Q16" s="91">
        <v>250</v>
      </c>
      <c r="R16" s="171">
        <v>358.5</v>
      </c>
      <c r="S16" s="114"/>
      <c r="T16" s="163"/>
      <c r="W16" s="319">
        <f t="shared" si="1"/>
      </c>
      <c r="X16" s="319">
        <f t="shared" si="0"/>
        <v>1.5986206896551725</v>
      </c>
      <c r="Y16" s="319">
        <f t="shared" si="0"/>
        <v>2.0547008547008545</v>
      </c>
      <c r="Z16" s="319">
        <f t="shared" si="0"/>
        <v>1.7714285714285714</v>
      </c>
      <c r="AA16" s="319">
        <f t="shared" si="0"/>
        <v>1.7717546362339516</v>
      </c>
      <c r="AB16" s="319">
        <f t="shared" si="0"/>
        <v>2.102517985611511</v>
      </c>
      <c r="AC16" s="319">
        <f t="shared" si="0"/>
        <v>2.696</v>
      </c>
      <c r="AD16" s="319">
        <f t="shared" si="0"/>
        <v>1.4156206415620642</v>
      </c>
    </row>
    <row r="17" spans="2:30" ht="12.75">
      <c r="B17" s="169">
        <v>42968</v>
      </c>
      <c r="C17" s="170">
        <v>923</v>
      </c>
      <c r="D17" s="91">
        <v>887</v>
      </c>
      <c r="E17" s="91">
        <v>944.5</v>
      </c>
      <c r="F17" s="91">
        <v>967.5</v>
      </c>
      <c r="G17" s="91">
        <v>936</v>
      </c>
      <c r="H17" s="91">
        <v>881</v>
      </c>
      <c r="I17" s="91">
        <v>968</v>
      </c>
      <c r="J17" s="171">
        <v>891</v>
      </c>
      <c r="K17" s="170">
        <v>381.5</v>
      </c>
      <c r="L17" s="91">
        <v>334.5</v>
      </c>
      <c r="M17" s="91">
        <v>315</v>
      </c>
      <c r="N17" s="91">
        <v>331.5</v>
      </c>
      <c r="O17" s="91">
        <v>394</v>
      </c>
      <c r="P17" s="91">
        <v>269</v>
      </c>
      <c r="Q17" s="91">
        <v>250</v>
      </c>
      <c r="R17" s="171">
        <v>250</v>
      </c>
      <c r="S17" s="114"/>
      <c r="T17" s="163"/>
      <c r="W17" s="319">
        <f t="shared" si="1"/>
        <v>1.4193971166448232</v>
      </c>
      <c r="X17" s="319">
        <f t="shared" si="0"/>
        <v>1.6517189835575485</v>
      </c>
      <c r="Y17" s="319">
        <f t="shared" si="0"/>
        <v>1.9984126984126984</v>
      </c>
      <c r="Z17" s="319">
        <f t="shared" si="0"/>
        <v>1.918552036199095</v>
      </c>
      <c r="AA17" s="319">
        <f t="shared" si="0"/>
        <v>1.3756345177664975</v>
      </c>
      <c r="AB17" s="319">
        <f t="shared" si="0"/>
        <v>2.275092936802974</v>
      </c>
      <c r="AC17" s="319">
        <f t="shared" si="0"/>
        <v>2.872</v>
      </c>
      <c r="AD17" s="319">
        <f t="shared" si="0"/>
        <v>2.564</v>
      </c>
    </row>
    <row r="18" spans="2:30" ht="12.75">
      <c r="B18" s="169">
        <v>42975</v>
      </c>
      <c r="C18" s="170">
        <v>866</v>
      </c>
      <c r="D18" s="91">
        <v>894</v>
      </c>
      <c r="E18" s="91">
        <v>1009</v>
      </c>
      <c r="F18" s="91">
        <v>935</v>
      </c>
      <c r="G18" s="91">
        <v>914.5</v>
      </c>
      <c r="H18" s="91">
        <v>847.5</v>
      </c>
      <c r="I18" s="91">
        <v>860.5</v>
      </c>
      <c r="J18" s="171">
        <v>756</v>
      </c>
      <c r="K18" s="170">
        <v>400</v>
      </c>
      <c r="L18" s="91">
        <v>353.5</v>
      </c>
      <c r="M18" s="91">
        <v>302.5</v>
      </c>
      <c r="N18" s="91">
        <v>368</v>
      </c>
      <c r="O18" s="91">
        <v>389.5</v>
      </c>
      <c r="P18" s="91">
        <v>273</v>
      </c>
      <c r="Q18" s="91">
        <v>236.5</v>
      </c>
      <c r="R18" s="171">
        <v>312.5</v>
      </c>
      <c r="S18" s="114"/>
      <c r="T18" s="163"/>
      <c r="W18" s="319">
        <f t="shared" si="1"/>
        <v>1.165</v>
      </c>
      <c r="X18" s="319">
        <f t="shared" si="0"/>
        <v>1.528995756718529</v>
      </c>
      <c r="Y18" s="319">
        <f t="shared" si="0"/>
        <v>2.3355371900826447</v>
      </c>
      <c r="Z18" s="319">
        <f t="shared" si="0"/>
        <v>1.5407608695652173</v>
      </c>
      <c r="AA18" s="319">
        <f t="shared" si="0"/>
        <v>1.3478818998716302</v>
      </c>
      <c r="AB18" s="319">
        <f t="shared" si="0"/>
        <v>2.1043956043956045</v>
      </c>
      <c r="AC18" s="319">
        <f t="shared" si="0"/>
        <v>2.638477801268499</v>
      </c>
      <c r="AD18" s="319">
        <f t="shared" si="0"/>
        <v>1.4192</v>
      </c>
    </row>
    <row r="19" spans="2:30" ht="12.75">
      <c r="B19" s="169">
        <v>42982</v>
      </c>
      <c r="C19" s="170">
        <v>906</v>
      </c>
      <c r="D19" s="91">
        <v>896</v>
      </c>
      <c r="E19" s="91">
        <v>957</v>
      </c>
      <c r="F19" s="91">
        <v>956.5</v>
      </c>
      <c r="G19" s="91">
        <v>922</v>
      </c>
      <c r="H19" s="91">
        <v>834.5</v>
      </c>
      <c r="I19" s="91">
        <v>809</v>
      </c>
      <c r="J19" s="171">
        <v>845</v>
      </c>
      <c r="K19" s="170">
        <v>450</v>
      </c>
      <c r="L19" s="91">
        <v>355</v>
      </c>
      <c r="M19" s="91">
        <v>332</v>
      </c>
      <c r="N19" s="91">
        <v>376</v>
      </c>
      <c r="O19" s="91">
        <v>464.5</v>
      </c>
      <c r="P19" s="91">
        <v>254</v>
      </c>
      <c r="Q19" s="91">
        <v>248</v>
      </c>
      <c r="R19" s="171">
        <v>200</v>
      </c>
      <c r="S19" s="114"/>
      <c r="T19" s="163"/>
      <c r="W19" s="319">
        <f t="shared" si="1"/>
        <v>1.0133333333333334</v>
      </c>
      <c r="X19" s="319">
        <f t="shared" si="0"/>
        <v>1.523943661971831</v>
      </c>
      <c r="Y19" s="319">
        <f t="shared" si="0"/>
        <v>1.8825301204819278</v>
      </c>
      <c r="Z19" s="319">
        <f t="shared" si="0"/>
        <v>1.5438829787234043</v>
      </c>
      <c r="AA19" s="319">
        <f t="shared" si="0"/>
        <v>0.984930032292788</v>
      </c>
      <c r="AB19" s="319">
        <f t="shared" si="0"/>
        <v>2.2854330708661417</v>
      </c>
      <c r="AC19" s="319">
        <f t="shared" si="0"/>
        <v>2.2620967741935485</v>
      </c>
      <c r="AD19" s="319">
        <f t="shared" si="0"/>
        <v>3.225</v>
      </c>
    </row>
    <row r="20" spans="2:30" ht="12.75">
      <c r="B20" s="169">
        <v>42989</v>
      </c>
      <c r="C20" s="170">
        <v>988</v>
      </c>
      <c r="D20" s="91">
        <v>971</v>
      </c>
      <c r="E20" s="91">
        <v>964</v>
      </c>
      <c r="F20" s="91">
        <v>963</v>
      </c>
      <c r="G20" s="91">
        <v>968.5</v>
      </c>
      <c r="H20" s="91">
        <v>993</v>
      </c>
      <c r="I20" s="91">
        <v>656.5</v>
      </c>
      <c r="J20" s="171">
        <v>875</v>
      </c>
      <c r="K20" s="170">
        <v>450</v>
      </c>
      <c r="L20" s="91">
        <v>347.5</v>
      </c>
      <c r="M20" s="91">
        <v>312.5</v>
      </c>
      <c r="N20" s="91">
        <v>365</v>
      </c>
      <c r="O20" s="91">
        <v>393.5</v>
      </c>
      <c r="P20" s="91">
        <v>263</v>
      </c>
      <c r="Q20" s="91">
        <v>244</v>
      </c>
      <c r="R20" s="171">
        <v>308.5</v>
      </c>
      <c r="S20" s="114"/>
      <c r="T20" s="163"/>
      <c r="W20" s="319">
        <f t="shared" si="1"/>
        <v>1.1955555555555555</v>
      </c>
      <c r="X20" s="319">
        <f t="shared" si="0"/>
        <v>1.7942446043165468</v>
      </c>
      <c r="Y20" s="319">
        <f t="shared" si="0"/>
        <v>2.0848</v>
      </c>
      <c r="Z20" s="319">
        <f t="shared" si="0"/>
        <v>1.6383561643835616</v>
      </c>
      <c r="AA20" s="319">
        <f t="shared" si="0"/>
        <v>1.4612452350698857</v>
      </c>
      <c r="AB20" s="319">
        <f t="shared" si="0"/>
        <v>2.7756653992395437</v>
      </c>
      <c r="AC20" s="319">
        <f t="shared" si="0"/>
        <v>1.6905737704918034</v>
      </c>
      <c r="AD20" s="319">
        <f t="shared" si="0"/>
        <v>1.8363047001620745</v>
      </c>
    </row>
    <row r="21" spans="2:30" ht="12.75">
      <c r="B21" s="169">
        <v>42996</v>
      </c>
      <c r="C21" s="170">
        <v>970</v>
      </c>
      <c r="D21" s="91">
        <v>999</v>
      </c>
      <c r="E21" s="91">
        <v>975</v>
      </c>
      <c r="F21" s="91">
        <v>975.5</v>
      </c>
      <c r="G21" s="91">
        <v>990</v>
      </c>
      <c r="H21" s="91">
        <v>984.5</v>
      </c>
      <c r="I21" s="91">
        <v>955.5</v>
      </c>
      <c r="J21" s="171">
        <v>840</v>
      </c>
      <c r="K21" s="170">
        <v>450</v>
      </c>
      <c r="L21" s="91">
        <v>362.5</v>
      </c>
      <c r="M21" s="91">
        <v>279</v>
      </c>
      <c r="N21" s="91">
        <v>354.5</v>
      </c>
      <c r="O21" s="91">
        <v>284.5</v>
      </c>
      <c r="P21" s="91">
        <v>283.5</v>
      </c>
      <c r="Q21" s="91"/>
      <c r="R21" s="171">
        <v>375</v>
      </c>
      <c r="S21" s="114"/>
      <c r="T21" s="163"/>
      <c r="W21" s="319">
        <f t="shared" si="1"/>
        <v>1.1555555555555554</v>
      </c>
      <c r="X21" s="319">
        <f t="shared" si="0"/>
        <v>1.7558620689655173</v>
      </c>
      <c r="Y21" s="319">
        <f t="shared" si="0"/>
        <v>2.4946236559139785</v>
      </c>
      <c r="Z21" s="319">
        <f t="shared" si="0"/>
        <v>1.7517630465444287</v>
      </c>
      <c r="AA21" s="319">
        <f t="shared" si="0"/>
        <v>2.4797891036906856</v>
      </c>
      <c r="AB21" s="319">
        <f t="shared" si="0"/>
        <v>2.472663139329806</v>
      </c>
      <c r="AC21" s="319">
        <f t="shared" si="0"/>
      </c>
      <c r="AD21" s="319">
        <f t="shared" si="0"/>
        <v>1.24</v>
      </c>
    </row>
    <row r="22" spans="2:30" ht="12.75">
      <c r="B22" s="169">
        <v>43003</v>
      </c>
      <c r="C22" s="170">
        <v>996</v>
      </c>
      <c r="D22" s="91">
        <v>971</v>
      </c>
      <c r="E22" s="91">
        <v>983.5</v>
      </c>
      <c r="F22" s="91">
        <v>935</v>
      </c>
      <c r="G22" s="91">
        <v>954</v>
      </c>
      <c r="H22" s="91">
        <v>916.5</v>
      </c>
      <c r="I22" s="91">
        <v>785.5</v>
      </c>
      <c r="J22" s="171">
        <v>935</v>
      </c>
      <c r="K22" s="170">
        <v>490</v>
      </c>
      <c r="L22" s="91">
        <v>371.5</v>
      </c>
      <c r="M22" s="91">
        <v>317.5</v>
      </c>
      <c r="N22" s="91">
        <v>384.5</v>
      </c>
      <c r="O22" s="91">
        <v>383</v>
      </c>
      <c r="P22" s="91">
        <v>269.5</v>
      </c>
      <c r="Q22" s="91">
        <v>225</v>
      </c>
      <c r="R22" s="171">
        <v>250</v>
      </c>
      <c r="S22" s="114"/>
      <c r="T22" s="163"/>
      <c r="W22" s="319">
        <f t="shared" si="1"/>
        <v>1.0326530612244897</v>
      </c>
      <c r="X22" s="319">
        <f t="shared" si="0"/>
        <v>1.613728129205922</v>
      </c>
      <c r="Y22" s="319">
        <f t="shared" si="0"/>
        <v>2.0976377952755905</v>
      </c>
      <c r="Z22" s="319">
        <f t="shared" si="0"/>
        <v>1.4317295188556567</v>
      </c>
      <c r="AA22" s="319">
        <f t="shared" si="0"/>
        <v>1.4908616187989556</v>
      </c>
      <c r="AB22" s="319">
        <f t="shared" si="0"/>
        <v>2.400742115027829</v>
      </c>
      <c r="AC22" s="319">
        <f t="shared" si="0"/>
        <v>2.491111111111111</v>
      </c>
      <c r="AD22" s="319">
        <f t="shared" si="0"/>
        <v>2.74</v>
      </c>
    </row>
    <row r="23" spans="2:30" ht="12.75">
      <c r="B23" s="169">
        <v>43010</v>
      </c>
      <c r="C23" s="170">
        <v>956</v>
      </c>
      <c r="D23" s="91">
        <v>965</v>
      </c>
      <c r="E23" s="91">
        <v>914</v>
      </c>
      <c r="F23" s="91">
        <v>920.5</v>
      </c>
      <c r="G23" s="91">
        <v>934.5</v>
      </c>
      <c r="H23" s="91">
        <v>925</v>
      </c>
      <c r="I23" s="91">
        <v>760.5</v>
      </c>
      <c r="J23" s="310">
        <v>916</v>
      </c>
      <c r="K23" s="170">
        <v>430</v>
      </c>
      <c r="L23" s="91">
        <v>373.5</v>
      </c>
      <c r="M23" s="91">
        <v>314.5</v>
      </c>
      <c r="N23" s="91">
        <v>395</v>
      </c>
      <c r="O23" s="91">
        <v>345.5</v>
      </c>
      <c r="P23" s="91">
        <v>268.5</v>
      </c>
      <c r="Q23" s="91">
        <v>250</v>
      </c>
      <c r="R23" s="171">
        <v>269</v>
      </c>
      <c r="S23" s="114"/>
      <c r="T23" s="163"/>
      <c r="W23" s="319">
        <f t="shared" si="1"/>
        <v>1.2232558139534884</v>
      </c>
      <c r="X23" s="319">
        <f aca="true" t="shared" si="2" ref="X23:AD27">+IF(L23="","",((D23-L23)/L23))</f>
        <v>1.5836680053547523</v>
      </c>
      <c r="Y23" s="319">
        <f t="shared" si="2"/>
        <v>1.9062003179650238</v>
      </c>
      <c r="Z23" s="319">
        <f t="shared" si="2"/>
        <v>1.330379746835443</v>
      </c>
      <c r="AA23" s="319">
        <f t="shared" si="2"/>
        <v>1.7047756874095514</v>
      </c>
      <c r="AB23" s="319">
        <f t="shared" si="2"/>
        <v>2.445065176908752</v>
      </c>
      <c r="AC23" s="319">
        <f t="shared" si="2"/>
        <v>2.042</v>
      </c>
      <c r="AD23" s="319">
        <f t="shared" si="2"/>
        <v>2.4052044609665426</v>
      </c>
    </row>
    <row r="24" spans="2:30" ht="12.75">
      <c r="B24" s="169">
        <v>43017</v>
      </c>
      <c r="C24" s="170">
        <v>899</v>
      </c>
      <c r="D24" s="91">
        <v>936</v>
      </c>
      <c r="E24" s="91">
        <v>985.5</v>
      </c>
      <c r="F24" s="91">
        <v>922.5</v>
      </c>
      <c r="G24" s="91">
        <v>921.5</v>
      </c>
      <c r="H24" s="91">
        <v>937</v>
      </c>
      <c r="I24" s="91">
        <v>922</v>
      </c>
      <c r="J24" s="310">
        <v>857</v>
      </c>
      <c r="K24" s="170">
        <v>520</v>
      </c>
      <c r="L24" s="91">
        <v>395</v>
      </c>
      <c r="M24" s="91">
        <v>308</v>
      </c>
      <c r="N24" s="91">
        <v>384</v>
      </c>
      <c r="O24" s="91">
        <v>334.5</v>
      </c>
      <c r="P24" s="91">
        <v>261.5</v>
      </c>
      <c r="Q24" s="91">
        <v>250</v>
      </c>
      <c r="R24" s="171">
        <v>375</v>
      </c>
      <c r="S24" s="114"/>
      <c r="T24" s="163"/>
      <c r="W24" s="319">
        <f t="shared" si="1"/>
        <v>0.7288461538461538</v>
      </c>
      <c r="X24" s="319">
        <f t="shared" si="2"/>
        <v>1.369620253164557</v>
      </c>
      <c r="Y24" s="319">
        <f t="shared" si="2"/>
        <v>2.199675324675325</v>
      </c>
      <c r="Z24" s="319">
        <f t="shared" si="2"/>
        <v>1.40234375</v>
      </c>
      <c r="AA24" s="319">
        <f t="shared" si="2"/>
        <v>1.7548579970104634</v>
      </c>
      <c r="AB24" s="319">
        <f t="shared" si="2"/>
        <v>2.5831739961759084</v>
      </c>
      <c r="AC24" s="319">
        <f t="shared" si="2"/>
        <v>2.688</v>
      </c>
      <c r="AD24" s="319">
        <f t="shared" si="2"/>
        <v>1.2853333333333334</v>
      </c>
    </row>
    <row r="25" spans="2:30" ht="12.75">
      <c r="B25" s="169">
        <v>43024</v>
      </c>
      <c r="C25" s="170">
        <v>975</v>
      </c>
      <c r="D25" s="91">
        <v>883</v>
      </c>
      <c r="E25" s="91">
        <v>974</v>
      </c>
      <c r="F25" s="91">
        <v>903.5</v>
      </c>
      <c r="G25" s="91">
        <v>905.5</v>
      </c>
      <c r="H25" s="91">
        <v>895</v>
      </c>
      <c r="I25" s="91">
        <v>727.5</v>
      </c>
      <c r="J25" s="310">
        <v>849</v>
      </c>
      <c r="K25" s="170">
        <v>480</v>
      </c>
      <c r="L25" s="91">
        <v>325</v>
      </c>
      <c r="M25" s="91">
        <v>295</v>
      </c>
      <c r="N25" s="91">
        <v>368.5</v>
      </c>
      <c r="O25" s="91">
        <v>311.5</v>
      </c>
      <c r="P25" s="91">
        <v>263.5</v>
      </c>
      <c r="Q25" s="91">
        <v>263</v>
      </c>
      <c r="R25" s="171">
        <v>375</v>
      </c>
      <c r="S25" s="114"/>
      <c r="T25" s="163"/>
      <c r="W25" s="319">
        <f t="shared" si="1"/>
        <v>1.03125</v>
      </c>
      <c r="X25" s="319">
        <f t="shared" si="2"/>
        <v>1.716923076923077</v>
      </c>
      <c r="Y25" s="319">
        <f t="shared" si="2"/>
        <v>2.301694915254237</v>
      </c>
      <c r="Z25" s="319">
        <f t="shared" si="2"/>
        <v>1.451831750339213</v>
      </c>
      <c r="AA25" s="319">
        <f t="shared" si="2"/>
        <v>1.9069020866773676</v>
      </c>
      <c r="AB25" s="319">
        <f t="shared" si="2"/>
        <v>2.396584440227704</v>
      </c>
      <c r="AC25" s="319">
        <f t="shared" si="2"/>
        <v>1.7661596958174905</v>
      </c>
      <c r="AD25" s="319">
        <f t="shared" si="2"/>
        <v>1.264</v>
      </c>
    </row>
    <row r="26" spans="2:30" ht="12.75">
      <c r="B26" s="169">
        <v>43031</v>
      </c>
      <c r="C26" s="170">
        <v>945</v>
      </c>
      <c r="D26" s="91">
        <v>856</v>
      </c>
      <c r="E26" s="91">
        <v>980</v>
      </c>
      <c r="F26" s="91">
        <v>902</v>
      </c>
      <c r="G26" s="91">
        <v>901</v>
      </c>
      <c r="H26" s="91">
        <v>859.5</v>
      </c>
      <c r="I26" s="91">
        <v>749</v>
      </c>
      <c r="J26" s="310">
        <v>846</v>
      </c>
      <c r="K26" s="170">
        <v>500</v>
      </c>
      <c r="L26" s="91">
        <v>410</v>
      </c>
      <c r="M26" s="91">
        <v>326</v>
      </c>
      <c r="N26" s="91">
        <v>410</v>
      </c>
      <c r="O26" s="91">
        <v>335.5</v>
      </c>
      <c r="P26" s="91">
        <v>272</v>
      </c>
      <c r="Q26" s="91">
        <v>328</v>
      </c>
      <c r="R26" s="171">
        <v>400</v>
      </c>
      <c r="S26" s="114"/>
      <c r="T26" s="163"/>
      <c r="U26" s="162"/>
      <c r="V26" s="343"/>
      <c r="W26" s="319">
        <f t="shared" si="1"/>
        <v>0.89</v>
      </c>
      <c r="X26" s="319">
        <f t="shared" si="2"/>
        <v>1.0878048780487806</v>
      </c>
      <c r="Y26" s="319">
        <f t="shared" si="2"/>
        <v>2.0061349693251533</v>
      </c>
      <c r="Z26" s="319">
        <f t="shared" si="2"/>
        <v>1.2</v>
      </c>
      <c r="AA26" s="319">
        <f t="shared" si="2"/>
        <v>1.6855439642324888</v>
      </c>
      <c r="AB26" s="319">
        <f t="shared" si="2"/>
        <v>2.1599264705882355</v>
      </c>
      <c r="AC26" s="319">
        <f t="shared" si="2"/>
        <v>1.2835365853658536</v>
      </c>
      <c r="AD26" s="319">
        <f t="shared" si="2"/>
        <v>1.115</v>
      </c>
    </row>
    <row r="27" spans="2:30" ht="12.75">
      <c r="B27" s="172">
        <v>43038</v>
      </c>
      <c r="C27" s="173">
        <v>995</v>
      </c>
      <c r="D27" s="33">
        <v>894</v>
      </c>
      <c r="E27" s="33">
        <v>947</v>
      </c>
      <c r="F27" s="33">
        <v>877</v>
      </c>
      <c r="G27" s="33">
        <v>973</v>
      </c>
      <c r="H27" s="33">
        <v>906.5</v>
      </c>
      <c r="I27" s="33">
        <v>724</v>
      </c>
      <c r="J27" s="311">
        <v>880</v>
      </c>
      <c r="K27" s="173"/>
      <c r="L27" s="33">
        <v>402</v>
      </c>
      <c r="M27" s="33">
        <v>325</v>
      </c>
      <c r="N27" s="33">
        <v>384.5</v>
      </c>
      <c r="O27" s="33">
        <v>362.5</v>
      </c>
      <c r="P27" s="33">
        <v>272</v>
      </c>
      <c r="Q27" s="33">
        <v>294</v>
      </c>
      <c r="R27" s="174"/>
      <c r="S27" s="114"/>
      <c r="T27" s="175"/>
      <c r="U27" s="162"/>
      <c r="V27" s="343"/>
      <c r="W27" s="319">
        <f t="shared" si="1"/>
      </c>
      <c r="X27" s="319">
        <f t="shared" si="2"/>
        <v>1.2238805970149254</v>
      </c>
      <c r="Y27" s="319">
        <f t="shared" si="2"/>
        <v>1.9138461538461538</v>
      </c>
      <c r="Z27" s="319">
        <f t="shared" si="2"/>
        <v>1.2808842652795838</v>
      </c>
      <c r="AA27" s="319">
        <f t="shared" si="2"/>
        <v>1.6841379310344828</v>
      </c>
      <c r="AB27" s="319">
        <f t="shared" si="2"/>
        <v>2.332720588235294</v>
      </c>
      <c r="AC27" s="319">
        <f t="shared" si="2"/>
        <v>1.4625850340136055</v>
      </c>
      <c r="AD27" s="319">
        <f t="shared" si="2"/>
      </c>
    </row>
    <row r="28" spans="2:21" ht="12.75">
      <c r="B28" s="35" t="s">
        <v>192</v>
      </c>
      <c r="P28" s="41"/>
      <c r="Q28" s="41"/>
      <c r="T28" s="175"/>
      <c r="U28" s="162"/>
    </row>
    <row r="29" spans="20:30" ht="12.75">
      <c r="T29" s="163"/>
      <c r="V29" s="348" t="s">
        <v>218</v>
      </c>
      <c r="W29" s="338">
        <f aca="true" t="shared" si="3" ref="W29:AD29">+AVERAGE(C7:C27)</f>
        <v>914.3571428571429</v>
      </c>
      <c r="X29" s="338">
        <f t="shared" si="3"/>
        <v>944.7142857142857</v>
      </c>
      <c r="Y29" s="338">
        <f t="shared" si="3"/>
        <v>948.0952380952381</v>
      </c>
      <c r="Z29" s="338">
        <f t="shared" si="3"/>
        <v>926.047619047619</v>
      </c>
      <c r="AA29" s="338">
        <f t="shared" si="3"/>
        <v>941.6666666666666</v>
      </c>
      <c r="AB29" s="338">
        <f t="shared" si="3"/>
        <v>910.952380952381</v>
      </c>
      <c r="AC29" s="338">
        <f t="shared" si="3"/>
        <v>847.6666666666666</v>
      </c>
      <c r="AD29" s="338">
        <f t="shared" si="3"/>
        <v>867.2380952380952</v>
      </c>
    </row>
    <row r="30" spans="20:30" ht="12.75">
      <c r="T30" s="163"/>
      <c r="V30" s="348" t="s">
        <v>219</v>
      </c>
      <c r="W30" s="338">
        <f aca="true" t="shared" si="4" ref="W30:AD30">+AVERAGE(K7:K27)</f>
        <v>437.36842105263156</v>
      </c>
      <c r="X30" s="338">
        <f t="shared" si="4"/>
        <v>367.5238095238095</v>
      </c>
      <c r="Y30" s="338">
        <f t="shared" si="4"/>
        <v>306.05</v>
      </c>
      <c r="Z30" s="338">
        <f t="shared" si="4"/>
        <v>368.85714285714283</v>
      </c>
      <c r="AA30" s="338">
        <f t="shared" si="4"/>
        <v>375.5</v>
      </c>
      <c r="AB30" s="338">
        <f t="shared" si="4"/>
        <v>277.73809523809524</v>
      </c>
      <c r="AC30" s="338">
        <f t="shared" si="4"/>
        <v>255.76315789473685</v>
      </c>
      <c r="AD30" s="338">
        <f t="shared" si="4"/>
        <v>316.10526315789474</v>
      </c>
    </row>
    <row r="31" spans="20:30" ht="12.75">
      <c r="T31" s="163"/>
      <c r="V31" s="348" t="s">
        <v>186</v>
      </c>
      <c r="W31" s="319">
        <f>+W29/W30-1</f>
        <v>1.0905879319236722</v>
      </c>
      <c r="X31" s="319">
        <f aca="true" t="shared" si="5" ref="X31:AD31">+X29/X30-1</f>
        <v>1.5704845814977975</v>
      </c>
      <c r="Y31" s="319">
        <f t="shared" si="5"/>
        <v>2.0978442675877735</v>
      </c>
      <c r="Z31" s="319">
        <f t="shared" si="5"/>
        <v>1.5105861089594632</v>
      </c>
      <c r="AA31" s="319">
        <f t="shared" si="5"/>
        <v>1.507767421216156</v>
      </c>
      <c r="AB31" s="319">
        <f t="shared" si="5"/>
        <v>2.2798971281611657</v>
      </c>
      <c r="AC31" s="319">
        <f t="shared" si="5"/>
        <v>2.314264156120314</v>
      </c>
      <c r="AD31" s="319">
        <f t="shared" si="5"/>
        <v>1.7435104577961718</v>
      </c>
    </row>
    <row r="32" ht="12.75">
      <c r="T32" s="163"/>
    </row>
    <row r="33" ht="12.75">
      <c r="T33" s="163"/>
    </row>
    <row r="34" ht="12.75">
      <c r="T34" s="163"/>
    </row>
    <row r="35" ht="12.75">
      <c r="T35" s="163"/>
    </row>
    <row r="36" ht="12.75">
      <c r="T36" s="163"/>
    </row>
    <row r="37" ht="12.75">
      <c r="T37" s="163"/>
    </row>
    <row r="48" ht="12.75">
      <c r="C48" s="35" t="s">
        <v>192</v>
      </c>
    </row>
  </sheetData>
  <sheetProtection/>
  <mergeCells count="5">
    <mergeCell ref="B2:R2"/>
    <mergeCell ref="B3:R3"/>
    <mergeCell ref="B4:R4"/>
    <mergeCell ref="C5:J5"/>
    <mergeCell ref="K5:R5"/>
  </mergeCells>
  <conditionalFormatting sqref="W29:AD29">
    <cfRule type="top10" priority="5" dxfId="42" rank="1" bottom="1"/>
    <cfRule type="top10" priority="6" dxfId="43" rank="1"/>
  </conditionalFormatting>
  <conditionalFormatting sqref="W30:AD30">
    <cfRule type="top10" priority="3" dxfId="42" rank="1" bottom="1"/>
    <cfRule type="top10" priority="4" dxfId="43" rank="1"/>
  </conditionalFormatting>
  <conditionalFormatting sqref="W31:AD31">
    <cfRule type="top10" priority="1" dxfId="42" rank="1" bottom="1"/>
    <cfRule type="top10" priority="2" dxfId="43" rank="1"/>
  </conditionalFormatting>
  <hyperlinks>
    <hyperlink ref="T2" location="Índice!A1" display="Volver al índice"/>
  </hyperlinks>
  <printOptions/>
  <pageMargins left="0.25" right="0.25" top="0.75" bottom="0.75" header="0.3" footer="0.3"/>
  <pageSetup horizontalDpi="600" verticalDpi="600" orientation="landscape"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1"/>
  <sheetViews>
    <sheetView zoomScale="80" zoomScaleNormal="80" zoomScaleSheetLayoutView="80" zoomScalePageLayoutView="80" workbookViewId="0" topLeftCell="A1">
      <selection activeCell="A1" sqref="A1"/>
    </sheetView>
  </sheetViews>
  <sheetFormatPr defaultColWidth="14.421875" defaultRowHeight="15"/>
  <cols>
    <col min="1" max="1" width="1.421875" style="20" customWidth="1"/>
    <col min="2" max="7" width="18.421875" style="20" customWidth="1"/>
    <col min="8" max="8" width="14.421875" style="20" customWidth="1"/>
    <col min="9" max="9" width="5.28125" style="146" customWidth="1"/>
    <col min="10" max="10" width="7.28125" style="138" hidden="1" customWidth="1"/>
    <col min="11" max="12" width="8.421875" style="138" hidden="1" customWidth="1"/>
    <col min="13" max="13" width="14.421875" style="146" customWidth="1"/>
    <col min="14" max="16384" width="14.421875" style="20" customWidth="1"/>
  </cols>
  <sheetData>
    <row r="1" ht="6" customHeight="1"/>
    <row r="2" spans="1:9" ht="12.75">
      <c r="A2" s="2"/>
      <c r="C2" s="391" t="s">
        <v>14</v>
      </c>
      <c r="D2" s="391"/>
      <c r="E2" s="391"/>
      <c r="F2" s="391"/>
      <c r="H2" s="45" t="s">
        <v>148</v>
      </c>
      <c r="I2" s="145"/>
    </row>
    <row r="3" spans="1:6" ht="12.75">
      <c r="A3" s="2"/>
      <c r="C3" s="391" t="s">
        <v>121</v>
      </c>
      <c r="D3" s="391"/>
      <c r="E3" s="391"/>
      <c r="F3" s="391"/>
    </row>
    <row r="4" spans="1:6" ht="12.75">
      <c r="A4" s="2"/>
      <c r="C4" s="25"/>
      <c r="D4" s="25"/>
      <c r="E4" s="25"/>
      <c r="F4" s="25"/>
    </row>
    <row r="5" spans="1:6" ht="12.75" customHeight="1">
      <c r="A5" s="2"/>
      <c r="C5" s="392" t="s">
        <v>13</v>
      </c>
      <c r="D5" s="394" t="s">
        <v>149</v>
      </c>
      <c r="E5" s="394" t="s">
        <v>150</v>
      </c>
      <c r="F5" s="394" t="s">
        <v>151</v>
      </c>
    </row>
    <row r="6" spans="1:6" ht="12.75">
      <c r="A6" s="2"/>
      <c r="C6" s="393"/>
      <c r="D6" s="395"/>
      <c r="E6" s="395"/>
      <c r="F6" s="395"/>
    </row>
    <row r="7" spans="1:9" ht="12.75">
      <c r="A7" s="2"/>
      <c r="C7" s="25" t="s">
        <v>12</v>
      </c>
      <c r="D7" s="80">
        <v>63110</v>
      </c>
      <c r="E7" s="80">
        <v>1210044.3</v>
      </c>
      <c r="F7" s="86">
        <v>19.173574710822372</v>
      </c>
      <c r="H7" s="129"/>
      <c r="I7" s="144"/>
    </row>
    <row r="8" spans="1:12" ht="12.75">
      <c r="A8" s="2"/>
      <c r="C8" s="25" t="s">
        <v>11</v>
      </c>
      <c r="D8" s="80">
        <v>61360</v>
      </c>
      <c r="E8" s="80">
        <v>1303267.5</v>
      </c>
      <c r="F8" s="86">
        <v>21.239691981747065</v>
      </c>
      <c r="J8" s="320">
        <f aca="true" t="shared" si="0" ref="J8:J22">+(D8-D7)/D7</f>
        <v>-0.027729361432419584</v>
      </c>
      <c r="K8" s="320">
        <f aca="true" t="shared" si="1" ref="K8:L22">+(E8-E7)/E7</f>
        <v>0.07704114634480734</v>
      </c>
      <c r="L8" s="320">
        <f t="shared" si="1"/>
        <v>0.10775858451468047</v>
      </c>
    </row>
    <row r="9" spans="1:12" ht="12.75">
      <c r="A9" s="2"/>
      <c r="C9" s="25" t="s">
        <v>10</v>
      </c>
      <c r="D9" s="80">
        <v>56000</v>
      </c>
      <c r="E9" s="80">
        <v>1093728.4</v>
      </c>
      <c r="F9" s="86">
        <v>19.530864285714287</v>
      </c>
      <c r="J9" s="320">
        <f t="shared" si="0"/>
        <v>-0.08735332464146023</v>
      </c>
      <c r="K9" s="320">
        <f t="shared" si="1"/>
        <v>-0.16077980921031185</v>
      </c>
      <c r="L9" s="320">
        <f t="shared" si="1"/>
        <v>-0.08045444809187004</v>
      </c>
    </row>
    <row r="10" spans="1:12" ht="12.75" customHeight="1">
      <c r="A10" s="2"/>
      <c r="C10" s="25" t="s">
        <v>9</v>
      </c>
      <c r="D10" s="80">
        <v>59560</v>
      </c>
      <c r="E10" s="80">
        <v>1144170</v>
      </c>
      <c r="F10" s="86">
        <v>19.210376091336467</v>
      </c>
      <c r="J10" s="320">
        <f t="shared" si="0"/>
        <v>0.06357142857142857</v>
      </c>
      <c r="K10" s="320">
        <f t="shared" si="1"/>
        <v>0.04611894506899528</v>
      </c>
      <c r="L10" s="320">
        <f t="shared" si="1"/>
        <v>-0.016409319612764834</v>
      </c>
    </row>
    <row r="11" spans="1:12" ht="12.75">
      <c r="A11" s="2"/>
      <c r="C11" s="25" t="s">
        <v>8</v>
      </c>
      <c r="D11" s="80">
        <v>55620</v>
      </c>
      <c r="E11" s="80">
        <v>1115735.7</v>
      </c>
      <c r="F11" s="86">
        <v>20.059973031283707</v>
      </c>
      <c r="G11" s="53"/>
      <c r="J11" s="320">
        <f t="shared" si="0"/>
        <v>-0.0661517797179315</v>
      </c>
      <c r="K11" s="320">
        <f t="shared" si="1"/>
        <v>-0.02485146438029318</v>
      </c>
      <c r="L11" s="320">
        <f t="shared" si="1"/>
        <v>0.04422593997680206</v>
      </c>
    </row>
    <row r="12" spans="1:12" ht="12.75">
      <c r="A12" s="2"/>
      <c r="C12" s="25" t="s">
        <v>7</v>
      </c>
      <c r="D12" s="80">
        <v>63200</v>
      </c>
      <c r="E12" s="80">
        <v>1391378.2</v>
      </c>
      <c r="F12" s="86">
        <v>22.015477848101266</v>
      </c>
      <c r="J12" s="320">
        <f t="shared" si="0"/>
        <v>0.1362819129809421</v>
      </c>
      <c r="K12" s="320">
        <f t="shared" si="1"/>
        <v>0.2470499958009769</v>
      </c>
      <c r="L12" s="320">
        <f t="shared" si="1"/>
        <v>0.09748292351978398</v>
      </c>
    </row>
    <row r="13" spans="1:12" ht="12.75">
      <c r="A13" s="2"/>
      <c r="C13" s="25" t="s">
        <v>6</v>
      </c>
      <c r="D13" s="80">
        <v>54145</v>
      </c>
      <c r="E13" s="80">
        <v>834859.9</v>
      </c>
      <c r="F13" s="86">
        <v>15.41896574014221</v>
      </c>
      <c r="J13" s="320">
        <f t="shared" si="0"/>
        <v>-0.1432753164556962</v>
      </c>
      <c r="K13" s="320">
        <f t="shared" si="1"/>
        <v>-0.39997629688319103</v>
      </c>
      <c r="L13" s="320">
        <f t="shared" si="1"/>
        <v>-0.29963065773418923</v>
      </c>
    </row>
    <row r="14" spans="1:12" ht="12.75">
      <c r="A14" s="2"/>
      <c r="C14" s="25" t="s">
        <v>5</v>
      </c>
      <c r="D14" s="80">
        <v>55976</v>
      </c>
      <c r="E14" s="80">
        <v>965939.5</v>
      </c>
      <c r="F14" s="86">
        <v>17.25631520651708</v>
      </c>
      <c r="J14" s="320">
        <f t="shared" si="0"/>
        <v>0.03381660356450272</v>
      </c>
      <c r="K14" s="320">
        <f t="shared" si="1"/>
        <v>0.1570079003674748</v>
      </c>
      <c r="L14" s="320">
        <f t="shared" si="1"/>
        <v>0.11916165437682093</v>
      </c>
    </row>
    <row r="15" spans="1:12" ht="12.75">
      <c r="A15" s="2"/>
      <c r="C15" s="25" t="s">
        <v>4</v>
      </c>
      <c r="D15" s="80">
        <v>45078</v>
      </c>
      <c r="E15" s="80">
        <v>924548.1</v>
      </c>
      <c r="F15" s="86">
        <v>20.50996273126581</v>
      </c>
      <c r="J15" s="320">
        <f t="shared" si="0"/>
        <v>-0.19469058167786193</v>
      </c>
      <c r="K15" s="320">
        <f t="shared" si="1"/>
        <v>-0.04285092389326663</v>
      </c>
      <c r="L15" s="320">
        <f t="shared" si="1"/>
        <v>0.18854822051001624</v>
      </c>
    </row>
    <row r="16" spans="1:12" ht="12.75">
      <c r="A16" s="2"/>
      <c r="C16" s="25" t="s">
        <v>3</v>
      </c>
      <c r="D16" s="80">
        <v>50771</v>
      </c>
      <c r="E16" s="80">
        <v>1081349.2</v>
      </c>
      <c r="F16" s="86">
        <v>21.3</v>
      </c>
      <c r="J16" s="320">
        <f t="shared" si="0"/>
        <v>0.12629220462309773</v>
      </c>
      <c r="K16" s="320">
        <f t="shared" si="1"/>
        <v>0.1695975579853552</v>
      </c>
      <c r="L16" s="320">
        <f t="shared" si="1"/>
        <v>0.03851968329176157</v>
      </c>
    </row>
    <row r="17" spans="1:12" ht="12.75">
      <c r="A17" s="2"/>
      <c r="C17" s="25" t="s">
        <v>2</v>
      </c>
      <c r="D17" s="80">
        <v>53653</v>
      </c>
      <c r="E17" s="80">
        <v>1676444</v>
      </c>
      <c r="F17" s="86">
        <v>31.25</v>
      </c>
      <c r="J17" s="320">
        <f t="shared" si="0"/>
        <v>0.05676468850327943</v>
      </c>
      <c r="K17" s="320">
        <f t="shared" si="1"/>
        <v>0.5503262035982457</v>
      </c>
      <c r="L17" s="320">
        <f t="shared" si="1"/>
        <v>0.46713615023474175</v>
      </c>
    </row>
    <row r="18" spans="1:12" ht="12.75">
      <c r="A18" s="2"/>
      <c r="C18" s="25" t="s">
        <v>120</v>
      </c>
      <c r="D18" s="80">
        <v>41534</v>
      </c>
      <c r="E18" s="80">
        <v>1093452</v>
      </c>
      <c r="F18" s="86">
        <v>26.33</v>
      </c>
      <c r="G18" s="51"/>
      <c r="J18" s="320">
        <f t="shared" si="0"/>
        <v>-0.22587739734963563</v>
      </c>
      <c r="K18" s="320">
        <f t="shared" si="1"/>
        <v>-0.3477551293094192</v>
      </c>
      <c r="L18" s="320">
        <f t="shared" si="1"/>
        <v>-0.15744000000000005</v>
      </c>
    </row>
    <row r="19" spans="1:12" ht="12.75">
      <c r="A19" s="2"/>
      <c r="C19" s="25" t="s">
        <v>129</v>
      </c>
      <c r="D19" s="80">
        <v>49576</v>
      </c>
      <c r="E19" s="80">
        <v>1159022.1</v>
      </c>
      <c r="F19" s="86">
        <v>23.3786933193481</v>
      </c>
      <c r="G19" s="51"/>
      <c r="J19" s="320">
        <f t="shared" si="0"/>
        <v>0.19362450040930324</v>
      </c>
      <c r="K19" s="320">
        <f t="shared" si="1"/>
        <v>0.059966143918526</v>
      </c>
      <c r="L19" s="320">
        <f t="shared" si="1"/>
        <v>-0.1120891257368743</v>
      </c>
    </row>
    <row r="20" spans="1:12" ht="12.75" customHeight="1">
      <c r="A20" s="2"/>
      <c r="C20" s="25" t="s">
        <v>143</v>
      </c>
      <c r="D20" s="80">
        <v>48965</v>
      </c>
      <c r="E20" s="80">
        <f>+D20*F20</f>
        <v>1061324.9400000002</v>
      </c>
      <c r="F20" s="86">
        <v>21.675174920861842</v>
      </c>
      <c r="H20" s="231"/>
      <c r="J20" s="320">
        <f t="shared" si="0"/>
        <v>-0.0123245118605777</v>
      </c>
      <c r="K20" s="320">
        <f t="shared" si="1"/>
        <v>-0.0842927498966585</v>
      </c>
      <c r="L20" s="320">
        <f t="shared" si="1"/>
        <v>-0.07286627936029394</v>
      </c>
    </row>
    <row r="21" spans="1:12" ht="12.75">
      <c r="A21" s="2"/>
      <c r="C21" s="25" t="s">
        <v>172</v>
      </c>
      <c r="D21" s="80">
        <v>50526.3379674093</v>
      </c>
      <c r="E21" s="80">
        <v>960502</v>
      </c>
      <c r="F21" s="86">
        <v>19.01</v>
      </c>
      <c r="G21" s="133"/>
      <c r="I21" s="158"/>
      <c r="J21" s="320">
        <f t="shared" si="0"/>
        <v>0.03188681644867357</v>
      </c>
      <c r="K21" s="320">
        <f t="shared" si="1"/>
        <v>-0.09499723995932872</v>
      </c>
      <c r="L21" s="320">
        <f t="shared" si="1"/>
        <v>-0.12295978835661772</v>
      </c>
    </row>
    <row r="22" spans="1:12" ht="12.75" customHeight="1">
      <c r="A22" s="2"/>
      <c r="C22" s="25" t="s">
        <v>190</v>
      </c>
      <c r="D22" s="80">
        <v>53485</v>
      </c>
      <c r="E22" s="80">
        <v>1166024.9</v>
      </c>
      <c r="F22" s="86">
        <v>21.8</v>
      </c>
      <c r="G22" s="133"/>
      <c r="J22" s="320">
        <f t="shared" si="0"/>
        <v>0.058556827025522944</v>
      </c>
      <c r="K22" s="320">
        <f t="shared" si="1"/>
        <v>0.21397446335353795</v>
      </c>
      <c r="L22" s="320">
        <f t="shared" si="1"/>
        <v>0.14676486059968433</v>
      </c>
    </row>
    <row r="23" spans="1:12" ht="12.75" customHeight="1">
      <c r="A23" s="2"/>
      <c r="C23" s="211" t="s">
        <v>250</v>
      </c>
      <c r="D23" s="80">
        <v>54082</v>
      </c>
      <c r="E23" s="80">
        <f>+D23*F23</f>
        <v>1426478.7500000002</v>
      </c>
      <c r="F23" s="86">
        <v>26.376220369069195</v>
      </c>
      <c r="G23" s="223"/>
      <c r="J23" s="320">
        <f aca="true" t="shared" si="2" ref="J23:L24">+(D23-D22)/D22</f>
        <v>0.011162008039637282</v>
      </c>
      <c r="K23" s="320">
        <f t="shared" si="2"/>
        <v>0.2233690292548644</v>
      </c>
      <c r="L23" s="320">
        <f t="shared" si="2"/>
        <v>0.20991836555363275</v>
      </c>
    </row>
    <row r="24" spans="1:12" ht="12.75" customHeight="1">
      <c r="A24" s="2"/>
      <c r="C24" s="211" t="s">
        <v>267</v>
      </c>
      <c r="D24" s="80">
        <v>46523</v>
      </c>
      <c r="E24" s="210">
        <f>+D24*F24</f>
        <v>1120651.1501151032</v>
      </c>
      <c r="F24" s="209">
        <f>+AVERAGE(F22:F23)</f>
        <v>24.0881101845346</v>
      </c>
      <c r="G24" s="223"/>
      <c r="J24" s="320">
        <f t="shared" si="2"/>
        <v>-0.1397692393032802</v>
      </c>
      <c r="K24" s="320">
        <f t="shared" si="2"/>
        <v>-0.21439337942110737</v>
      </c>
      <c r="L24" s="320">
        <f t="shared" si="2"/>
        <v>-0.08674897891048147</v>
      </c>
    </row>
    <row r="25" spans="1:7" ht="12.75">
      <c r="A25" s="2"/>
      <c r="B25" s="134"/>
      <c r="C25" s="140" t="s">
        <v>132</v>
      </c>
      <c r="D25" s="139"/>
      <c r="E25" s="139"/>
      <c r="F25" s="139"/>
      <c r="G25" s="134"/>
    </row>
    <row r="26" spans="1:7" ht="50.25" customHeight="1">
      <c r="A26" s="2"/>
      <c r="B26" s="134"/>
      <c r="C26" s="390" t="s">
        <v>268</v>
      </c>
      <c r="D26" s="390"/>
      <c r="E26" s="390"/>
      <c r="F26" s="390"/>
      <c r="G26" s="134"/>
    </row>
    <row r="27" spans="1:8" ht="12.75">
      <c r="A27" s="2"/>
      <c r="C27" s="307"/>
      <c r="D27" s="307"/>
      <c r="E27" s="307"/>
      <c r="F27" s="307"/>
      <c r="G27" s="307"/>
      <c r="H27" s="307"/>
    </row>
    <row r="28" ht="12.75">
      <c r="G28" s="52"/>
    </row>
    <row r="34" ht="15">
      <c r="K34" s="321"/>
    </row>
    <row r="38" ht="12.75">
      <c r="I38" s="208"/>
    </row>
    <row r="46" spans="8:9" ht="12.75">
      <c r="H46" s="52"/>
      <c r="I46" s="147"/>
    </row>
    <row r="51" ht="12.75">
      <c r="B51" s="26" t="s">
        <v>132</v>
      </c>
    </row>
  </sheetData>
  <sheetProtection/>
  <mergeCells count="7">
    <mergeCell ref="C26:F26"/>
    <mergeCell ref="C2:F2"/>
    <mergeCell ref="C3:F3"/>
    <mergeCell ref="C5:C6"/>
    <mergeCell ref="D5:D6"/>
    <mergeCell ref="E5:E6"/>
    <mergeCell ref="F5:F6"/>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8"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7"/>
  <sheetViews>
    <sheetView zoomScale="80" zoomScaleNormal="80" zoomScalePageLayoutView="80" workbookViewId="0" topLeftCell="A1">
      <selection activeCell="A1" sqref="A1"/>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7" width="11.8515625" style="20" customWidth="1"/>
    <col min="8" max="8" width="11.7109375" style="20" customWidth="1"/>
    <col min="9" max="9" width="14.421875" style="20" customWidth="1"/>
    <col min="10" max="10" width="11.28125" style="20" customWidth="1"/>
    <col min="11" max="11" width="12.140625" style="20" customWidth="1"/>
    <col min="12" max="12" width="10.421875" style="20" customWidth="1"/>
    <col min="13" max="13" width="2.00390625" style="20" customWidth="1"/>
    <col min="14" max="14" width="14.00390625" style="20" customWidth="1"/>
    <col min="15" max="15" width="6.8515625" style="146" customWidth="1"/>
    <col min="16" max="16" width="9.421875" style="138" hidden="1" customWidth="1"/>
    <col min="17" max="17" width="10.421875" style="138" hidden="1" customWidth="1"/>
    <col min="18" max="18" width="12.7109375" style="138" hidden="1" customWidth="1"/>
    <col min="19" max="19" width="9.421875" style="138" hidden="1" customWidth="1"/>
    <col min="20" max="20" width="7.8515625" style="138" hidden="1" customWidth="1"/>
    <col min="21" max="21" width="7.421875" style="138" hidden="1" customWidth="1"/>
    <col min="22" max="22" width="12.8515625" style="138" hidden="1" customWidth="1"/>
    <col min="23" max="23" width="8.7109375" style="138" hidden="1" customWidth="1"/>
    <col min="24" max="24" width="10.28125" style="138" hidden="1" customWidth="1"/>
    <col min="25" max="26" width="15.8515625" style="146" customWidth="1"/>
    <col min="27" max="16384" width="15.8515625" style="20" customWidth="1"/>
  </cols>
  <sheetData>
    <row r="1" ht="6" customHeight="1"/>
    <row r="2" spans="2:14" ht="12.75">
      <c r="B2" s="377" t="s">
        <v>105</v>
      </c>
      <c r="C2" s="377"/>
      <c r="D2" s="377"/>
      <c r="E2" s="377"/>
      <c r="F2" s="377"/>
      <c r="G2" s="377"/>
      <c r="H2" s="377"/>
      <c r="I2" s="377"/>
      <c r="J2" s="377"/>
      <c r="K2" s="377"/>
      <c r="L2" s="377"/>
      <c r="M2" s="234"/>
      <c r="N2" s="45" t="s">
        <v>148</v>
      </c>
    </row>
    <row r="3" spans="2:13" ht="12.75" customHeight="1">
      <c r="B3" s="377" t="s">
        <v>49</v>
      </c>
      <c r="C3" s="377"/>
      <c r="D3" s="377"/>
      <c r="E3" s="377"/>
      <c r="F3" s="377"/>
      <c r="G3" s="377"/>
      <c r="H3" s="377"/>
      <c r="I3" s="377"/>
      <c r="J3" s="377"/>
      <c r="K3" s="377"/>
      <c r="L3" s="377"/>
      <c r="M3" s="234"/>
    </row>
    <row r="4" spans="2:13" ht="12.75">
      <c r="B4" s="377" t="s">
        <v>27</v>
      </c>
      <c r="C4" s="377"/>
      <c r="D4" s="377"/>
      <c r="E4" s="377"/>
      <c r="F4" s="377"/>
      <c r="G4" s="377"/>
      <c r="H4" s="377"/>
      <c r="I4" s="377"/>
      <c r="J4" s="377"/>
      <c r="K4" s="377"/>
      <c r="L4" s="377"/>
      <c r="M4" s="234"/>
    </row>
    <row r="5" spans="2:11" ht="12.75">
      <c r="B5" s="2"/>
      <c r="C5" s="2"/>
      <c r="D5" s="2"/>
      <c r="E5" s="2"/>
      <c r="F5" s="2"/>
      <c r="G5" s="2"/>
      <c r="H5" s="2"/>
      <c r="I5" s="2"/>
      <c r="J5" s="49"/>
      <c r="K5" s="2"/>
    </row>
    <row r="6" spans="2:16" ht="12.75">
      <c r="B6" s="396" t="s">
        <v>13</v>
      </c>
      <c r="C6" s="249" t="s">
        <v>24</v>
      </c>
      <c r="D6" s="249" t="s">
        <v>24</v>
      </c>
      <c r="E6" s="249" t="s">
        <v>26</v>
      </c>
      <c r="F6" s="249" t="s">
        <v>24</v>
      </c>
      <c r="G6" s="249" t="s">
        <v>25</v>
      </c>
      <c r="H6" s="249" t="s">
        <v>25</v>
      </c>
      <c r="I6" s="249" t="s">
        <v>24</v>
      </c>
      <c r="J6" s="249" t="s">
        <v>24</v>
      </c>
      <c r="K6" s="249" t="s">
        <v>24</v>
      </c>
      <c r="L6" s="249" t="s">
        <v>152</v>
      </c>
      <c r="M6" s="1"/>
      <c r="P6" s="138" t="s">
        <v>251</v>
      </c>
    </row>
    <row r="7" spans="2:24" ht="12.75">
      <c r="B7" s="397"/>
      <c r="C7" s="250" t="s">
        <v>23</v>
      </c>
      <c r="D7" s="250" t="s">
        <v>22</v>
      </c>
      <c r="E7" s="250" t="s">
        <v>21</v>
      </c>
      <c r="F7" s="250" t="s">
        <v>20</v>
      </c>
      <c r="G7" s="250" t="s">
        <v>19</v>
      </c>
      <c r="H7" s="250" t="s">
        <v>18</v>
      </c>
      <c r="I7" s="250" t="s">
        <v>17</v>
      </c>
      <c r="J7" s="250" t="s">
        <v>16</v>
      </c>
      <c r="K7" s="250" t="s">
        <v>15</v>
      </c>
      <c r="L7" s="250" t="s">
        <v>153</v>
      </c>
      <c r="M7" s="1"/>
      <c r="P7" s="322" t="str">
        <f>+C7</f>
        <v>Coquimbo</v>
      </c>
      <c r="Q7" s="322" t="str">
        <f aca="true" t="shared" si="0" ref="Q7:V7">+D7</f>
        <v>Valparaíso</v>
      </c>
      <c r="R7" s="322" t="str">
        <f t="shared" si="0"/>
        <v>Metropolitana</v>
      </c>
      <c r="S7" s="322" t="str">
        <f t="shared" si="0"/>
        <v>O´Higgins</v>
      </c>
      <c r="T7" s="322" t="str">
        <f t="shared" si="0"/>
        <v>Maule</v>
      </c>
      <c r="U7" s="322" t="str">
        <f t="shared" si="0"/>
        <v>Bío Bío</v>
      </c>
      <c r="V7" s="322" t="str">
        <f t="shared" si="0"/>
        <v>La Araucanía</v>
      </c>
      <c r="W7" s="322" t="str">
        <f>+J7</f>
        <v>Los Ríos</v>
      </c>
      <c r="X7" s="322" t="str">
        <f>+K7</f>
        <v>Los Lagos</v>
      </c>
    </row>
    <row r="8" spans="2:13" ht="12.75">
      <c r="B8" s="68" t="s">
        <v>11</v>
      </c>
      <c r="C8" s="67">
        <v>5960</v>
      </c>
      <c r="D8" s="67">
        <v>1480</v>
      </c>
      <c r="E8" s="67">
        <v>4280</v>
      </c>
      <c r="F8" s="67">
        <v>2960</v>
      </c>
      <c r="G8" s="67">
        <v>4170</v>
      </c>
      <c r="H8" s="67">
        <v>5240</v>
      </c>
      <c r="I8" s="67">
        <v>18030</v>
      </c>
      <c r="J8" s="68"/>
      <c r="K8" s="67">
        <v>17930</v>
      </c>
      <c r="L8" s="67"/>
      <c r="M8" s="67"/>
    </row>
    <row r="9" spans="2:24" ht="12.75">
      <c r="B9" s="68" t="s">
        <v>10</v>
      </c>
      <c r="C9" s="67">
        <v>5420</v>
      </c>
      <c r="D9" s="67">
        <v>1190</v>
      </c>
      <c r="E9" s="67">
        <v>4090</v>
      </c>
      <c r="F9" s="67">
        <v>3140</v>
      </c>
      <c r="G9" s="67">
        <v>3850</v>
      </c>
      <c r="H9" s="67">
        <v>5690</v>
      </c>
      <c r="I9" s="67">
        <v>15000</v>
      </c>
      <c r="J9" s="68"/>
      <c r="K9" s="67">
        <v>16310</v>
      </c>
      <c r="L9" s="67"/>
      <c r="M9" s="67"/>
      <c r="P9" s="320">
        <f aca="true" t="shared" si="1" ref="P9:P21">+C9/C8-1</f>
        <v>-0.09060402684563762</v>
      </c>
      <c r="Q9" s="320">
        <f aca="true" t="shared" si="2" ref="Q9:Q21">+D9/D8-1</f>
        <v>-0.19594594594594594</v>
      </c>
      <c r="R9" s="320">
        <f aca="true" t="shared" si="3" ref="R9:R21">+E9/E8-1</f>
        <v>-0.04439252336448596</v>
      </c>
      <c r="S9" s="320">
        <f aca="true" t="shared" si="4" ref="S9:S21">+F9/F8-1</f>
        <v>0.060810810810810745</v>
      </c>
      <c r="T9" s="320">
        <f aca="true" t="shared" si="5" ref="T9:T21">+G9/G8-1</f>
        <v>-0.0767386091127098</v>
      </c>
      <c r="U9" s="320">
        <f aca="true" t="shared" si="6" ref="U9:U21">+H9/H8-1</f>
        <v>0.08587786259541974</v>
      </c>
      <c r="V9" s="320">
        <f aca="true" t="shared" si="7" ref="V9:V21">+I9/I8-1</f>
        <v>-0.16805324459234605</v>
      </c>
      <c r="W9" s="320" t="e">
        <f aca="true" t="shared" si="8" ref="W9:W21">+J9/J8-1</f>
        <v>#DIV/0!</v>
      </c>
      <c r="X9" s="320">
        <f aca="true" t="shared" si="9" ref="X9:X21">+K9/K8-1</f>
        <v>-0.09035136642498609</v>
      </c>
    </row>
    <row r="10" spans="2:24" ht="12.75">
      <c r="B10" s="68" t="s">
        <v>9</v>
      </c>
      <c r="C10" s="67">
        <v>5400</v>
      </c>
      <c r="D10" s="67">
        <v>1200</v>
      </c>
      <c r="E10" s="67">
        <v>4000</v>
      </c>
      <c r="F10" s="67">
        <v>3450</v>
      </c>
      <c r="G10" s="67">
        <v>3800</v>
      </c>
      <c r="H10" s="67">
        <v>6400</v>
      </c>
      <c r="I10" s="67">
        <v>16800</v>
      </c>
      <c r="J10" s="68"/>
      <c r="K10" s="67">
        <v>17200</v>
      </c>
      <c r="L10" s="67"/>
      <c r="M10" s="67"/>
      <c r="N10" s="50"/>
      <c r="P10" s="320">
        <f t="shared" si="1"/>
        <v>-0.0036900369003689537</v>
      </c>
      <c r="Q10" s="320">
        <f t="shared" si="2"/>
        <v>0.008403361344537785</v>
      </c>
      <c r="R10" s="320">
        <f t="shared" si="3"/>
        <v>-0.022004889975550168</v>
      </c>
      <c r="S10" s="320">
        <f t="shared" si="4"/>
        <v>0.09872611464968162</v>
      </c>
      <c r="T10" s="320">
        <f t="shared" si="5"/>
        <v>-0.012987012987012991</v>
      </c>
      <c r="U10" s="320">
        <f t="shared" si="6"/>
        <v>0.12478031634446407</v>
      </c>
      <c r="V10" s="320">
        <f t="shared" si="7"/>
        <v>0.1200000000000001</v>
      </c>
      <c r="W10" s="320" t="e">
        <f t="shared" si="8"/>
        <v>#DIV/0!</v>
      </c>
      <c r="X10" s="320">
        <f t="shared" si="9"/>
        <v>0.05456774984671986</v>
      </c>
    </row>
    <row r="11" spans="2:24" ht="12.75">
      <c r="B11" s="68" t="s">
        <v>8</v>
      </c>
      <c r="C11" s="67">
        <v>4960</v>
      </c>
      <c r="D11" s="67">
        <v>1550</v>
      </c>
      <c r="E11" s="67">
        <v>3260</v>
      </c>
      <c r="F11" s="67">
        <v>2820</v>
      </c>
      <c r="G11" s="67">
        <v>2800</v>
      </c>
      <c r="H11" s="67">
        <v>6290</v>
      </c>
      <c r="I11" s="67">
        <v>15620</v>
      </c>
      <c r="J11" s="68"/>
      <c r="K11" s="67">
        <v>17010</v>
      </c>
      <c r="L11" s="67"/>
      <c r="M11" s="67"/>
      <c r="N11" s="50"/>
      <c r="P11" s="320">
        <f t="shared" si="1"/>
        <v>-0.08148148148148149</v>
      </c>
      <c r="Q11" s="320">
        <f t="shared" si="2"/>
        <v>0.29166666666666674</v>
      </c>
      <c r="R11" s="320">
        <f t="shared" si="3"/>
        <v>-0.18500000000000005</v>
      </c>
      <c r="S11" s="320">
        <f t="shared" si="4"/>
        <v>-0.18260869565217386</v>
      </c>
      <c r="T11" s="320">
        <f t="shared" si="5"/>
        <v>-0.26315789473684215</v>
      </c>
      <c r="U11" s="320">
        <f t="shared" si="6"/>
        <v>-0.017187500000000022</v>
      </c>
      <c r="V11" s="320">
        <f t="shared" si="7"/>
        <v>-0.07023809523809521</v>
      </c>
      <c r="W11" s="320" t="e">
        <f t="shared" si="8"/>
        <v>#DIV/0!</v>
      </c>
      <c r="X11" s="320">
        <f t="shared" si="9"/>
        <v>-0.01104651162790693</v>
      </c>
    </row>
    <row r="12" spans="2:24" ht="12.75">
      <c r="B12" s="68" t="s">
        <v>7</v>
      </c>
      <c r="C12" s="67">
        <v>5590</v>
      </c>
      <c r="D12" s="67">
        <v>1870</v>
      </c>
      <c r="E12" s="67">
        <v>4000</v>
      </c>
      <c r="F12" s="67">
        <v>3410</v>
      </c>
      <c r="G12" s="67">
        <v>3740</v>
      </c>
      <c r="H12" s="67">
        <v>6600</v>
      </c>
      <c r="I12" s="67">
        <v>17980</v>
      </c>
      <c r="J12" s="68"/>
      <c r="K12" s="67">
        <v>18700</v>
      </c>
      <c r="L12" s="67"/>
      <c r="M12" s="67"/>
      <c r="N12" s="50"/>
      <c r="P12" s="320">
        <f t="shared" si="1"/>
        <v>0.127016129032258</v>
      </c>
      <c r="Q12" s="320">
        <f t="shared" si="2"/>
        <v>0.2064516129032259</v>
      </c>
      <c r="R12" s="320">
        <f t="shared" si="3"/>
        <v>0.22699386503067487</v>
      </c>
      <c r="S12" s="320">
        <f t="shared" si="4"/>
        <v>0.20921985815602828</v>
      </c>
      <c r="T12" s="320">
        <f t="shared" si="5"/>
        <v>0.33571428571428563</v>
      </c>
      <c r="U12" s="320">
        <f t="shared" si="6"/>
        <v>0.049284578696343395</v>
      </c>
      <c r="V12" s="320">
        <f t="shared" si="7"/>
        <v>0.1510883482714469</v>
      </c>
      <c r="W12" s="320" t="e">
        <f t="shared" si="8"/>
        <v>#DIV/0!</v>
      </c>
      <c r="X12" s="320">
        <f t="shared" si="9"/>
        <v>0.09935332157554377</v>
      </c>
    </row>
    <row r="13" spans="2:24" ht="12.75">
      <c r="B13" s="68" t="s">
        <v>6</v>
      </c>
      <c r="C13" s="69">
        <v>3236.8</v>
      </c>
      <c r="D13" s="69">
        <v>2184.18</v>
      </c>
      <c r="E13" s="69">
        <v>5236.7</v>
      </c>
      <c r="F13" s="69">
        <v>1711.1</v>
      </c>
      <c r="G13" s="69">
        <v>3368.74</v>
      </c>
      <c r="H13" s="69">
        <v>8440.58</v>
      </c>
      <c r="I13" s="69">
        <v>14058.9</v>
      </c>
      <c r="J13" s="69">
        <v>3971.3</v>
      </c>
      <c r="K13" s="69">
        <v>11228.6</v>
      </c>
      <c r="L13" s="69"/>
      <c r="M13" s="69"/>
      <c r="N13" s="50"/>
      <c r="P13" s="320">
        <f t="shared" si="1"/>
        <v>-0.4209660107334525</v>
      </c>
      <c r="Q13" s="320">
        <f t="shared" si="2"/>
        <v>0.1680106951871656</v>
      </c>
      <c r="R13" s="320">
        <f t="shared" si="3"/>
        <v>0.309175</v>
      </c>
      <c r="S13" s="320">
        <f t="shared" si="4"/>
        <v>-0.49821114369501474</v>
      </c>
      <c r="T13" s="320">
        <f t="shared" si="5"/>
        <v>-0.09926737967914445</v>
      </c>
      <c r="U13" s="320">
        <f t="shared" si="6"/>
        <v>0.27887575757575767</v>
      </c>
      <c r="V13" s="320">
        <f t="shared" si="7"/>
        <v>-0.21808120133481645</v>
      </c>
      <c r="W13" s="320" t="e">
        <f t="shared" si="8"/>
        <v>#DIV/0!</v>
      </c>
      <c r="X13" s="320">
        <f t="shared" si="9"/>
        <v>-0.3995401069518716</v>
      </c>
    </row>
    <row r="14" spans="2:24" ht="12.75">
      <c r="B14" s="68" t="s">
        <v>5</v>
      </c>
      <c r="C14" s="67">
        <v>3520</v>
      </c>
      <c r="D14" s="67">
        <v>2040</v>
      </c>
      <c r="E14" s="67">
        <v>5610</v>
      </c>
      <c r="F14" s="67">
        <v>1570</v>
      </c>
      <c r="G14" s="67">
        <v>3430</v>
      </c>
      <c r="H14" s="67">
        <v>8100</v>
      </c>
      <c r="I14" s="67">
        <v>14800</v>
      </c>
      <c r="J14" s="67">
        <v>4240</v>
      </c>
      <c r="K14" s="67">
        <v>11960</v>
      </c>
      <c r="L14" s="67"/>
      <c r="M14" s="67"/>
      <c r="P14" s="320">
        <f t="shared" si="1"/>
        <v>0.08749382105783488</v>
      </c>
      <c r="Q14" s="320">
        <f t="shared" si="2"/>
        <v>-0.06601104304590277</v>
      </c>
      <c r="R14" s="320">
        <f t="shared" si="3"/>
        <v>0.0712853514617986</v>
      </c>
      <c r="S14" s="320">
        <f t="shared" si="4"/>
        <v>-0.08246157442580793</v>
      </c>
      <c r="T14" s="320">
        <f t="shared" si="5"/>
        <v>0.018184840622903486</v>
      </c>
      <c r="U14" s="320">
        <f t="shared" si="6"/>
        <v>-0.04035030768027792</v>
      </c>
      <c r="V14" s="320">
        <f t="shared" si="7"/>
        <v>0.05271393921288303</v>
      </c>
      <c r="W14" s="320">
        <f t="shared" si="8"/>
        <v>0.06766046382796564</v>
      </c>
      <c r="X14" s="320">
        <f t="shared" si="9"/>
        <v>0.06513723883654232</v>
      </c>
    </row>
    <row r="15" spans="2:24" ht="12.75">
      <c r="B15" s="68" t="s">
        <v>4</v>
      </c>
      <c r="C15" s="67">
        <v>2996</v>
      </c>
      <c r="D15" s="67">
        <v>606</v>
      </c>
      <c r="E15" s="67">
        <v>2760</v>
      </c>
      <c r="F15" s="67">
        <v>259</v>
      </c>
      <c r="G15" s="67">
        <v>2183</v>
      </c>
      <c r="H15" s="67">
        <v>7025</v>
      </c>
      <c r="I15" s="67">
        <v>13473</v>
      </c>
      <c r="J15" s="67">
        <v>4567</v>
      </c>
      <c r="K15" s="67">
        <v>10522</v>
      </c>
      <c r="L15" s="67"/>
      <c r="M15" s="67"/>
      <c r="P15" s="320">
        <f t="shared" si="1"/>
        <v>-0.1488636363636363</v>
      </c>
      <c r="Q15" s="320">
        <f t="shared" si="2"/>
        <v>-0.7029411764705882</v>
      </c>
      <c r="R15" s="320">
        <f t="shared" si="3"/>
        <v>-0.5080213903743316</v>
      </c>
      <c r="S15" s="320">
        <f t="shared" si="4"/>
        <v>-0.835031847133758</v>
      </c>
      <c r="T15" s="320">
        <f t="shared" si="5"/>
        <v>-0.36355685131195337</v>
      </c>
      <c r="U15" s="320">
        <f t="shared" si="6"/>
        <v>-0.13271604938271608</v>
      </c>
      <c r="V15" s="320">
        <f t="shared" si="7"/>
        <v>-0.08966216216216216</v>
      </c>
      <c r="W15" s="320">
        <f t="shared" si="8"/>
        <v>0.07712264150943393</v>
      </c>
      <c r="X15" s="320">
        <f t="shared" si="9"/>
        <v>-0.12023411371237458</v>
      </c>
    </row>
    <row r="16" spans="2:24" ht="12.75">
      <c r="B16" s="68" t="s">
        <v>3</v>
      </c>
      <c r="C16" s="67">
        <v>3421</v>
      </c>
      <c r="D16" s="67">
        <v>447</v>
      </c>
      <c r="E16" s="67">
        <v>3493</v>
      </c>
      <c r="F16" s="67">
        <v>1981</v>
      </c>
      <c r="G16" s="67">
        <v>4589</v>
      </c>
      <c r="H16" s="67">
        <v>8958</v>
      </c>
      <c r="I16" s="67">
        <v>16756</v>
      </c>
      <c r="J16" s="67">
        <v>3767</v>
      </c>
      <c r="K16" s="67">
        <v>6672</v>
      </c>
      <c r="L16" s="67"/>
      <c r="M16" s="67"/>
      <c r="N16" s="50"/>
      <c r="P16" s="320">
        <f t="shared" si="1"/>
        <v>0.14185580774365825</v>
      </c>
      <c r="Q16" s="320">
        <f t="shared" si="2"/>
        <v>-0.2623762376237624</v>
      </c>
      <c r="R16" s="320">
        <f t="shared" si="3"/>
        <v>0.26557971014492754</v>
      </c>
      <c r="S16" s="320">
        <f t="shared" si="4"/>
        <v>6.648648648648648</v>
      </c>
      <c r="T16" s="320">
        <f t="shared" si="5"/>
        <v>1.102153000458085</v>
      </c>
      <c r="U16" s="320">
        <f t="shared" si="6"/>
        <v>0.2751601423487544</v>
      </c>
      <c r="V16" s="320">
        <f t="shared" si="7"/>
        <v>0.2436725302456766</v>
      </c>
      <c r="W16" s="320">
        <f t="shared" si="8"/>
        <v>-0.17516969564265383</v>
      </c>
      <c r="X16" s="320">
        <f t="shared" si="9"/>
        <v>-0.36590001900779323</v>
      </c>
    </row>
    <row r="17" spans="2:24" ht="12.75">
      <c r="B17" s="68" t="s">
        <v>2</v>
      </c>
      <c r="C17" s="67">
        <v>3208</v>
      </c>
      <c r="D17" s="67">
        <v>1493</v>
      </c>
      <c r="E17" s="67">
        <v>3750</v>
      </c>
      <c r="F17" s="67">
        <v>887</v>
      </c>
      <c r="G17" s="67">
        <v>4584</v>
      </c>
      <c r="H17" s="67">
        <v>9385</v>
      </c>
      <c r="I17" s="67">
        <v>17757</v>
      </c>
      <c r="J17" s="67">
        <v>3839</v>
      </c>
      <c r="K17" s="67">
        <v>8063</v>
      </c>
      <c r="L17" s="67"/>
      <c r="M17" s="67"/>
      <c r="N17" s="50"/>
      <c r="P17" s="320">
        <f t="shared" si="1"/>
        <v>-0.062262496346097596</v>
      </c>
      <c r="Q17" s="320">
        <f t="shared" si="2"/>
        <v>2.3400447427293063</v>
      </c>
      <c r="R17" s="320">
        <f t="shared" si="3"/>
        <v>0.07357572287432013</v>
      </c>
      <c r="S17" s="320">
        <f t="shared" si="4"/>
        <v>-0.552246340232206</v>
      </c>
      <c r="T17" s="320">
        <f t="shared" si="5"/>
        <v>-0.0010895619960775704</v>
      </c>
      <c r="U17" s="320">
        <f t="shared" si="6"/>
        <v>0.04766688993078816</v>
      </c>
      <c r="V17" s="320">
        <f t="shared" si="7"/>
        <v>0.05973979470040591</v>
      </c>
      <c r="W17" s="320">
        <f t="shared" si="8"/>
        <v>0.019113352800637085</v>
      </c>
      <c r="X17" s="320">
        <f t="shared" si="9"/>
        <v>0.2084832134292567</v>
      </c>
    </row>
    <row r="18" spans="2:25" ht="12.75">
      <c r="B18" s="68" t="s">
        <v>120</v>
      </c>
      <c r="C18" s="67">
        <v>1865</v>
      </c>
      <c r="D18" s="67">
        <v>1421</v>
      </c>
      <c r="E18" s="67">
        <v>3607</v>
      </c>
      <c r="F18" s="67">
        <v>1681</v>
      </c>
      <c r="G18" s="67">
        <v>2080</v>
      </c>
      <c r="H18" s="67">
        <v>5998</v>
      </c>
      <c r="I18" s="67">
        <v>10383</v>
      </c>
      <c r="J18" s="67">
        <v>3393</v>
      </c>
      <c r="K18" s="67">
        <v>10419</v>
      </c>
      <c r="L18" s="67">
        <v>687</v>
      </c>
      <c r="M18" s="67"/>
      <c r="N18" s="50"/>
      <c r="P18" s="320">
        <f t="shared" si="1"/>
        <v>-0.418640897755611</v>
      </c>
      <c r="Q18" s="320">
        <f t="shared" si="2"/>
        <v>-0.04822505023442736</v>
      </c>
      <c r="R18" s="320">
        <f t="shared" si="3"/>
        <v>-0.03813333333333335</v>
      </c>
      <c r="S18" s="320">
        <f t="shared" si="4"/>
        <v>0.895152198421646</v>
      </c>
      <c r="T18" s="320">
        <f t="shared" si="5"/>
        <v>-0.5462478184991274</v>
      </c>
      <c r="U18" s="320">
        <f t="shared" si="6"/>
        <v>-0.36089504528502925</v>
      </c>
      <c r="V18" s="320">
        <f t="shared" si="7"/>
        <v>-0.4152728501436054</v>
      </c>
      <c r="W18" s="320">
        <f t="shared" si="8"/>
        <v>-0.1161760875227924</v>
      </c>
      <c r="X18" s="320">
        <f t="shared" si="9"/>
        <v>0.292198933399479</v>
      </c>
      <c r="Y18" s="144"/>
    </row>
    <row r="19" spans="2:24" ht="12.75">
      <c r="B19" s="68" t="s">
        <v>129</v>
      </c>
      <c r="C19" s="67">
        <v>2546</v>
      </c>
      <c r="D19" s="67">
        <v>1103</v>
      </c>
      <c r="E19" s="67">
        <v>5104</v>
      </c>
      <c r="F19" s="67">
        <v>942</v>
      </c>
      <c r="G19" s="67">
        <v>3017</v>
      </c>
      <c r="H19" s="67">
        <v>8372</v>
      </c>
      <c r="I19" s="67">
        <v>14459</v>
      </c>
      <c r="J19" s="67">
        <v>3334</v>
      </c>
      <c r="K19" s="67">
        <v>10012</v>
      </c>
      <c r="L19" s="67">
        <v>687</v>
      </c>
      <c r="M19" s="67"/>
      <c r="N19" s="50"/>
      <c r="P19" s="320">
        <f t="shared" si="1"/>
        <v>0.36514745308311003</v>
      </c>
      <c r="Q19" s="320">
        <f t="shared" si="2"/>
        <v>-0.22378606615059815</v>
      </c>
      <c r="R19" s="320">
        <f t="shared" si="3"/>
        <v>0.4150263376767396</v>
      </c>
      <c r="S19" s="320">
        <f t="shared" si="4"/>
        <v>-0.4396192742415229</v>
      </c>
      <c r="T19" s="320">
        <f t="shared" si="5"/>
        <v>0.4504807692307693</v>
      </c>
      <c r="U19" s="320">
        <f t="shared" si="6"/>
        <v>0.39579859953317764</v>
      </c>
      <c r="V19" s="320">
        <f t="shared" si="7"/>
        <v>0.39256476933448914</v>
      </c>
      <c r="W19" s="320">
        <f t="shared" si="8"/>
        <v>-0.01738874152667258</v>
      </c>
      <c r="X19" s="320">
        <f t="shared" si="9"/>
        <v>-0.03906324983203757</v>
      </c>
    </row>
    <row r="20" spans="2:24" ht="12.75">
      <c r="B20" s="68" t="s">
        <v>143</v>
      </c>
      <c r="C20" s="67">
        <v>2197</v>
      </c>
      <c r="D20" s="67">
        <v>1480</v>
      </c>
      <c r="E20" s="67">
        <v>3299</v>
      </c>
      <c r="F20" s="67">
        <v>1394</v>
      </c>
      <c r="G20" s="67">
        <v>3557</v>
      </c>
      <c r="H20" s="67">
        <v>8532</v>
      </c>
      <c r="I20" s="67">
        <v>13054</v>
      </c>
      <c r="J20" s="67">
        <v>4007</v>
      </c>
      <c r="K20" s="67">
        <v>10758</v>
      </c>
      <c r="L20" s="67">
        <v>687</v>
      </c>
      <c r="M20" s="67"/>
      <c r="N20" s="50"/>
      <c r="P20" s="320">
        <f t="shared" si="1"/>
        <v>-0.13707776904948943</v>
      </c>
      <c r="Q20" s="320">
        <f t="shared" si="2"/>
        <v>0.34179510426110604</v>
      </c>
      <c r="R20" s="320">
        <f t="shared" si="3"/>
        <v>-0.3536442006269592</v>
      </c>
      <c r="S20" s="320">
        <f t="shared" si="4"/>
        <v>0.47983014861995743</v>
      </c>
      <c r="T20" s="320">
        <f t="shared" si="5"/>
        <v>0.17898574743122309</v>
      </c>
      <c r="U20" s="320">
        <f t="shared" si="6"/>
        <v>0.019111323459149565</v>
      </c>
      <c r="V20" s="320">
        <f t="shared" si="7"/>
        <v>-0.09717131198561446</v>
      </c>
      <c r="W20" s="320">
        <f t="shared" si="8"/>
        <v>0.20185962807438518</v>
      </c>
      <c r="X20" s="320">
        <f t="shared" si="9"/>
        <v>0.07451058729524562</v>
      </c>
    </row>
    <row r="21" spans="2:24" ht="12.75">
      <c r="B21" s="68" t="s">
        <v>172</v>
      </c>
      <c r="C21" s="67">
        <v>1874.8517657009927</v>
      </c>
      <c r="D21" s="67">
        <v>1451.319986235742</v>
      </c>
      <c r="E21" s="67">
        <v>4939.809486900715</v>
      </c>
      <c r="F21" s="67">
        <v>2047.895051547505</v>
      </c>
      <c r="G21" s="67">
        <v>3593.539657032328</v>
      </c>
      <c r="H21" s="67">
        <v>8685.459966446108</v>
      </c>
      <c r="I21" s="67">
        <v>16788.425585779605</v>
      </c>
      <c r="J21" s="67">
        <v>3490.6066401256444</v>
      </c>
      <c r="K21" s="67">
        <v>6967.429827640695</v>
      </c>
      <c r="L21" s="67">
        <v>687</v>
      </c>
      <c r="M21" s="67"/>
      <c r="N21" s="50"/>
      <c r="P21" s="320">
        <f t="shared" si="1"/>
        <v>-0.14663096690897015</v>
      </c>
      <c r="Q21" s="320">
        <f t="shared" si="2"/>
        <v>-0.01937838767855271</v>
      </c>
      <c r="R21" s="320">
        <f t="shared" si="3"/>
        <v>0.4973657129132205</v>
      </c>
      <c r="S21" s="320">
        <f t="shared" si="4"/>
        <v>0.469078229230635</v>
      </c>
      <c r="T21" s="320">
        <f t="shared" si="5"/>
        <v>0.010272605294441295</v>
      </c>
      <c r="U21" s="320">
        <f t="shared" si="6"/>
        <v>0.017986400192933294</v>
      </c>
      <c r="V21" s="320">
        <f t="shared" si="7"/>
        <v>0.28607519425307215</v>
      </c>
      <c r="W21" s="320">
        <f t="shared" si="8"/>
        <v>-0.1288728125466323</v>
      </c>
      <c r="X21" s="320">
        <f t="shared" si="9"/>
        <v>-0.352348965640389</v>
      </c>
    </row>
    <row r="22" spans="2:24" ht="12.75">
      <c r="B22" s="68" t="s">
        <v>190</v>
      </c>
      <c r="C22" s="67">
        <v>2244</v>
      </c>
      <c r="D22" s="67">
        <v>776</v>
      </c>
      <c r="E22" s="67">
        <v>4449</v>
      </c>
      <c r="F22" s="67">
        <v>2251</v>
      </c>
      <c r="G22" s="67">
        <v>5243</v>
      </c>
      <c r="H22" s="67">
        <v>8946</v>
      </c>
      <c r="I22" s="67">
        <v>14976</v>
      </c>
      <c r="J22" s="67">
        <v>3369</v>
      </c>
      <c r="K22" s="67">
        <v>10544</v>
      </c>
      <c r="L22" s="67">
        <v>687</v>
      </c>
      <c r="M22" s="67"/>
      <c r="N22" s="50"/>
      <c r="P22" s="320">
        <f aca="true" t="shared" si="10" ref="P22:X22">+C22/C21-1</f>
        <v>0.19689462444567485</v>
      </c>
      <c r="Q22" s="320">
        <f t="shared" si="10"/>
        <v>-0.4653143294658989</v>
      </c>
      <c r="R22" s="320">
        <f t="shared" si="10"/>
        <v>-0.0993579789265625</v>
      </c>
      <c r="S22" s="320">
        <f t="shared" si="10"/>
        <v>0.09917742039516009</v>
      </c>
      <c r="T22" s="320">
        <f t="shared" si="10"/>
        <v>0.4590071351347922</v>
      </c>
      <c r="U22" s="320">
        <f t="shared" si="10"/>
        <v>0.0299972637673096</v>
      </c>
      <c r="V22" s="320">
        <f t="shared" si="10"/>
        <v>-0.10795685256601995</v>
      </c>
      <c r="W22" s="320">
        <f t="shared" si="10"/>
        <v>-0.03483825382319994</v>
      </c>
      <c r="X22" s="320">
        <f t="shared" si="10"/>
        <v>0.5133270461039432</v>
      </c>
    </row>
    <row r="23" spans="2:24" ht="12.75">
      <c r="B23" s="68" t="s">
        <v>250</v>
      </c>
      <c r="C23" s="67">
        <v>2193</v>
      </c>
      <c r="D23" s="67">
        <v>1721</v>
      </c>
      <c r="E23" s="67">
        <v>5339</v>
      </c>
      <c r="F23" s="67">
        <v>1195</v>
      </c>
      <c r="G23" s="67">
        <v>4168</v>
      </c>
      <c r="H23" s="67">
        <v>9892</v>
      </c>
      <c r="I23" s="67">
        <v>13886</v>
      </c>
      <c r="J23" s="67">
        <v>3979</v>
      </c>
      <c r="K23" s="67">
        <v>11022</v>
      </c>
      <c r="L23" s="67">
        <f>+'sup, prod y rend'!D23-SUM('sup región'!C23:K23)</f>
        <v>687</v>
      </c>
      <c r="M23" s="67"/>
      <c r="N23" s="50"/>
      <c r="P23" s="320">
        <f>+C23/C22-1</f>
        <v>-0.022727272727272707</v>
      </c>
      <c r="Q23" s="320">
        <f>+D23/D22-1</f>
        <v>1.2177835051546393</v>
      </c>
      <c r="R23" s="320">
        <f>+E23/E22-1</f>
        <v>0.20004495392222976</v>
      </c>
      <c r="S23" s="320">
        <f>+F23/F22-1</f>
        <v>-0.46912483340737454</v>
      </c>
      <c r="T23" s="320">
        <f>+G23/G22-1</f>
        <v>-0.20503528514209424</v>
      </c>
      <c r="U23" s="320">
        <f>+H23/H22-1</f>
        <v>0.105745584618824</v>
      </c>
      <c r="V23" s="320">
        <f>+I23/I22-1</f>
        <v>-0.07278311965811968</v>
      </c>
      <c r="W23" s="320">
        <f>+J23/J22-1</f>
        <v>0.1810626298604927</v>
      </c>
      <c r="X23" s="320">
        <f>+K23/K22-1</f>
        <v>0.045333839150227595</v>
      </c>
    </row>
    <row r="24" spans="2:14" ht="12.75">
      <c r="B24" s="398" t="s">
        <v>239</v>
      </c>
      <c r="C24" s="399"/>
      <c r="D24" s="399"/>
      <c r="E24" s="399"/>
      <c r="F24" s="399"/>
      <c r="G24" s="399"/>
      <c r="H24" s="399"/>
      <c r="I24" s="399"/>
      <c r="J24" s="399"/>
      <c r="K24" s="399"/>
      <c r="L24" s="399"/>
      <c r="M24" s="67"/>
      <c r="N24" s="50"/>
    </row>
    <row r="26" spans="13:25" ht="12.75">
      <c r="M26" s="246"/>
      <c r="P26" s="319"/>
      <c r="Q26" s="319"/>
      <c r="R26" s="319"/>
      <c r="S26" s="319"/>
      <c r="T26" s="319"/>
      <c r="U26" s="319"/>
      <c r="V26" s="319"/>
      <c r="W26" s="319"/>
      <c r="X26" s="319"/>
      <c r="Y26" s="295"/>
    </row>
    <row r="27" spans="2:24" ht="12.75">
      <c r="B27" s="146"/>
      <c r="C27" s="144"/>
      <c r="D27" s="144"/>
      <c r="E27" s="144"/>
      <c r="F27" s="144"/>
      <c r="G27" s="144"/>
      <c r="H27" s="144"/>
      <c r="I27" s="144"/>
      <c r="J27" s="144"/>
      <c r="K27" s="144"/>
      <c r="L27" s="144"/>
      <c r="M27" s="243"/>
      <c r="T27" s="319"/>
      <c r="U27" s="319"/>
      <c r="V27" s="319"/>
      <c r="W27" s="319"/>
      <c r="X27" s="319"/>
    </row>
    <row r="28" spans="2:24" ht="12.75">
      <c r="B28" s="146"/>
      <c r="C28" s="144"/>
      <c r="D28" s="144"/>
      <c r="E28" s="144"/>
      <c r="F28" s="144"/>
      <c r="G28" s="144"/>
      <c r="H28" s="144"/>
      <c r="I28" s="144"/>
      <c r="J28" s="144"/>
      <c r="K28" s="144"/>
      <c r="L28" s="144"/>
      <c r="M28" s="243"/>
      <c r="T28" s="319"/>
      <c r="U28" s="319"/>
      <c r="V28" s="319"/>
      <c r="W28" s="319"/>
      <c r="X28" s="319"/>
    </row>
    <row r="29" spans="2:24" ht="12.75">
      <c r="B29" s="146"/>
      <c r="C29" s="144"/>
      <c r="D29" s="144"/>
      <c r="E29" s="144"/>
      <c r="F29" s="144"/>
      <c r="G29" s="144"/>
      <c r="H29" s="144"/>
      <c r="I29" s="144"/>
      <c r="J29" s="144"/>
      <c r="K29" s="144"/>
      <c r="L29" s="144"/>
      <c r="M29" s="243"/>
      <c r="T29" s="319"/>
      <c r="U29" s="319"/>
      <c r="V29" s="319"/>
      <c r="W29" s="319"/>
      <c r="X29" s="319"/>
    </row>
    <row r="30" spans="2:13" ht="12.75">
      <c r="B30" s="244"/>
      <c r="C30" s="245"/>
      <c r="D30" s="245"/>
      <c r="E30" s="245"/>
      <c r="F30" s="245"/>
      <c r="G30" s="245"/>
      <c r="H30" s="245"/>
      <c r="I30" s="245"/>
      <c r="J30" s="245"/>
      <c r="K30" s="245"/>
      <c r="L30" s="245"/>
      <c r="M30" s="247"/>
    </row>
    <row r="46" ht="12.75">
      <c r="B46" s="47"/>
    </row>
    <row r="47" ht="12.75">
      <c r="B47" s="251" t="s">
        <v>240</v>
      </c>
    </row>
    <row r="48" spans="3:12" ht="12.75">
      <c r="C48" s="137"/>
      <c r="D48" s="137"/>
      <c r="E48" s="137"/>
      <c r="F48" s="137"/>
      <c r="G48" s="137"/>
      <c r="H48" s="137"/>
      <c r="I48" s="137"/>
      <c r="J48" s="137"/>
      <c r="K48" s="137"/>
      <c r="L48" s="137"/>
    </row>
    <row r="49" spans="16:24" s="146" customFormat="1" ht="12.75">
      <c r="P49" s="138"/>
      <c r="Q49" s="138"/>
      <c r="R49" s="138"/>
      <c r="S49" s="138"/>
      <c r="T49" s="138"/>
      <c r="U49" s="138"/>
      <c r="V49" s="138"/>
      <c r="W49" s="138"/>
      <c r="X49" s="138"/>
    </row>
    <row r="50" spans="16:24" s="146" customFormat="1" ht="12.75">
      <c r="P50" s="138"/>
      <c r="Q50" s="138"/>
      <c r="R50" s="138"/>
      <c r="S50" s="138"/>
      <c r="T50" s="138"/>
      <c r="U50" s="138"/>
      <c r="V50" s="138"/>
      <c r="W50" s="138"/>
      <c r="X50" s="138"/>
    </row>
    <row r="51" spans="15:25" s="138" customFormat="1" ht="12.75" hidden="1">
      <c r="O51" s="146"/>
      <c r="Y51" s="146"/>
    </row>
    <row r="52" spans="15:25" s="138" customFormat="1" ht="12.75" hidden="1">
      <c r="O52" s="146"/>
      <c r="Y52" s="146"/>
    </row>
    <row r="53" spans="16:24" s="146" customFormat="1" ht="12.75">
      <c r="P53" s="138"/>
      <c r="Q53" s="138"/>
      <c r="R53" s="138"/>
      <c r="S53" s="138"/>
      <c r="T53" s="138"/>
      <c r="U53" s="138"/>
      <c r="V53" s="138"/>
      <c r="W53" s="138"/>
      <c r="X53" s="138"/>
    </row>
    <row r="54" spans="16:24" s="146" customFormat="1" ht="12.75">
      <c r="P54" s="138"/>
      <c r="Q54" s="138"/>
      <c r="R54" s="138"/>
      <c r="S54" s="138"/>
      <c r="T54" s="138"/>
      <c r="U54" s="138"/>
      <c r="V54" s="138"/>
      <c r="W54" s="138"/>
      <c r="X54" s="138"/>
    </row>
    <row r="55" spans="16:24" s="146" customFormat="1" ht="12.75">
      <c r="P55" s="138"/>
      <c r="Q55" s="138"/>
      <c r="R55" s="138"/>
      <c r="S55" s="138"/>
      <c r="T55" s="138"/>
      <c r="U55" s="138"/>
      <c r="V55" s="138"/>
      <c r="W55" s="138"/>
      <c r="X55" s="138"/>
    </row>
    <row r="57" spans="4:13" ht="12.75">
      <c r="D57" s="50"/>
      <c r="E57" s="50"/>
      <c r="F57" s="50"/>
      <c r="G57" s="50"/>
      <c r="H57" s="50"/>
      <c r="I57" s="50"/>
      <c r="J57" s="50"/>
      <c r="K57" s="50"/>
      <c r="L57" s="50"/>
      <c r="M57" s="50"/>
    </row>
  </sheetData>
  <sheetProtection/>
  <mergeCells count="5">
    <mergeCell ref="B6:B7"/>
    <mergeCell ref="B2:L2"/>
    <mergeCell ref="B3:L3"/>
    <mergeCell ref="B4:L4"/>
    <mergeCell ref="B24:L2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52"/>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0.8515625" style="20" customWidth="1"/>
    <col min="3" max="4" width="11.7109375" style="20" customWidth="1"/>
    <col min="5" max="5" width="14.421875" style="20" customWidth="1"/>
    <col min="6" max="6" width="10.8515625" style="20" customWidth="1"/>
    <col min="7" max="7" width="11.8515625" style="20" customWidth="1"/>
    <col min="8" max="8" width="12.421875" style="20" customWidth="1"/>
    <col min="9" max="9" width="13.421875" style="20" customWidth="1"/>
    <col min="10" max="10" width="10.8515625" style="20" customWidth="1"/>
    <col min="11" max="11" width="11.421875" style="20" customWidth="1"/>
    <col min="12" max="12" width="10.8515625" style="20" customWidth="1"/>
    <col min="13" max="13" width="2.00390625" style="20" customWidth="1"/>
    <col min="14" max="14" width="12.7109375" style="20" bestFit="1" customWidth="1"/>
    <col min="15" max="15" width="10.8515625" style="146" customWidth="1"/>
    <col min="16" max="24" width="10.8515625" style="138" hidden="1" customWidth="1"/>
    <col min="25" max="25" width="10.8515625" style="146" customWidth="1"/>
    <col min="26" max="16384" width="10.8515625" style="20" customWidth="1"/>
  </cols>
  <sheetData>
    <row r="1" ht="6.75" customHeight="1"/>
    <row r="2" spans="2:14" ht="12.75">
      <c r="B2" s="402" t="s">
        <v>64</v>
      </c>
      <c r="C2" s="402"/>
      <c r="D2" s="402"/>
      <c r="E2" s="402"/>
      <c r="F2" s="402"/>
      <c r="G2" s="402"/>
      <c r="H2" s="402"/>
      <c r="I2" s="402"/>
      <c r="J2" s="402"/>
      <c r="K2" s="402"/>
      <c r="L2" s="402"/>
      <c r="M2" s="234"/>
      <c r="N2" s="45" t="s">
        <v>148</v>
      </c>
    </row>
    <row r="3" spans="2:13" ht="14.25" customHeight="1">
      <c r="B3" s="402" t="s">
        <v>48</v>
      </c>
      <c r="C3" s="402"/>
      <c r="D3" s="402"/>
      <c r="E3" s="402"/>
      <c r="F3" s="402"/>
      <c r="G3" s="402"/>
      <c r="H3" s="402"/>
      <c r="I3" s="402"/>
      <c r="J3" s="402"/>
      <c r="K3" s="402"/>
      <c r="L3" s="402"/>
      <c r="M3" s="234"/>
    </row>
    <row r="4" spans="2:13" ht="12.75">
      <c r="B4" s="402" t="s">
        <v>28</v>
      </c>
      <c r="C4" s="402"/>
      <c r="D4" s="402"/>
      <c r="E4" s="402"/>
      <c r="F4" s="402"/>
      <c r="G4" s="402"/>
      <c r="H4" s="402"/>
      <c r="I4" s="402"/>
      <c r="J4" s="402"/>
      <c r="K4" s="402"/>
      <c r="L4" s="402"/>
      <c r="M4" s="234"/>
    </row>
    <row r="5" spans="2:12" ht="12.75">
      <c r="B5" s="115"/>
      <c r="C5" s="115"/>
      <c r="D5" s="115"/>
      <c r="E5" s="115"/>
      <c r="F5" s="115"/>
      <c r="G5" s="115"/>
      <c r="H5" s="115"/>
      <c r="I5" s="115"/>
      <c r="J5" s="116"/>
      <c r="K5" s="115"/>
      <c r="L5" s="117"/>
    </row>
    <row r="6" spans="2:13" ht="12.75">
      <c r="B6" s="400" t="s">
        <v>13</v>
      </c>
      <c r="C6" s="235" t="s">
        <v>24</v>
      </c>
      <c r="D6" s="235" t="s">
        <v>24</v>
      </c>
      <c r="E6" s="235" t="s">
        <v>26</v>
      </c>
      <c r="F6" s="235" t="s">
        <v>24</v>
      </c>
      <c r="G6" s="235" t="s">
        <v>25</v>
      </c>
      <c r="H6" s="235" t="s">
        <v>25</v>
      </c>
      <c r="I6" s="235" t="s">
        <v>24</v>
      </c>
      <c r="J6" s="235" t="s">
        <v>24</v>
      </c>
      <c r="K6" s="235" t="s">
        <v>24</v>
      </c>
      <c r="L6" s="235" t="s">
        <v>152</v>
      </c>
      <c r="M6" s="1"/>
    </row>
    <row r="7" spans="2:24" ht="12.75">
      <c r="B7" s="401"/>
      <c r="C7" s="236" t="s">
        <v>23</v>
      </c>
      <c r="D7" s="236" t="s">
        <v>22</v>
      </c>
      <c r="E7" s="236" t="s">
        <v>21</v>
      </c>
      <c r="F7" s="236" t="s">
        <v>20</v>
      </c>
      <c r="G7" s="236" t="s">
        <v>19</v>
      </c>
      <c r="H7" s="236" t="s">
        <v>18</v>
      </c>
      <c r="I7" s="236" t="s">
        <v>17</v>
      </c>
      <c r="J7" s="236" t="s">
        <v>16</v>
      </c>
      <c r="K7" s="236" t="s">
        <v>15</v>
      </c>
      <c r="L7" s="236" t="s">
        <v>153</v>
      </c>
      <c r="M7" s="1"/>
      <c r="P7" s="322" t="str">
        <f>+C7</f>
        <v>Coquimbo</v>
      </c>
      <c r="Q7" s="322" t="str">
        <f aca="true" t="shared" si="0" ref="Q7:V7">+D7</f>
        <v>Valparaíso</v>
      </c>
      <c r="R7" s="322" t="str">
        <f t="shared" si="0"/>
        <v>Metropolitana</v>
      </c>
      <c r="S7" s="322" t="str">
        <f t="shared" si="0"/>
        <v>O´Higgins</v>
      </c>
      <c r="T7" s="322" t="str">
        <f t="shared" si="0"/>
        <v>Maule</v>
      </c>
      <c r="U7" s="322" t="str">
        <f t="shared" si="0"/>
        <v>Bío Bío</v>
      </c>
      <c r="V7" s="322" t="str">
        <f t="shared" si="0"/>
        <v>La Araucanía</v>
      </c>
      <c r="W7" s="322" t="str">
        <f>+J7</f>
        <v>Los Ríos</v>
      </c>
      <c r="X7" s="322" t="str">
        <f>+K7</f>
        <v>Los Lagos</v>
      </c>
    </row>
    <row r="8" spans="2:13" ht="12.75">
      <c r="B8" s="118" t="s">
        <v>11</v>
      </c>
      <c r="C8" s="81">
        <v>131241.4</v>
      </c>
      <c r="D8" s="119">
        <v>21402.7</v>
      </c>
      <c r="E8" s="119">
        <v>82529.4</v>
      </c>
      <c r="F8" s="119">
        <v>49669.7</v>
      </c>
      <c r="G8" s="119">
        <v>62218.6</v>
      </c>
      <c r="H8" s="119">
        <v>104593.9</v>
      </c>
      <c r="I8" s="119">
        <v>420346.7</v>
      </c>
      <c r="J8" s="118"/>
      <c r="K8" s="119">
        <v>419319.1</v>
      </c>
      <c r="L8" s="119"/>
      <c r="M8" s="67"/>
    </row>
    <row r="9" spans="2:24" ht="12.75">
      <c r="B9" s="120" t="s">
        <v>10</v>
      </c>
      <c r="C9" s="121">
        <v>110721.3</v>
      </c>
      <c r="D9" s="121">
        <v>14420.5</v>
      </c>
      <c r="E9" s="121">
        <v>63776.2</v>
      </c>
      <c r="F9" s="121">
        <v>57186.7</v>
      </c>
      <c r="G9" s="121">
        <v>57216.7</v>
      </c>
      <c r="H9" s="121">
        <v>113195.2</v>
      </c>
      <c r="I9" s="121">
        <v>297628.6</v>
      </c>
      <c r="J9" s="120"/>
      <c r="K9" s="121">
        <v>367637.1</v>
      </c>
      <c r="L9" s="121"/>
      <c r="M9" s="67"/>
      <c r="P9" s="320">
        <f aca="true" t="shared" si="1" ref="P9:X21">+C9/C8-1</f>
        <v>-0.15635386394841866</v>
      </c>
      <c r="Q9" s="320">
        <f t="shared" si="1"/>
        <v>-0.32622986819419986</v>
      </c>
      <c r="R9" s="320">
        <f t="shared" si="1"/>
        <v>-0.22723053845053998</v>
      </c>
      <c r="S9" s="320">
        <f t="shared" si="1"/>
        <v>0.1513397503910836</v>
      </c>
      <c r="T9" s="320">
        <f t="shared" si="1"/>
        <v>-0.0803923585551588</v>
      </c>
      <c r="U9" s="320">
        <f t="shared" si="1"/>
        <v>0.08223519727249862</v>
      </c>
      <c r="V9" s="320">
        <f t="shared" si="1"/>
        <v>-0.2919449587685594</v>
      </c>
      <c r="W9" s="320" t="e">
        <f t="shared" si="1"/>
        <v>#DIV/0!</v>
      </c>
      <c r="X9" s="320">
        <f t="shared" si="1"/>
        <v>-0.12325219623909334</v>
      </c>
    </row>
    <row r="10" spans="2:24" ht="12.75">
      <c r="B10" s="120" t="s">
        <v>9</v>
      </c>
      <c r="C10" s="121">
        <v>109620</v>
      </c>
      <c r="D10" s="121">
        <v>15000</v>
      </c>
      <c r="E10" s="121">
        <v>63360</v>
      </c>
      <c r="F10" s="121">
        <v>65550</v>
      </c>
      <c r="G10" s="121">
        <v>57190</v>
      </c>
      <c r="H10" s="121">
        <v>128320</v>
      </c>
      <c r="I10" s="121">
        <v>302400</v>
      </c>
      <c r="J10" s="120"/>
      <c r="K10" s="121">
        <v>390784</v>
      </c>
      <c r="L10" s="121"/>
      <c r="M10" s="67"/>
      <c r="P10" s="320">
        <f t="shared" si="1"/>
        <v>-0.009946595641489031</v>
      </c>
      <c r="Q10" s="320">
        <f t="shared" si="1"/>
        <v>0.04018584653791479</v>
      </c>
      <c r="R10" s="320">
        <f t="shared" si="1"/>
        <v>-0.0065259454153743235</v>
      </c>
      <c r="S10" s="320">
        <f t="shared" si="1"/>
        <v>0.14624554310705107</v>
      </c>
      <c r="T10" s="320">
        <f t="shared" si="1"/>
        <v>-0.00046664697544596123</v>
      </c>
      <c r="U10" s="320">
        <f t="shared" si="1"/>
        <v>0.13361697315787247</v>
      </c>
      <c r="V10" s="320">
        <f t="shared" si="1"/>
        <v>0.016031389456524048</v>
      </c>
      <c r="W10" s="320" t="e">
        <f t="shared" si="1"/>
        <v>#DIV/0!</v>
      </c>
      <c r="X10" s="320">
        <f t="shared" si="1"/>
        <v>0.06296127349497649</v>
      </c>
    </row>
    <row r="11" spans="2:24" ht="12.75">
      <c r="B11" s="120" t="s">
        <v>8</v>
      </c>
      <c r="C11" s="121">
        <v>106540.8</v>
      </c>
      <c r="D11" s="121">
        <v>25575</v>
      </c>
      <c r="E11" s="121">
        <v>43227.6</v>
      </c>
      <c r="F11" s="121">
        <v>56512.8</v>
      </c>
      <c r="G11" s="121">
        <v>42448</v>
      </c>
      <c r="H11" s="121">
        <v>127498.3</v>
      </c>
      <c r="I11" s="121">
        <v>321303.4</v>
      </c>
      <c r="J11" s="120"/>
      <c r="K11" s="121">
        <v>380683.8</v>
      </c>
      <c r="L11" s="121"/>
      <c r="M11" s="67"/>
      <c r="P11" s="320">
        <f t="shared" si="1"/>
        <v>-0.028089764641488713</v>
      </c>
      <c r="Q11" s="320">
        <f t="shared" si="1"/>
        <v>0.7050000000000001</v>
      </c>
      <c r="R11" s="320">
        <f t="shared" si="1"/>
        <v>-0.3177462121212121</v>
      </c>
      <c r="S11" s="320">
        <f t="shared" si="1"/>
        <v>-0.13786727688787181</v>
      </c>
      <c r="T11" s="320">
        <f t="shared" si="1"/>
        <v>-0.2577723378212974</v>
      </c>
      <c r="U11" s="320">
        <f t="shared" si="1"/>
        <v>-0.006403522443890197</v>
      </c>
      <c r="V11" s="320">
        <f t="shared" si="1"/>
        <v>0.06251124338624336</v>
      </c>
      <c r="W11" s="320" t="e">
        <f t="shared" si="1"/>
        <v>#DIV/0!</v>
      </c>
      <c r="X11" s="320">
        <f t="shared" si="1"/>
        <v>-0.02584599164755985</v>
      </c>
    </row>
    <row r="12" spans="2:24" ht="12.75">
      <c r="B12" s="120" t="s">
        <v>7</v>
      </c>
      <c r="C12" s="121">
        <v>120464.5</v>
      </c>
      <c r="D12" s="121">
        <v>31322.5</v>
      </c>
      <c r="E12" s="121">
        <v>59440</v>
      </c>
      <c r="F12" s="121">
        <v>44261.8</v>
      </c>
      <c r="G12" s="121">
        <v>63355.6</v>
      </c>
      <c r="H12" s="121">
        <v>131670</v>
      </c>
      <c r="I12" s="121">
        <v>446083.8</v>
      </c>
      <c r="J12" s="120"/>
      <c r="K12" s="121">
        <v>482834</v>
      </c>
      <c r="L12" s="121"/>
      <c r="M12" s="67"/>
      <c r="P12" s="320">
        <f t="shared" si="1"/>
        <v>0.13068890040247494</v>
      </c>
      <c r="Q12" s="320">
        <f t="shared" si="1"/>
        <v>0.22473118279569881</v>
      </c>
      <c r="R12" s="320">
        <f t="shared" si="1"/>
        <v>0.37504742340541686</v>
      </c>
      <c r="S12" s="320">
        <f t="shared" si="1"/>
        <v>-0.2167827465636104</v>
      </c>
      <c r="T12" s="320">
        <f t="shared" si="1"/>
        <v>0.49254617414248014</v>
      </c>
      <c r="U12" s="320">
        <f t="shared" si="1"/>
        <v>0.0327196519483004</v>
      </c>
      <c r="V12" s="320">
        <f t="shared" si="1"/>
        <v>0.3883569237051334</v>
      </c>
      <c r="W12" s="320" t="e">
        <f t="shared" si="1"/>
        <v>#DIV/0!</v>
      </c>
      <c r="X12" s="320">
        <f t="shared" si="1"/>
        <v>0.26833345679537723</v>
      </c>
    </row>
    <row r="13" spans="2:24" ht="12.75">
      <c r="B13" s="120" t="s">
        <v>6</v>
      </c>
      <c r="C13" s="121">
        <v>56405.8</v>
      </c>
      <c r="D13" s="121">
        <v>20394.8</v>
      </c>
      <c r="E13" s="121">
        <v>87051.9</v>
      </c>
      <c r="F13" s="121">
        <v>22726.8</v>
      </c>
      <c r="G13" s="121">
        <v>44973.2</v>
      </c>
      <c r="H13" s="121">
        <v>97715.5</v>
      </c>
      <c r="I13" s="121">
        <v>212544.8</v>
      </c>
      <c r="J13" s="121">
        <v>72423.3</v>
      </c>
      <c r="K13" s="121">
        <v>213984.4</v>
      </c>
      <c r="L13" s="121"/>
      <c r="M13" s="67"/>
      <c r="P13" s="320">
        <f t="shared" si="1"/>
        <v>-0.5317641296813584</v>
      </c>
      <c r="Q13" s="320">
        <f t="shared" si="1"/>
        <v>-0.3488770053475936</v>
      </c>
      <c r="R13" s="320">
        <f t="shared" si="1"/>
        <v>0.4645339838492597</v>
      </c>
      <c r="S13" s="320">
        <f t="shared" si="1"/>
        <v>-0.4865369234870701</v>
      </c>
      <c r="T13" s="320">
        <f t="shared" si="1"/>
        <v>-0.29014641168262956</v>
      </c>
      <c r="U13" s="320">
        <f t="shared" si="1"/>
        <v>-0.25787574998101315</v>
      </c>
      <c r="V13" s="320">
        <f t="shared" si="1"/>
        <v>-0.523531677231946</v>
      </c>
      <c r="W13" s="320" t="e">
        <f t="shared" si="1"/>
        <v>#DIV/0!</v>
      </c>
      <c r="X13" s="320">
        <f t="shared" si="1"/>
        <v>-0.5568158000472212</v>
      </c>
    </row>
    <row r="14" spans="2:24" ht="12.75">
      <c r="B14" s="120" t="s">
        <v>5</v>
      </c>
      <c r="C14" s="121">
        <v>66880</v>
      </c>
      <c r="D14" s="121">
        <v>27744</v>
      </c>
      <c r="E14" s="121">
        <v>86001.3</v>
      </c>
      <c r="F14" s="121">
        <v>26690</v>
      </c>
      <c r="G14" s="121">
        <v>58550.1</v>
      </c>
      <c r="H14" s="121">
        <v>135270</v>
      </c>
      <c r="I14" s="121">
        <v>220224</v>
      </c>
      <c r="J14" s="121">
        <v>86623.2</v>
      </c>
      <c r="K14" s="121">
        <v>251518.8</v>
      </c>
      <c r="L14" s="121"/>
      <c r="M14" s="67"/>
      <c r="P14" s="320">
        <f t="shared" si="1"/>
        <v>0.18569366979991409</v>
      </c>
      <c r="Q14" s="320">
        <f t="shared" si="1"/>
        <v>0.3603467550552102</v>
      </c>
      <c r="R14" s="320">
        <f t="shared" si="1"/>
        <v>-0.012068662487550452</v>
      </c>
      <c r="S14" s="320">
        <f t="shared" si="1"/>
        <v>0.1743844271960857</v>
      </c>
      <c r="T14" s="320">
        <f t="shared" si="1"/>
        <v>0.30188868036964234</v>
      </c>
      <c r="U14" s="320">
        <f t="shared" si="1"/>
        <v>0.3843249023952189</v>
      </c>
      <c r="V14" s="320">
        <f t="shared" si="1"/>
        <v>0.036129794753859024</v>
      </c>
      <c r="W14" s="320">
        <f t="shared" si="1"/>
        <v>0.19606811620017317</v>
      </c>
      <c r="X14" s="320">
        <f t="shared" si="1"/>
        <v>0.17540717921493343</v>
      </c>
    </row>
    <row r="15" spans="2:24" ht="12.75">
      <c r="B15" s="120" t="s">
        <v>4</v>
      </c>
      <c r="C15" s="121">
        <v>51591.1</v>
      </c>
      <c r="D15" s="121">
        <v>8350.7</v>
      </c>
      <c r="E15" s="121">
        <v>53081.5</v>
      </c>
      <c r="F15" s="121">
        <v>3752.9</v>
      </c>
      <c r="G15" s="121">
        <v>31915.5</v>
      </c>
      <c r="H15" s="121">
        <v>109800.8</v>
      </c>
      <c r="I15" s="121">
        <v>265552.8</v>
      </c>
      <c r="J15" s="121">
        <v>121619.2</v>
      </c>
      <c r="K15" s="121">
        <v>272625</v>
      </c>
      <c r="L15" s="121"/>
      <c r="M15" s="67"/>
      <c r="P15" s="320">
        <f t="shared" si="1"/>
        <v>-0.22860197368421054</v>
      </c>
      <c r="Q15" s="320">
        <f t="shared" si="1"/>
        <v>-0.6990087946943483</v>
      </c>
      <c r="R15" s="320">
        <f t="shared" si="1"/>
        <v>-0.38278258584463265</v>
      </c>
      <c r="S15" s="320">
        <f t="shared" si="1"/>
        <v>-0.8593892843761708</v>
      </c>
      <c r="T15" s="320">
        <f t="shared" si="1"/>
        <v>-0.4549027243335195</v>
      </c>
      <c r="U15" s="320">
        <f t="shared" si="1"/>
        <v>-0.18828417239594886</v>
      </c>
      <c r="V15" s="320">
        <f t="shared" si="1"/>
        <v>0.20583042720139488</v>
      </c>
      <c r="W15" s="320">
        <f t="shared" si="1"/>
        <v>0.40400262285392374</v>
      </c>
      <c r="X15" s="320">
        <f t="shared" si="1"/>
        <v>0.08391499959446369</v>
      </c>
    </row>
    <row r="16" spans="2:24" ht="15" customHeight="1">
      <c r="B16" s="120" t="s">
        <v>3</v>
      </c>
      <c r="C16" s="121">
        <v>78466.3</v>
      </c>
      <c r="D16" s="121">
        <v>11764.2</v>
      </c>
      <c r="E16" s="121">
        <v>86174.8</v>
      </c>
      <c r="F16" s="121">
        <v>38358</v>
      </c>
      <c r="G16" s="121">
        <v>57455.5</v>
      </c>
      <c r="H16" s="121">
        <v>165633.4</v>
      </c>
      <c r="I16" s="121">
        <v>315519.2</v>
      </c>
      <c r="J16" s="121">
        <v>124687.7</v>
      </c>
      <c r="K16" s="121">
        <v>197024.2</v>
      </c>
      <c r="L16" s="121"/>
      <c r="M16" s="67"/>
      <c r="P16" s="320">
        <f t="shared" si="1"/>
        <v>0.520927059124539</v>
      </c>
      <c r="Q16" s="320">
        <f t="shared" si="1"/>
        <v>0.4087681272228676</v>
      </c>
      <c r="R16" s="320">
        <f t="shared" si="1"/>
        <v>0.6234431958403588</v>
      </c>
      <c r="S16" s="320">
        <f t="shared" si="1"/>
        <v>9.220895840549975</v>
      </c>
      <c r="T16" s="320">
        <f t="shared" si="1"/>
        <v>0.800238128808886</v>
      </c>
      <c r="U16" s="320">
        <f t="shared" si="1"/>
        <v>0.5084899199277235</v>
      </c>
      <c r="V16" s="320">
        <f t="shared" si="1"/>
        <v>0.1881599440864492</v>
      </c>
      <c r="W16" s="320">
        <f t="shared" si="1"/>
        <v>0.025230391254012607</v>
      </c>
      <c r="X16" s="320">
        <f t="shared" si="1"/>
        <v>-0.2773069234296194</v>
      </c>
    </row>
    <row r="17" spans="2:24" ht="12.75">
      <c r="B17" s="120" t="s">
        <v>2</v>
      </c>
      <c r="C17" s="121">
        <v>75516</v>
      </c>
      <c r="D17" s="121">
        <v>31084</v>
      </c>
      <c r="E17" s="121">
        <v>79125</v>
      </c>
      <c r="F17" s="121">
        <v>15805</v>
      </c>
      <c r="G17" s="121">
        <v>111620</v>
      </c>
      <c r="H17" s="121">
        <v>255835</v>
      </c>
      <c r="I17" s="121">
        <v>615990</v>
      </c>
      <c r="J17" s="121">
        <v>142120</v>
      </c>
      <c r="K17" s="121">
        <v>343081</v>
      </c>
      <c r="L17" s="121"/>
      <c r="M17" s="67"/>
      <c r="P17" s="320">
        <f t="shared" si="1"/>
        <v>-0.037599580966606094</v>
      </c>
      <c r="Q17" s="320">
        <f t="shared" si="1"/>
        <v>1.6422536169055268</v>
      </c>
      <c r="R17" s="320">
        <f t="shared" si="1"/>
        <v>-0.08180813880624038</v>
      </c>
      <c r="S17" s="320">
        <f t="shared" si="1"/>
        <v>-0.5879607904478856</v>
      </c>
      <c r="T17" s="320">
        <f t="shared" si="1"/>
        <v>0.9427208883396716</v>
      </c>
      <c r="U17" s="320">
        <f t="shared" si="1"/>
        <v>0.5445858142138</v>
      </c>
      <c r="V17" s="320">
        <f t="shared" si="1"/>
        <v>0.9523059135545475</v>
      </c>
      <c r="W17" s="320">
        <f t="shared" si="1"/>
        <v>0.13980769554655348</v>
      </c>
      <c r="X17" s="320">
        <f t="shared" si="1"/>
        <v>0.7413140111722316</v>
      </c>
    </row>
    <row r="18" spans="2:24" ht="12.75">
      <c r="B18" s="120" t="s">
        <v>120</v>
      </c>
      <c r="C18" s="121">
        <v>41067.3</v>
      </c>
      <c r="D18" s="121">
        <v>16000.460000000001</v>
      </c>
      <c r="E18" s="121">
        <v>88299.36</v>
      </c>
      <c r="F18" s="121">
        <v>25652.06</v>
      </c>
      <c r="G18" s="121">
        <v>34486.4</v>
      </c>
      <c r="H18" s="121">
        <v>101006.31999999999</v>
      </c>
      <c r="I18" s="121">
        <v>272034.6</v>
      </c>
      <c r="J18" s="121">
        <v>122928.38999999998</v>
      </c>
      <c r="K18" s="121">
        <v>385711.38</v>
      </c>
      <c r="L18" s="121"/>
      <c r="M18" s="67"/>
      <c r="P18" s="320">
        <f t="shared" si="1"/>
        <v>-0.4561774988081996</v>
      </c>
      <c r="Q18" s="320">
        <f t="shared" si="1"/>
        <v>-0.4852509329558615</v>
      </c>
      <c r="R18" s="320">
        <f t="shared" si="1"/>
        <v>0.11594767772511849</v>
      </c>
      <c r="S18" s="320">
        <f t="shared" si="1"/>
        <v>0.6230344827586207</v>
      </c>
      <c r="T18" s="320">
        <f t="shared" si="1"/>
        <v>-0.6910374484859344</v>
      </c>
      <c r="U18" s="320">
        <f t="shared" si="1"/>
        <v>-0.6051895948560596</v>
      </c>
      <c r="V18" s="320">
        <f t="shared" si="1"/>
        <v>-0.5583782204256563</v>
      </c>
      <c r="W18" s="320">
        <f t="shared" si="1"/>
        <v>-0.1350380664227414</v>
      </c>
      <c r="X18" s="320">
        <f t="shared" si="1"/>
        <v>0.1242574785546271</v>
      </c>
    </row>
    <row r="19" spans="2:24" ht="12.75">
      <c r="B19" s="120" t="s">
        <v>129</v>
      </c>
      <c r="C19" s="121">
        <v>51863.11990316702</v>
      </c>
      <c r="D19" s="121">
        <v>16391.720884117247</v>
      </c>
      <c r="E19" s="121">
        <v>112644.46653744439</v>
      </c>
      <c r="F19" s="121">
        <v>19220.222324539445</v>
      </c>
      <c r="G19" s="121">
        <v>69067.98620052033</v>
      </c>
      <c r="H19" s="121">
        <v>152632.15975101327</v>
      </c>
      <c r="I19" s="121">
        <v>314581.7498466616</v>
      </c>
      <c r="J19" s="121">
        <v>76034.57195077253</v>
      </c>
      <c r="K19" s="121">
        <v>340220.209903059</v>
      </c>
      <c r="L19" s="121"/>
      <c r="M19" s="67"/>
      <c r="P19" s="320">
        <f t="shared" si="1"/>
        <v>0.2628811707408818</v>
      </c>
      <c r="Q19" s="320">
        <f t="shared" si="1"/>
        <v>0.02445310223063868</v>
      </c>
      <c r="R19" s="320">
        <f t="shared" si="1"/>
        <v>0.27571101916757246</v>
      </c>
      <c r="S19" s="320">
        <f t="shared" si="1"/>
        <v>-0.250733768572994</v>
      </c>
      <c r="T19" s="320">
        <f t="shared" si="1"/>
        <v>1.002760108347648</v>
      </c>
      <c r="U19" s="320">
        <f t="shared" si="1"/>
        <v>0.5111149455896749</v>
      </c>
      <c r="V19" s="320">
        <f t="shared" si="1"/>
        <v>0.15640344958568364</v>
      </c>
      <c r="W19" s="320">
        <f t="shared" si="1"/>
        <v>-0.38147264475868803</v>
      </c>
      <c r="X19" s="320">
        <f t="shared" si="1"/>
        <v>-0.11794095911025748</v>
      </c>
    </row>
    <row r="20" spans="2:24" ht="12.75">
      <c r="B20" s="120" t="s">
        <v>143</v>
      </c>
      <c r="C20" s="121">
        <v>47235.5</v>
      </c>
      <c r="D20" s="121">
        <v>18070.8</v>
      </c>
      <c r="E20" s="121">
        <v>77889.39</v>
      </c>
      <c r="F20" s="121">
        <v>17620.16</v>
      </c>
      <c r="G20" s="121">
        <v>45494.03</v>
      </c>
      <c r="H20" s="121">
        <v>131819.4</v>
      </c>
      <c r="I20" s="121">
        <v>272045.36</v>
      </c>
      <c r="J20" s="121">
        <v>100735.98000000001</v>
      </c>
      <c r="K20" s="121">
        <v>344148.42000000004</v>
      </c>
      <c r="L20" s="121">
        <v>6265.9</v>
      </c>
      <c r="M20" s="67"/>
      <c r="P20" s="320">
        <f t="shared" si="1"/>
        <v>-0.089227565017438</v>
      </c>
      <c r="Q20" s="320">
        <f t="shared" si="1"/>
        <v>0.1024345843705583</v>
      </c>
      <c r="R20" s="320">
        <f t="shared" si="1"/>
        <v>-0.3085378057686604</v>
      </c>
      <c r="S20" s="320">
        <f t="shared" si="1"/>
        <v>-0.08324889782864597</v>
      </c>
      <c r="T20" s="320">
        <f t="shared" si="1"/>
        <v>-0.3413152387573555</v>
      </c>
      <c r="U20" s="320">
        <f t="shared" si="1"/>
        <v>-0.13635894155573014</v>
      </c>
      <c r="V20" s="320">
        <f t="shared" si="1"/>
        <v>-0.1352156947038261</v>
      </c>
      <c r="W20" s="320">
        <f t="shared" si="1"/>
        <v>0.3248707451818107</v>
      </c>
      <c r="X20" s="320">
        <f t="shared" si="1"/>
        <v>0.011546080986959417</v>
      </c>
    </row>
    <row r="21" spans="2:24" ht="12.75">
      <c r="B21" s="120" t="s">
        <v>172</v>
      </c>
      <c r="C21" s="121">
        <v>43406.3</v>
      </c>
      <c r="D21" s="121">
        <v>21881.1</v>
      </c>
      <c r="E21" s="121">
        <v>112928.4</v>
      </c>
      <c r="F21" s="121">
        <v>33402.9</v>
      </c>
      <c r="G21" s="121">
        <v>59085.4</v>
      </c>
      <c r="H21" s="121">
        <v>137049.3</v>
      </c>
      <c r="I21" s="121">
        <v>305709.5</v>
      </c>
      <c r="J21" s="121">
        <v>62139.8</v>
      </c>
      <c r="K21" s="121">
        <v>178633.9</v>
      </c>
      <c r="L21" s="121">
        <v>6265.44</v>
      </c>
      <c r="M21" s="67"/>
      <c r="P21" s="320">
        <f t="shared" si="1"/>
        <v>-0.0810661472832932</v>
      </c>
      <c r="Q21" s="320">
        <f t="shared" si="1"/>
        <v>0.21085397436748776</v>
      </c>
      <c r="R21" s="320">
        <f t="shared" si="1"/>
        <v>0.44985600734580156</v>
      </c>
      <c r="S21" s="320">
        <f t="shared" si="1"/>
        <v>0.8957205836950404</v>
      </c>
      <c r="T21" s="320">
        <f t="shared" si="1"/>
        <v>0.2987506272801068</v>
      </c>
      <c r="U21" s="320">
        <f t="shared" si="1"/>
        <v>0.039674736798984034</v>
      </c>
      <c r="V21" s="320">
        <f t="shared" si="1"/>
        <v>0.12374458435902014</v>
      </c>
      <c r="W21" s="320">
        <f t="shared" si="1"/>
        <v>-0.3831419518626811</v>
      </c>
      <c r="X21" s="320">
        <f t="shared" si="1"/>
        <v>-0.48093935750162686</v>
      </c>
    </row>
    <row r="22" spans="2:24" ht="12.75">
      <c r="B22" s="120" t="s">
        <v>190</v>
      </c>
      <c r="C22" s="121">
        <v>55735.817928483295</v>
      </c>
      <c r="D22" s="121">
        <v>24283.260402086016</v>
      </c>
      <c r="E22" s="121">
        <v>79277.19869993313</v>
      </c>
      <c r="F22" s="121">
        <v>28309.72260457333</v>
      </c>
      <c r="G22" s="121">
        <v>75935.70389311104</v>
      </c>
      <c r="H22" s="121">
        <v>141130.0223919691</v>
      </c>
      <c r="I22" s="121">
        <v>368994.71594551863</v>
      </c>
      <c r="J22" s="121">
        <v>87347.81615447787</v>
      </c>
      <c r="K22" s="121">
        <v>341847.43427319085</v>
      </c>
      <c r="L22" s="121">
        <v>6850.954904834283</v>
      </c>
      <c r="M22" s="67"/>
      <c r="P22" s="320">
        <f>+C22/C21-1</f>
        <v>0.28404904192440483</v>
      </c>
      <c r="Q22" s="320">
        <f>+D22/D21-1</f>
        <v>0.10978243333680737</v>
      </c>
      <c r="R22" s="320">
        <f>+E22/E21-1</f>
        <v>-0.29798705462989705</v>
      </c>
      <c r="S22" s="320">
        <f>+F22/F21-1</f>
        <v>-0.15247710215061183</v>
      </c>
      <c r="T22" s="320">
        <f>+G22/G21-1</f>
        <v>0.28518557703106073</v>
      </c>
      <c r="U22" s="320">
        <f>+H22/H21-1</f>
        <v>0.02977557996990221</v>
      </c>
      <c r="V22" s="320">
        <f>+I22/I21-1</f>
        <v>0.2070109563017133</v>
      </c>
      <c r="W22" s="320">
        <f>+J22/J21-1</f>
        <v>0.4056661938802164</v>
      </c>
      <c r="X22" s="320">
        <f>+K22/K21-1</f>
        <v>0.9136761514650402</v>
      </c>
    </row>
    <row r="23" spans="2:24" ht="12.75">
      <c r="B23" s="120" t="s">
        <v>250</v>
      </c>
      <c r="C23" s="121">
        <v>54517.979999999996</v>
      </c>
      <c r="D23" s="121">
        <v>23887.480000000003</v>
      </c>
      <c r="E23" s="121">
        <v>90763</v>
      </c>
      <c r="F23" s="121">
        <v>18426.9</v>
      </c>
      <c r="G23" s="121">
        <v>92237.84</v>
      </c>
      <c r="H23" s="121">
        <v>170637</v>
      </c>
      <c r="I23" s="121">
        <v>369923.04</v>
      </c>
      <c r="J23" s="121">
        <v>126094.50999999998</v>
      </c>
      <c r="K23" s="121">
        <v>473725.56000000006</v>
      </c>
      <c r="L23" s="121">
        <v>6265.4400000000005</v>
      </c>
      <c r="M23" s="67"/>
      <c r="P23" s="320">
        <f>+C23/C22-1</f>
        <v>-0.021850184921408222</v>
      </c>
      <c r="Q23" s="320">
        <f>+D23/D22-1</f>
        <v>-0.016298486921962674</v>
      </c>
      <c r="R23" s="320">
        <f>+E23/E22-1</f>
        <v>0.14488152316709657</v>
      </c>
      <c r="S23" s="320">
        <f>+F23/F22-1</f>
        <v>-0.3490964126570705</v>
      </c>
      <c r="T23" s="320">
        <f>+G23/G22-1</f>
        <v>0.21468341334974972</v>
      </c>
      <c r="U23" s="320">
        <f>+H23/H22-1</f>
        <v>0.20907654592500058</v>
      </c>
      <c r="V23" s="320">
        <f>+I23/I22-1</f>
        <v>0.0025158193718373134</v>
      </c>
      <c r="W23" s="320">
        <f>+J23/J22-1</f>
        <v>0.4435908709726313</v>
      </c>
      <c r="X23" s="320">
        <f>+K23/K22-1</f>
        <v>0.3857806509713846</v>
      </c>
    </row>
    <row r="24" spans="2:12" ht="12.75">
      <c r="B24" s="403" t="s">
        <v>240</v>
      </c>
      <c r="C24" s="404"/>
      <c r="D24" s="404"/>
      <c r="E24" s="404"/>
      <c r="F24" s="404"/>
      <c r="G24" s="404"/>
      <c r="H24" s="404"/>
      <c r="I24" s="404"/>
      <c r="J24" s="404"/>
      <c r="K24" s="404"/>
      <c r="L24" s="404"/>
    </row>
    <row r="25" spans="2:12" ht="12.75">
      <c r="B25" s="117"/>
      <c r="C25" s="117"/>
      <c r="D25" s="117"/>
      <c r="E25" s="117"/>
      <c r="F25" s="117"/>
      <c r="G25" s="117"/>
      <c r="H25" s="117"/>
      <c r="I25" s="117"/>
      <c r="J25" s="117"/>
      <c r="K25" s="117"/>
      <c r="L25" s="117"/>
    </row>
    <row r="26" spans="2:13" ht="12.75">
      <c r="B26" s="252"/>
      <c r="C26" s="253"/>
      <c r="D26" s="253"/>
      <c r="E26" s="253"/>
      <c r="F26" s="253"/>
      <c r="G26" s="253"/>
      <c r="H26" s="253"/>
      <c r="I26" s="253"/>
      <c r="J26" s="253"/>
      <c r="K26" s="253"/>
      <c r="L26" s="253"/>
      <c r="M26" s="248"/>
    </row>
    <row r="27" spans="2:13" ht="12.75">
      <c r="B27" s="252"/>
      <c r="C27" s="253"/>
      <c r="D27" s="253"/>
      <c r="E27" s="253"/>
      <c r="F27" s="253"/>
      <c r="G27" s="253"/>
      <c r="H27" s="253"/>
      <c r="I27" s="253"/>
      <c r="J27" s="253"/>
      <c r="K27" s="253"/>
      <c r="L27" s="253"/>
      <c r="M27" s="248"/>
    </row>
    <row r="28" spans="2:13" ht="12.75">
      <c r="B28" s="252"/>
      <c r="C28" s="253"/>
      <c r="D28" s="253"/>
      <c r="E28" s="253"/>
      <c r="F28" s="253"/>
      <c r="G28" s="253"/>
      <c r="H28" s="253"/>
      <c r="I28" s="253"/>
      <c r="J28" s="253"/>
      <c r="K28" s="253"/>
      <c r="L28" s="253"/>
      <c r="M28" s="248"/>
    </row>
    <row r="29" spans="2:13" ht="12.75">
      <c r="B29" s="252"/>
      <c r="C29" s="254"/>
      <c r="D29" s="254"/>
      <c r="E29" s="254"/>
      <c r="F29" s="254"/>
      <c r="G29" s="254"/>
      <c r="H29" s="254"/>
      <c r="I29" s="254"/>
      <c r="J29" s="254"/>
      <c r="K29" s="254"/>
      <c r="L29" s="254"/>
      <c r="M29" s="248"/>
    </row>
    <row r="30" spans="2:12" ht="12.75">
      <c r="B30" s="117"/>
      <c r="C30" s="117"/>
      <c r="D30" s="117"/>
      <c r="E30" s="117"/>
      <c r="F30" s="117"/>
      <c r="G30" s="117"/>
      <c r="H30" s="117"/>
      <c r="I30" s="117"/>
      <c r="J30" s="117"/>
      <c r="K30" s="117"/>
      <c r="L30" s="117"/>
    </row>
    <row r="31" spans="2:12" ht="12.75">
      <c r="B31" s="117"/>
      <c r="C31" s="117"/>
      <c r="D31" s="117"/>
      <c r="E31" s="117"/>
      <c r="F31" s="117"/>
      <c r="G31" s="117"/>
      <c r="H31" s="117"/>
      <c r="I31" s="117"/>
      <c r="J31" s="117"/>
      <c r="K31" s="117"/>
      <c r="L31" s="117"/>
    </row>
    <row r="32" spans="2:12" ht="12.75">
      <c r="B32" s="117"/>
      <c r="C32" s="117"/>
      <c r="D32" s="117"/>
      <c r="E32" s="117"/>
      <c r="F32" s="117"/>
      <c r="G32" s="117"/>
      <c r="H32" s="117"/>
      <c r="I32" s="117"/>
      <c r="J32" s="117"/>
      <c r="K32" s="117"/>
      <c r="L32" s="117"/>
    </row>
    <row r="33" spans="2:12" ht="12.75">
      <c r="B33" s="117"/>
      <c r="C33" s="117"/>
      <c r="D33" s="117"/>
      <c r="E33" s="117"/>
      <c r="F33" s="117"/>
      <c r="G33" s="117"/>
      <c r="H33" s="117"/>
      <c r="I33" s="117"/>
      <c r="J33" s="117"/>
      <c r="K33" s="117"/>
      <c r="L33" s="117"/>
    </row>
    <row r="34" spans="2:12" ht="12.75">
      <c r="B34" s="117"/>
      <c r="C34" s="117"/>
      <c r="D34" s="117"/>
      <c r="E34" s="117"/>
      <c r="F34" s="117"/>
      <c r="G34" s="117"/>
      <c r="H34" s="117"/>
      <c r="I34" s="117"/>
      <c r="J34" s="117"/>
      <c r="K34" s="117"/>
      <c r="L34" s="117"/>
    </row>
    <row r="35" spans="2:12" ht="12.75">
      <c r="B35" s="117"/>
      <c r="C35" s="117"/>
      <c r="D35" s="117"/>
      <c r="E35" s="117"/>
      <c r="F35" s="117"/>
      <c r="G35" s="117"/>
      <c r="H35" s="117"/>
      <c r="I35" s="117"/>
      <c r="J35" s="117"/>
      <c r="K35" s="117"/>
      <c r="L35" s="117"/>
    </row>
    <row r="36" spans="2:12" ht="12.75">
      <c r="B36" s="117"/>
      <c r="C36" s="117"/>
      <c r="D36" s="117"/>
      <c r="E36" s="117"/>
      <c r="F36" s="117"/>
      <c r="G36" s="117"/>
      <c r="H36" s="117"/>
      <c r="I36" s="117"/>
      <c r="J36" s="117"/>
      <c r="K36" s="117"/>
      <c r="L36" s="117"/>
    </row>
    <row r="37" spans="2:12" ht="12.75">
      <c r="B37" s="117"/>
      <c r="C37" s="117"/>
      <c r="D37" s="117"/>
      <c r="E37" s="117"/>
      <c r="F37" s="117"/>
      <c r="G37" s="117"/>
      <c r="H37" s="117"/>
      <c r="I37" s="117"/>
      <c r="J37" s="117"/>
      <c r="K37" s="117"/>
      <c r="L37" s="117"/>
    </row>
    <row r="38" spans="2:12" ht="12.75">
      <c r="B38" s="117"/>
      <c r="C38" s="117"/>
      <c r="D38" s="117"/>
      <c r="E38" s="117"/>
      <c r="F38" s="117"/>
      <c r="G38" s="117"/>
      <c r="H38" s="117"/>
      <c r="I38" s="117"/>
      <c r="J38" s="117"/>
      <c r="K38" s="117"/>
      <c r="L38" s="117"/>
    </row>
    <row r="39" spans="2:12" ht="12.75">
      <c r="B39" s="117"/>
      <c r="C39" s="117"/>
      <c r="D39" s="117"/>
      <c r="E39" s="117"/>
      <c r="F39" s="117"/>
      <c r="G39" s="117"/>
      <c r="H39" s="117"/>
      <c r="I39" s="117"/>
      <c r="J39" s="117"/>
      <c r="K39" s="117"/>
      <c r="L39" s="117"/>
    </row>
    <row r="40" spans="2:12" ht="12.75">
      <c r="B40" s="117"/>
      <c r="C40" s="117"/>
      <c r="D40" s="117"/>
      <c r="E40" s="117"/>
      <c r="F40" s="117"/>
      <c r="G40" s="117"/>
      <c r="H40" s="117"/>
      <c r="I40" s="117"/>
      <c r="J40" s="117"/>
      <c r="K40" s="117"/>
      <c r="L40" s="117"/>
    </row>
    <row r="41" spans="2:12" ht="12.75">
      <c r="B41" s="117"/>
      <c r="C41" s="117"/>
      <c r="D41" s="117"/>
      <c r="E41" s="117"/>
      <c r="F41" s="117"/>
      <c r="G41" s="117"/>
      <c r="H41" s="117"/>
      <c r="I41" s="117"/>
      <c r="J41" s="117"/>
      <c r="K41" s="117"/>
      <c r="L41" s="117"/>
    </row>
    <row r="42" spans="2:12" ht="12.75">
      <c r="B42" s="117"/>
      <c r="C42" s="117"/>
      <c r="D42" s="117"/>
      <c r="E42" s="117"/>
      <c r="F42" s="117"/>
      <c r="G42" s="117"/>
      <c r="H42" s="117"/>
      <c r="I42" s="117"/>
      <c r="J42" s="117"/>
      <c r="K42" s="117"/>
      <c r="L42" s="117"/>
    </row>
    <row r="43" spans="2:12" ht="12.75">
      <c r="B43" s="117"/>
      <c r="C43" s="117"/>
      <c r="D43" s="117"/>
      <c r="E43" s="117"/>
      <c r="F43" s="117"/>
      <c r="G43" s="117"/>
      <c r="H43" s="117"/>
      <c r="I43" s="117"/>
      <c r="J43" s="117"/>
      <c r="K43" s="117"/>
      <c r="L43" s="117"/>
    </row>
    <row r="44" spans="2:12" ht="12.75">
      <c r="B44" s="117"/>
      <c r="C44" s="117"/>
      <c r="D44" s="117"/>
      <c r="E44" s="117"/>
      <c r="F44" s="117"/>
      <c r="G44" s="117"/>
      <c r="H44" s="117"/>
      <c r="I44" s="117"/>
      <c r="J44" s="117"/>
      <c r="K44" s="117"/>
      <c r="L44" s="117"/>
    </row>
    <row r="45" spans="2:12" ht="12.75">
      <c r="B45" s="117"/>
      <c r="C45" s="117"/>
      <c r="D45" s="117"/>
      <c r="E45" s="117"/>
      <c r="F45" s="117"/>
      <c r="G45" s="117"/>
      <c r="H45" s="117"/>
      <c r="I45" s="117"/>
      <c r="J45" s="117"/>
      <c r="K45" s="117"/>
      <c r="L45" s="117"/>
    </row>
    <row r="46" spans="2:12" ht="12.75">
      <c r="B46" s="117"/>
      <c r="C46" s="117"/>
      <c r="D46" s="117"/>
      <c r="E46" s="117"/>
      <c r="F46" s="117"/>
      <c r="G46" s="117"/>
      <c r="H46" s="117"/>
      <c r="I46" s="117"/>
      <c r="J46" s="117"/>
      <c r="K46" s="117"/>
      <c r="L46" s="117"/>
    </row>
    <row r="47" spans="3:12" ht="12.75">
      <c r="C47" s="117"/>
      <c r="D47" s="117"/>
      <c r="E47" s="117"/>
      <c r="F47" s="117"/>
      <c r="G47" s="117"/>
      <c r="H47" s="117"/>
      <c r="I47" s="117"/>
      <c r="J47" s="117"/>
      <c r="K47" s="117"/>
      <c r="L47" s="117"/>
    </row>
    <row r="48" spans="2:12" ht="12.75">
      <c r="B48" s="117"/>
      <c r="C48" s="117"/>
      <c r="D48" s="117"/>
      <c r="E48" s="117"/>
      <c r="F48" s="117"/>
      <c r="G48" s="117"/>
      <c r="H48" s="117"/>
      <c r="I48" s="117"/>
      <c r="J48" s="117"/>
      <c r="K48" s="117"/>
      <c r="L48" s="117"/>
    </row>
    <row r="49" ht="12.75">
      <c r="B49" s="251" t="s">
        <v>240</v>
      </c>
    </row>
    <row r="52" spans="3:12" ht="12.75">
      <c r="C52" s="121"/>
      <c r="D52" s="121"/>
      <c r="E52" s="121"/>
      <c r="F52" s="121"/>
      <c r="G52" s="121"/>
      <c r="H52" s="121"/>
      <c r="I52" s="121"/>
      <c r="J52" s="121"/>
      <c r="K52" s="121"/>
      <c r="L52" s="121"/>
    </row>
  </sheetData>
  <sheetProtection/>
  <mergeCells count="5">
    <mergeCell ref="B6:B7"/>
    <mergeCell ref="B2:L2"/>
    <mergeCell ref="B3:L3"/>
    <mergeCell ref="B4:L4"/>
    <mergeCell ref="B24:L2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1"/>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8" width="12.00390625" style="20" customWidth="1"/>
    <col min="9" max="9" width="13.7109375" style="20" customWidth="1"/>
    <col min="10" max="11" width="12.00390625" style="20" customWidth="1"/>
    <col min="12" max="12" width="10.8515625" style="20" customWidth="1"/>
    <col min="13" max="13" width="1.28515625" style="20" customWidth="1"/>
    <col min="14" max="14" width="10.8515625" style="20" customWidth="1"/>
    <col min="15" max="15" width="10.8515625" style="146" customWidth="1"/>
    <col min="16" max="24" width="10.8515625" style="138" hidden="1" customWidth="1"/>
    <col min="25" max="25" width="10.8515625" style="146" customWidth="1"/>
    <col min="26" max="16384" width="10.8515625" style="20" customWidth="1"/>
  </cols>
  <sheetData>
    <row r="1" ht="6.75" customHeight="1"/>
    <row r="2" spans="2:16" ht="12.75">
      <c r="B2" s="377" t="s">
        <v>139</v>
      </c>
      <c r="C2" s="377"/>
      <c r="D2" s="377"/>
      <c r="E2" s="377"/>
      <c r="F2" s="377"/>
      <c r="G2" s="377"/>
      <c r="H2" s="377"/>
      <c r="I2" s="377"/>
      <c r="J2" s="377"/>
      <c r="K2" s="377"/>
      <c r="L2" s="377"/>
      <c r="M2" s="234"/>
      <c r="N2" s="45" t="s">
        <v>148</v>
      </c>
      <c r="O2" s="228"/>
      <c r="P2" s="323"/>
    </row>
    <row r="3" spans="2:16" ht="12.75">
      <c r="B3" s="377" t="s">
        <v>47</v>
      </c>
      <c r="C3" s="377"/>
      <c r="D3" s="377"/>
      <c r="E3" s="377"/>
      <c r="F3" s="377"/>
      <c r="G3" s="377"/>
      <c r="H3" s="377"/>
      <c r="I3" s="377"/>
      <c r="J3" s="377"/>
      <c r="K3" s="377"/>
      <c r="L3" s="377"/>
      <c r="M3" s="234"/>
      <c r="N3" s="234"/>
      <c r="O3" s="228"/>
      <c r="P3" s="323"/>
    </row>
    <row r="4" spans="2:16" ht="15" customHeight="1">
      <c r="B4" s="377" t="s">
        <v>29</v>
      </c>
      <c r="C4" s="377"/>
      <c r="D4" s="377"/>
      <c r="E4" s="377"/>
      <c r="F4" s="377"/>
      <c r="G4" s="377"/>
      <c r="H4" s="377"/>
      <c r="I4" s="377"/>
      <c r="J4" s="377"/>
      <c r="K4" s="377"/>
      <c r="L4" s="377"/>
      <c r="M4" s="234"/>
      <c r="N4" s="234"/>
      <c r="O4" s="228"/>
      <c r="P4" s="323"/>
    </row>
    <row r="5" spans="2:16" ht="12.75">
      <c r="B5" s="2"/>
      <c r="C5" s="2"/>
      <c r="D5" s="2"/>
      <c r="E5" s="2"/>
      <c r="F5" s="2"/>
      <c r="G5" s="2"/>
      <c r="H5" s="2"/>
      <c r="I5" s="2"/>
      <c r="J5" s="2"/>
      <c r="K5" s="2"/>
      <c r="L5" s="2"/>
      <c r="M5" s="2"/>
      <c r="N5" s="2"/>
      <c r="O5" s="257"/>
      <c r="P5" s="324"/>
    </row>
    <row r="6" spans="2:16" ht="15" customHeight="1">
      <c r="B6" s="400" t="s">
        <v>13</v>
      </c>
      <c r="C6" s="235" t="s">
        <v>24</v>
      </c>
      <c r="D6" s="235" t="s">
        <v>24</v>
      </c>
      <c r="E6" s="235" t="s">
        <v>26</v>
      </c>
      <c r="F6" s="235" t="s">
        <v>24</v>
      </c>
      <c r="G6" s="235" t="s">
        <v>25</v>
      </c>
      <c r="H6" s="235" t="s">
        <v>25</v>
      </c>
      <c r="I6" s="235" t="s">
        <v>24</v>
      </c>
      <c r="J6" s="235" t="s">
        <v>24</v>
      </c>
      <c r="K6" s="235" t="s">
        <v>24</v>
      </c>
      <c r="L6" s="235" t="s">
        <v>152</v>
      </c>
      <c r="M6" s="1"/>
      <c r="N6" s="1"/>
      <c r="O6" s="258"/>
      <c r="P6" s="325"/>
    </row>
    <row r="7" spans="2:25" ht="15" customHeight="1">
      <c r="B7" s="401"/>
      <c r="C7" s="236" t="s">
        <v>23</v>
      </c>
      <c r="D7" s="236" t="s">
        <v>22</v>
      </c>
      <c r="E7" s="236" t="s">
        <v>21</v>
      </c>
      <c r="F7" s="236" t="s">
        <v>20</v>
      </c>
      <c r="G7" s="236" t="s">
        <v>19</v>
      </c>
      <c r="H7" s="236" t="s">
        <v>18</v>
      </c>
      <c r="I7" s="236" t="s">
        <v>17</v>
      </c>
      <c r="J7" s="236" t="s">
        <v>16</v>
      </c>
      <c r="K7" s="236" t="s">
        <v>15</v>
      </c>
      <c r="L7" s="236" t="s">
        <v>153</v>
      </c>
      <c r="M7" s="1"/>
      <c r="N7" s="1"/>
      <c r="O7" s="258"/>
      <c r="P7" s="322" t="str">
        <f>+C7</f>
        <v>Coquimbo</v>
      </c>
      <c r="Q7" s="322" t="str">
        <f aca="true" t="shared" si="0" ref="Q7:V7">+D7</f>
        <v>Valparaíso</v>
      </c>
      <c r="R7" s="322" t="str">
        <f t="shared" si="0"/>
        <v>Metropolitana</v>
      </c>
      <c r="S7" s="322" t="str">
        <f t="shared" si="0"/>
        <v>O´Higgins</v>
      </c>
      <c r="T7" s="322" t="str">
        <f t="shared" si="0"/>
        <v>Maule</v>
      </c>
      <c r="U7" s="322" t="str">
        <f t="shared" si="0"/>
        <v>Bío Bío</v>
      </c>
      <c r="V7" s="322" t="str">
        <f t="shared" si="0"/>
        <v>La Araucanía</v>
      </c>
      <c r="W7" s="322" t="str">
        <f>+J7</f>
        <v>Los Ríos</v>
      </c>
      <c r="X7" s="322" t="str">
        <f>+K7</f>
        <v>Los Lagos</v>
      </c>
      <c r="Y7" s="258"/>
    </row>
    <row r="8" spans="2:25" ht="12.75" customHeight="1">
      <c r="B8" s="68" t="s">
        <v>11</v>
      </c>
      <c r="C8" s="82">
        <v>22.020369127516776</v>
      </c>
      <c r="D8" s="83">
        <v>14.461283783783784</v>
      </c>
      <c r="E8" s="83">
        <v>19.28257009345794</v>
      </c>
      <c r="F8" s="83">
        <v>16.780304054054053</v>
      </c>
      <c r="G8" s="83">
        <v>14.920527577937651</v>
      </c>
      <c r="H8" s="83">
        <v>19.960667938931298</v>
      </c>
      <c r="I8" s="83">
        <v>23.313738214087632</v>
      </c>
      <c r="J8" s="83"/>
      <c r="K8" s="83">
        <v>23.38645287228109</v>
      </c>
      <c r="L8" s="83"/>
      <c r="M8" s="83"/>
      <c r="N8" s="46"/>
      <c r="O8" s="259"/>
      <c r="Y8" s="259"/>
    </row>
    <row r="9" spans="2:25" ht="12.75" customHeight="1">
      <c r="B9" s="68" t="s">
        <v>10</v>
      </c>
      <c r="C9" s="83">
        <v>20.42828413284133</v>
      </c>
      <c r="D9" s="83">
        <v>12.118067226890757</v>
      </c>
      <c r="E9" s="83">
        <v>15.59320293398533</v>
      </c>
      <c r="F9" s="83">
        <v>18.21232484076433</v>
      </c>
      <c r="G9" s="83">
        <v>14.86148051948052</v>
      </c>
      <c r="H9" s="83">
        <v>19.89370826010545</v>
      </c>
      <c r="I9" s="83">
        <v>19.841906666666667</v>
      </c>
      <c r="J9" s="83"/>
      <c r="K9" s="83">
        <v>22.54059472716125</v>
      </c>
      <c r="L9" s="83"/>
      <c r="M9" s="83"/>
      <c r="N9" s="46"/>
      <c r="O9" s="259"/>
      <c r="P9" s="320">
        <f aca="true" t="shared" si="1" ref="P9:X21">+C9/C8-1</f>
        <v>-0.07230055888054876</v>
      </c>
      <c r="Q9" s="320">
        <f t="shared" si="1"/>
        <v>-0.16203378565329052</v>
      </c>
      <c r="R9" s="320">
        <f t="shared" si="1"/>
        <v>-0.191331712608389</v>
      </c>
      <c r="S9" s="320">
        <f t="shared" si="1"/>
        <v>0.08533938253426987</v>
      </c>
      <c r="T9" s="320">
        <f t="shared" si="1"/>
        <v>-0.0039574377077954415</v>
      </c>
      <c r="U9" s="320">
        <f t="shared" si="1"/>
        <v>-0.003354581070669105</v>
      </c>
      <c r="V9" s="320">
        <f t="shared" si="1"/>
        <v>-0.14891784043980838</v>
      </c>
      <c r="W9" s="320" t="e">
        <f t="shared" si="1"/>
        <v>#DIV/0!</v>
      </c>
      <c r="X9" s="320">
        <f t="shared" si="1"/>
        <v>-0.03616872339466237</v>
      </c>
      <c r="Y9" s="259"/>
    </row>
    <row r="10" spans="2:25" ht="12.75" customHeight="1">
      <c r="B10" s="68" t="s">
        <v>9</v>
      </c>
      <c r="C10" s="83">
        <v>20.3</v>
      </c>
      <c r="D10" s="83">
        <v>12.5</v>
      </c>
      <c r="E10" s="83">
        <v>15.84</v>
      </c>
      <c r="F10" s="83">
        <v>19</v>
      </c>
      <c r="G10" s="83">
        <v>15.05</v>
      </c>
      <c r="H10" s="83">
        <v>20.05</v>
      </c>
      <c r="I10" s="83">
        <v>18</v>
      </c>
      <c r="J10" s="83"/>
      <c r="K10" s="83">
        <v>22.72</v>
      </c>
      <c r="L10" s="83"/>
      <c r="M10" s="83"/>
      <c r="N10" s="46"/>
      <c r="O10" s="259"/>
      <c r="P10" s="320">
        <f t="shared" si="1"/>
        <v>-0.006279731180901971</v>
      </c>
      <c r="Q10" s="320">
        <f t="shared" si="1"/>
        <v>0.03151763115009887</v>
      </c>
      <c r="R10" s="320">
        <f t="shared" si="1"/>
        <v>0.015827220812779652</v>
      </c>
      <c r="S10" s="320">
        <f t="shared" si="1"/>
        <v>0.043249566769895775</v>
      </c>
      <c r="T10" s="320">
        <f t="shared" si="1"/>
        <v>0.012685107669613949</v>
      </c>
      <c r="U10" s="320">
        <f t="shared" si="1"/>
        <v>0.007856340198171052</v>
      </c>
      <c r="V10" s="320">
        <f t="shared" si="1"/>
        <v>-0.09282911655667503</v>
      </c>
      <c r="W10" s="320" t="e">
        <f t="shared" si="1"/>
        <v>#DIV/0!</v>
      </c>
      <c r="X10" s="320">
        <f t="shared" si="1"/>
        <v>0.007959207599015361</v>
      </c>
      <c r="Y10" s="259"/>
    </row>
    <row r="11" spans="2:25" ht="12.75" customHeight="1">
      <c r="B11" s="68" t="s">
        <v>8</v>
      </c>
      <c r="C11" s="83">
        <v>21.48</v>
      </c>
      <c r="D11" s="83">
        <v>16.5</v>
      </c>
      <c r="E11" s="83">
        <v>13.26</v>
      </c>
      <c r="F11" s="83">
        <v>20.04</v>
      </c>
      <c r="G11" s="83">
        <v>15.16</v>
      </c>
      <c r="H11" s="83">
        <v>20.27</v>
      </c>
      <c r="I11" s="83">
        <v>20.57</v>
      </c>
      <c r="J11" s="68"/>
      <c r="K11" s="83">
        <v>22.380000000000003</v>
      </c>
      <c r="L11" s="83"/>
      <c r="M11" s="83"/>
      <c r="N11" s="46"/>
      <c r="O11" s="259"/>
      <c r="P11" s="320">
        <f t="shared" si="1"/>
        <v>0.058128078817734075</v>
      </c>
      <c r="Q11" s="320">
        <f t="shared" si="1"/>
        <v>0.32000000000000006</v>
      </c>
      <c r="R11" s="320">
        <f t="shared" si="1"/>
        <v>-0.16287878787878785</v>
      </c>
      <c r="S11" s="320">
        <f t="shared" si="1"/>
        <v>0.054736842105263195</v>
      </c>
      <c r="T11" s="320">
        <f t="shared" si="1"/>
        <v>0.0073089700996678</v>
      </c>
      <c r="U11" s="320">
        <f t="shared" si="1"/>
        <v>0.010972568578553554</v>
      </c>
      <c r="V11" s="320">
        <f t="shared" si="1"/>
        <v>0.1427777777777779</v>
      </c>
      <c r="W11" s="320" t="e">
        <f t="shared" si="1"/>
        <v>#DIV/0!</v>
      </c>
      <c r="X11" s="320">
        <f t="shared" si="1"/>
        <v>-0.014964788732394152</v>
      </c>
      <c r="Y11" s="259"/>
    </row>
    <row r="12" spans="2:25" ht="12.75" customHeight="1">
      <c r="B12" s="68" t="s">
        <v>7</v>
      </c>
      <c r="C12" s="83">
        <v>21.55</v>
      </c>
      <c r="D12" s="83">
        <v>16.75</v>
      </c>
      <c r="E12" s="83">
        <v>14.86</v>
      </c>
      <c r="F12" s="83">
        <v>12.98</v>
      </c>
      <c r="G12" s="83">
        <v>16.94</v>
      </c>
      <c r="H12" s="83">
        <v>19.95</v>
      </c>
      <c r="I12" s="83">
        <v>24.81</v>
      </c>
      <c r="J12" s="68"/>
      <c r="K12" s="83">
        <v>25.82</v>
      </c>
      <c r="L12" s="83"/>
      <c r="M12" s="83"/>
      <c r="N12" s="46"/>
      <c r="O12" s="259"/>
      <c r="P12" s="320">
        <f t="shared" si="1"/>
        <v>0.0032588454376163423</v>
      </c>
      <c r="Q12" s="320">
        <f t="shared" si="1"/>
        <v>0.015151515151515138</v>
      </c>
      <c r="R12" s="320">
        <f t="shared" si="1"/>
        <v>0.1206636500754148</v>
      </c>
      <c r="S12" s="320">
        <f t="shared" si="1"/>
        <v>-0.3522954091816367</v>
      </c>
      <c r="T12" s="320">
        <f t="shared" si="1"/>
        <v>0.11741424802110823</v>
      </c>
      <c r="U12" s="320">
        <f t="shared" si="1"/>
        <v>-0.015786877158362134</v>
      </c>
      <c r="V12" s="320">
        <f t="shared" si="1"/>
        <v>0.20612542537676215</v>
      </c>
      <c r="W12" s="320" t="e">
        <f t="shared" si="1"/>
        <v>#DIV/0!</v>
      </c>
      <c r="X12" s="320">
        <f t="shared" si="1"/>
        <v>0.15370866845397657</v>
      </c>
      <c r="Y12" s="259"/>
    </row>
    <row r="13" spans="2:25" ht="12.75" customHeight="1">
      <c r="B13" s="68" t="s">
        <v>6</v>
      </c>
      <c r="C13" s="83">
        <v>17.426408798813643</v>
      </c>
      <c r="D13" s="83">
        <v>9.337508813376187</v>
      </c>
      <c r="E13" s="83">
        <v>16.623426967364942</v>
      </c>
      <c r="F13" s="83">
        <v>13.281982350534744</v>
      </c>
      <c r="G13" s="83">
        <v>13.350154657230894</v>
      </c>
      <c r="H13" s="83">
        <v>11.576870309860222</v>
      </c>
      <c r="I13" s="83">
        <v>15.118167139676645</v>
      </c>
      <c r="J13" s="83">
        <v>18.236673129705636</v>
      </c>
      <c r="K13" s="83">
        <v>19.057086368736975</v>
      </c>
      <c r="L13" s="83"/>
      <c r="M13" s="83"/>
      <c r="N13" s="46"/>
      <c r="O13" s="259"/>
      <c r="P13" s="320">
        <f t="shared" si="1"/>
        <v>-0.1913499397302254</v>
      </c>
      <c r="Q13" s="320">
        <f t="shared" si="1"/>
        <v>-0.4425367872611231</v>
      </c>
      <c r="R13" s="320">
        <f t="shared" si="1"/>
        <v>0.11866937869212268</v>
      </c>
      <c r="S13" s="320">
        <f t="shared" si="1"/>
        <v>0.023265204201444067</v>
      </c>
      <c r="T13" s="320">
        <f t="shared" si="1"/>
        <v>-0.2119153094905022</v>
      </c>
      <c r="U13" s="320">
        <f t="shared" si="1"/>
        <v>-0.4197057488791869</v>
      </c>
      <c r="V13" s="320">
        <f t="shared" si="1"/>
        <v>-0.3906421950956612</v>
      </c>
      <c r="W13" s="320" t="e">
        <f t="shared" si="1"/>
        <v>#DIV/0!</v>
      </c>
      <c r="X13" s="320">
        <f t="shared" si="1"/>
        <v>-0.26192539238044243</v>
      </c>
      <c r="Y13" s="259"/>
    </row>
    <row r="14" spans="2:25" ht="12.75" customHeight="1">
      <c r="B14" s="68" t="s">
        <v>5</v>
      </c>
      <c r="C14" s="83">
        <v>19</v>
      </c>
      <c r="D14" s="83">
        <v>13.6</v>
      </c>
      <c r="E14" s="83">
        <v>15.330000000000002</v>
      </c>
      <c r="F14" s="83">
        <v>17</v>
      </c>
      <c r="G14" s="83">
        <v>17.07</v>
      </c>
      <c r="H14" s="83">
        <v>16.7</v>
      </c>
      <c r="I14" s="83">
        <v>14.88</v>
      </c>
      <c r="J14" s="83">
        <v>20.43</v>
      </c>
      <c r="K14" s="83">
        <v>21.03</v>
      </c>
      <c r="L14" s="83"/>
      <c r="M14" s="83"/>
      <c r="N14" s="46"/>
      <c r="O14" s="259"/>
      <c r="P14" s="320">
        <f t="shared" si="1"/>
        <v>0.09029922454783024</v>
      </c>
      <c r="Q14" s="320">
        <f t="shared" si="1"/>
        <v>0.456491262478671</v>
      </c>
      <c r="R14" s="320">
        <f t="shared" si="1"/>
        <v>-0.07780748036516127</v>
      </c>
      <c r="S14" s="320">
        <f t="shared" si="1"/>
        <v>0.2799294225319886</v>
      </c>
      <c r="T14" s="320">
        <f t="shared" si="1"/>
        <v>0.27863687262636416</v>
      </c>
      <c r="U14" s="320">
        <f t="shared" si="1"/>
        <v>0.4425314919332144</v>
      </c>
      <c r="V14" s="320">
        <f t="shared" si="1"/>
        <v>-0.015753704630741217</v>
      </c>
      <c r="W14" s="320">
        <f t="shared" si="1"/>
        <v>0.12027012025135564</v>
      </c>
      <c r="X14" s="320">
        <f t="shared" si="1"/>
        <v>0.10352650940909713</v>
      </c>
      <c r="Y14" s="259"/>
    </row>
    <row r="15" spans="2:25" ht="12.75" customHeight="1">
      <c r="B15" s="68" t="s">
        <v>4</v>
      </c>
      <c r="C15" s="83">
        <v>17.22</v>
      </c>
      <c r="D15" s="83">
        <v>13.780000000000001</v>
      </c>
      <c r="E15" s="83">
        <v>19.23</v>
      </c>
      <c r="F15" s="83">
        <v>14.49</v>
      </c>
      <c r="G15" s="83">
        <v>14.62</v>
      </c>
      <c r="H15" s="83">
        <v>15.63</v>
      </c>
      <c r="I15" s="83">
        <v>19.71</v>
      </c>
      <c r="J15" s="83">
        <v>26.630000000000003</v>
      </c>
      <c r="K15" s="83">
        <v>25.910000000000004</v>
      </c>
      <c r="L15" s="83"/>
      <c r="M15" s="83"/>
      <c r="N15" s="46"/>
      <c r="O15" s="259"/>
      <c r="P15" s="320">
        <f t="shared" si="1"/>
        <v>-0.09368421052631581</v>
      </c>
      <c r="Q15" s="320">
        <f t="shared" si="1"/>
        <v>0.013235294117647234</v>
      </c>
      <c r="R15" s="320">
        <f t="shared" si="1"/>
        <v>0.25440313111545976</v>
      </c>
      <c r="S15" s="320">
        <f t="shared" si="1"/>
        <v>-0.14764705882352935</v>
      </c>
      <c r="T15" s="320">
        <f t="shared" si="1"/>
        <v>-0.1435266549502051</v>
      </c>
      <c r="U15" s="320">
        <f t="shared" si="1"/>
        <v>-0.06407185628742507</v>
      </c>
      <c r="V15" s="320">
        <f t="shared" si="1"/>
        <v>0.32459677419354827</v>
      </c>
      <c r="W15" s="320">
        <f t="shared" si="1"/>
        <v>0.30347528144884994</v>
      </c>
      <c r="X15" s="320">
        <f t="shared" si="1"/>
        <v>0.2320494531621493</v>
      </c>
      <c r="Y15" s="259"/>
    </row>
    <row r="16" spans="2:25" ht="12.75" customHeight="1">
      <c r="B16" s="68" t="s">
        <v>3</v>
      </c>
      <c r="C16" s="83">
        <v>22.94</v>
      </c>
      <c r="D16" s="83">
        <v>26.330000000000002</v>
      </c>
      <c r="E16" s="83">
        <v>24.669999999999998</v>
      </c>
      <c r="F16" s="83">
        <v>19.36</v>
      </c>
      <c r="G16" s="83">
        <v>12.52</v>
      </c>
      <c r="H16" s="83">
        <v>18.490000000000002</v>
      </c>
      <c r="I16" s="83">
        <v>18.830000000000002</v>
      </c>
      <c r="J16" s="83">
        <v>33.1</v>
      </c>
      <c r="K16" s="83">
        <v>29.53</v>
      </c>
      <c r="L16" s="83"/>
      <c r="M16" s="83"/>
      <c r="N16" s="46"/>
      <c r="O16" s="259"/>
      <c r="P16" s="320">
        <f t="shared" si="1"/>
        <v>0.33217189314750306</v>
      </c>
      <c r="Q16" s="320">
        <f t="shared" si="1"/>
        <v>0.9107402031930334</v>
      </c>
      <c r="R16" s="320">
        <f t="shared" si="1"/>
        <v>0.28289131565262604</v>
      </c>
      <c r="S16" s="320">
        <f t="shared" si="1"/>
        <v>0.3360938578329882</v>
      </c>
      <c r="T16" s="320">
        <f t="shared" si="1"/>
        <v>-0.14363885088919282</v>
      </c>
      <c r="U16" s="320">
        <f t="shared" si="1"/>
        <v>0.18298144593730004</v>
      </c>
      <c r="V16" s="320">
        <f t="shared" si="1"/>
        <v>-0.044647387113140535</v>
      </c>
      <c r="W16" s="320">
        <f t="shared" si="1"/>
        <v>0.24295906871948914</v>
      </c>
      <c r="X16" s="320">
        <f t="shared" si="1"/>
        <v>0.13971439598610558</v>
      </c>
      <c r="Y16" s="259"/>
    </row>
    <row r="17" spans="2:25" ht="12.75" customHeight="1">
      <c r="B17" s="68" t="s">
        <v>2</v>
      </c>
      <c r="C17" s="83">
        <v>23.54</v>
      </c>
      <c r="D17" s="83">
        <v>20.52</v>
      </c>
      <c r="E17" s="83">
        <v>21.1</v>
      </c>
      <c r="F17" s="83">
        <v>17.82</v>
      </c>
      <c r="G17" s="83">
        <v>24.35</v>
      </c>
      <c r="H17" s="83">
        <v>27.26</v>
      </c>
      <c r="I17" s="83">
        <v>34.69</v>
      </c>
      <c r="J17" s="83">
        <v>37.019999999999996</v>
      </c>
      <c r="K17" s="83">
        <v>42.55</v>
      </c>
      <c r="L17" s="83"/>
      <c r="M17" s="83"/>
      <c r="N17" s="46"/>
      <c r="O17" s="259"/>
      <c r="P17" s="320">
        <f t="shared" si="1"/>
        <v>0.02615518744550993</v>
      </c>
      <c r="Q17" s="320">
        <f t="shared" si="1"/>
        <v>-0.2206608431447019</v>
      </c>
      <c r="R17" s="320">
        <f t="shared" si="1"/>
        <v>-0.14471017430077004</v>
      </c>
      <c r="S17" s="320">
        <f t="shared" si="1"/>
        <v>-0.07954545454545447</v>
      </c>
      <c r="T17" s="320">
        <f t="shared" si="1"/>
        <v>0.9448881789137382</v>
      </c>
      <c r="U17" s="320">
        <f t="shared" si="1"/>
        <v>0.4743104380746348</v>
      </c>
      <c r="V17" s="320">
        <f t="shared" si="1"/>
        <v>0.8422729686670205</v>
      </c>
      <c r="W17" s="320">
        <f t="shared" si="1"/>
        <v>0.1184290030211479</v>
      </c>
      <c r="X17" s="320">
        <f t="shared" si="1"/>
        <v>0.4409075516423975</v>
      </c>
      <c r="Y17" s="259"/>
    </row>
    <row r="18" spans="2:25" ht="12.75" customHeight="1">
      <c r="B18" s="68" t="s">
        <v>120</v>
      </c>
      <c r="C18" s="83">
        <v>22.02</v>
      </c>
      <c r="D18" s="83">
        <v>11.26</v>
      </c>
      <c r="E18" s="83">
        <v>24.48</v>
      </c>
      <c r="F18" s="83">
        <v>15.260000000000002</v>
      </c>
      <c r="G18" s="83">
        <v>16.580000000000002</v>
      </c>
      <c r="H18" s="83">
        <v>16.84</v>
      </c>
      <c r="I18" s="83">
        <v>26.2</v>
      </c>
      <c r="J18" s="83">
        <v>36.230000000000004</v>
      </c>
      <c r="K18" s="83">
        <v>37.019999999999996</v>
      </c>
      <c r="L18" s="83"/>
      <c r="M18" s="83"/>
      <c r="N18" s="46"/>
      <c r="O18" s="259"/>
      <c r="P18" s="320">
        <f t="shared" si="1"/>
        <v>-0.06457094307561595</v>
      </c>
      <c r="Q18" s="320">
        <f t="shared" si="1"/>
        <v>-0.45126705653021437</v>
      </c>
      <c r="R18" s="320">
        <f t="shared" si="1"/>
        <v>0.16018957345971563</v>
      </c>
      <c r="S18" s="320">
        <f t="shared" si="1"/>
        <v>-0.1436588103254769</v>
      </c>
      <c r="T18" s="320">
        <f t="shared" si="1"/>
        <v>-0.31909650924024635</v>
      </c>
      <c r="U18" s="320">
        <f t="shared" si="1"/>
        <v>-0.38224504768892154</v>
      </c>
      <c r="V18" s="320">
        <f t="shared" si="1"/>
        <v>-0.24473911790141245</v>
      </c>
      <c r="W18" s="320">
        <f t="shared" si="1"/>
        <v>-0.021339816315504967</v>
      </c>
      <c r="X18" s="320">
        <f t="shared" si="1"/>
        <v>-0.1299647473560518</v>
      </c>
      <c r="Y18" s="259"/>
    </row>
    <row r="19" spans="2:25" ht="12.75" customHeight="1">
      <c r="B19" s="68" t="s">
        <v>129</v>
      </c>
      <c r="C19" s="83">
        <v>20.37043201224156</v>
      </c>
      <c r="D19" s="83">
        <v>14.861034346434494</v>
      </c>
      <c r="E19" s="83">
        <v>22.069840622540045</v>
      </c>
      <c r="F19" s="83">
        <v>20.40363304091236</v>
      </c>
      <c r="G19" s="83">
        <v>22.892935432721355</v>
      </c>
      <c r="H19" s="83">
        <v>18.231266095438755</v>
      </c>
      <c r="I19" s="83">
        <v>21.75681235539536</v>
      </c>
      <c r="J19" s="83">
        <v>22.80581042314713</v>
      </c>
      <c r="K19" s="83">
        <v>33.98124349810817</v>
      </c>
      <c r="L19" s="83"/>
      <c r="M19" s="83"/>
      <c r="N19" s="46"/>
      <c r="O19" s="259"/>
      <c r="P19" s="320">
        <f t="shared" si="1"/>
        <v>-0.07491226102445225</v>
      </c>
      <c r="Q19" s="320">
        <f t="shared" si="1"/>
        <v>0.3198076684222464</v>
      </c>
      <c r="R19" s="320">
        <f t="shared" si="1"/>
        <v>-0.09845422293545569</v>
      </c>
      <c r="S19" s="320">
        <f t="shared" si="1"/>
        <v>0.3370663853808884</v>
      </c>
      <c r="T19" s="320">
        <f t="shared" si="1"/>
        <v>0.3807560574620841</v>
      </c>
      <c r="U19" s="320">
        <f t="shared" si="1"/>
        <v>0.08261675151061487</v>
      </c>
      <c r="V19" s="320">
        <f t="shared" si="1"/>
        <v>-0.16958731467956634</v>
      </c>
      <c r="W19" s="320">
        <f t="shared" si="1"/>
        <v>-0.3705268997199247</v>
      </c>
      <c r="X19" s="320">
        <f t="shared" si="1"/>
        <v>-0.08208418427584618</v>
      </c>
      <c r="Y19" s="259"/>
    </row>
    <row r="20" spans="2:25" ht="12.75" customHeight="1">
      <c r="B20" s="68" t="s">
        <v>143</v>
      </c>
      <c r="C20" s="83">
        <v>21.5</v>
      </c>
      <c r="D20" s="83">
        <v>12.209999999999999</v>
      </c>
      <c r="E20" s="83">
        <v>23.61</v>
      </c>
      <c r="F20" s="83">
        <v>12.64</v>
      </c>
      <c r="G20" s="83">
        <v>12.79</v>
      </c>
      <c r="H20" s="83">
        <v>15.45</v>
      </c>
      <c r="I20" s="83">
        <v>20.84</v>
      </c>
      <c r="J20" s="83">
        <v>25.14</v>
      </c>
      <c r="K20" s="83">
        <v>31.990000000000002</v>
      </c>
      <c r="L20" s="83">
        <v>9.120669577874818</v>
      </c>
      <c r="M20" s="83"/>
      <c r="N20" s="46"/>
      <c r="O20" s="259"/>
      <c r="P20" s="320">
        <f t="shared" si="1"/>
        <v>0.05545135160018333</v>
      </c>
      <c r="Q20" s="320">
        <f t="shared" si="1"/>
        <v>-0.17838827935086088</v>
      </c>
      <c r="R20" s="320">
        <f t="shared" si="1"/>
        <v>0.06978570456403665</v>
      </c>
      <c r="S20" s="320">
        <f t="shared" si="1"/>
        <v>-0.3805024833246661</v>
      </c>
      <c r="T20" s="320">
        <f t="shared" si="1"/>
        <v>-0.4413123630393426</v>
      </c>
      <c r="U20" s="320">
        <f t="shared" si="1"/>
        <v>-0.15255474199537877</v>
      </c>
      <c r="V20" s="320">
        <f t="shared" si="1"/>
        <v>-0.04213909374311475</v>
      </c>
      <c r="W20" s="320">
        <f t="shared" si="1"/>
        <v>0.10235065246722153</v>
      </c>
      <c r="X20" s="320">
        <f t="shared" si="1"/>
        <v>-0.0585983116897717</v>
      </c>
      <c r="Y20" s="259"/>
    </row>
    <row r="21" spans="2:25" ht="12.75" customHeight="1">
      <c r="B21" s="68" t="s">
        <v>172</v>
      </c>
      <c r="C21" s="83">
        <v>23.15</v>
      </c>
      <c r="D21" s="83">
        <v>15.08</v>
      </c>
      <c r="E21" s="83">
        <v>22.86</v>
      </c>
      <c r="F21" s="83">
        <v>16.31</v>
      </c>
      <c r="G21" s="83">
        <v>16.44</v>
      </c>
      <c r="H21" s="83">
        <v>15.78</v>
      </c>
      <c r="I21" s="83">
        <v>18.21</v>
      </c>
      <c r="J21" s="83">
        <v>17.8</v>
      </c>
      <c r="K21" s="83">
        <v>25.64</v>
      </c>
      <c r="L21" s="83">
        <v>9.12</v>
      </c>
      <c r="M21" s="83"/>
      <c r="N21" s="46"/>
      <c r="O21" s="259"/>
      <c r="P21" s="320">
        <f t="shared" si="1"/>
        <v>0.07674418604651145</v>
      </c>
      <c r="Q21" s="320">
        <f t="shared" si="1"/>
        <v>0.23505323505323505</v>
      </c>
      <c r="R21" s="320">
        <f t="shared" si="1"/>
        <v>-0.031766200762388785</v>
      </c>
      <c r="S21" s="320">
        <f t="shared" si="1"/>
        <v>0.29034810126582267</v>
      </c>
      <c r="T21" s="320">
        <f t="shared" si="1"/>
        <v>0.2853792025019548</v>
      </c>
      <c r="U21" s="320">
        <f t="shared" si="1"/>
        <v>0.021359223300970953</v>
      </c>
      <c r="V21" s="320">
        <f t="shared" si="1"/>
        <v>-0.1261996161228407</v>
      </c>
      <c r="W21" s="320">
        <f t="shared" si="1"/>
        <v>-0.2919649960222752</v>
      </c>
      <c r="X21" s="320">
        <f t="shared" si="1"/>
        <v>-0.19849953110346985</v>
      </c>
      <c r="Y21" s="259"/>
    </row>
    <row r="22" spans="2:25" ht="12.75" customHeight="1">
      <c r="B22" s="68" t="s">
        <v>190</v>
      </c>
      <c r="C22" s="83">
        <v>24.23</v>
      </c>
      <c r="D22" s="83">
        <v>17.81</v>
      </c>
      <c r="E22" s="83">
        <v>17.2</v>
      </c>
      <c r="F22" s="83">
        <v>13.73</v>
      </c>
      <c r="G22" s="83">
        <v>16.919999999999998</v>
      </c>
      <c r="H22" s="83">
        <v>14.809999999999999</v>
      </c>
      <c r="I22" s="83">
        <v>22.619999999999997</v>
      </c>
      <c r="J22" s="83">
        <v>22</v>
      </c>
      <c r="K22" s="83">
        <v>33.2</v>
      </c>
      <c r="L22" s="83">
        <v>9.120000000000001</v>
      </c>
      <c r="M22" s="83"/>
      <c r="N22" s="46"/>
      <c r="O22" s="259"/>
      <c r="P22" s="320">
        <f aca="true" t="shared" si="2" ref="P22:X23">+C22/C21-1</f>
        <v>0.046652267818574567</v>
      </c>
      <c r="Q22" s="320">
        <f t="shared" si="2"/>
        <v>0.18103448275862055</v>
      </c>
      <c r="R22" s="320">
        <f t="shared" si="2"/>
        <v>-0.24759405074365703</v>
      </c>
      <c r="S22" s="320">
        <f t="shared" si="2"/>
        <v>-0.15818516247700787</v>
      </c>
      <c r="T22" s="320">
        <f t="shared" si="2"/>
        <v>0.029197080291970545</v>
      </c>
      <c r="U22" s="320">
        <f t="shared" si="2"/>
        <v>-0.06147021546261089</v>
      </c>
      <c r="V22" s="320">
        <f t="shared" si="2"/>
        <v>0.2421746293245468</v>
      </c>
      <c r="W22" s="320">
        <f t="shared" si="2"/>
        <v>0.2359550561797752</v>
      </c>
      <c r="X22" s="320">
        <f t="shared" si="2"/>
        <v>0.294851794071763</v>
      </c>
      <c r="Y22" s="259"/>
    </row>
    <row r="23" spans="2:25" ht="12.75" customHeight="1">
      <c r="B23" s="68" t="s">
        <v>250</v>
      </c>
      <c r="C23" s="83">
        <v>24.86</v>
      </c>
      <c r="D23" s="83">
        <v>13.88</v>
      </c>
      <c r="E23" s="83">
        <v>17</v>
      </c>
      <c r="F23" s="83">
        <v>15.419999999999998</v>
      </c>
      <c r="G23" s="83">
        <v>22.130000000000003</v>
      </c>
      <c r="H23" s="83">
        <v>17.25</v>
      </c>
      <c r="I23" s="83">
        <v>26.639999999999997</v>
      </c>
      <c r="J23" s="83">
        <v>31.689999999999998</v>
      </c>
      <c r="K23" s="83">
        <v>42.980000000000004</v>
      </c>
      <c r="L23" s="83">
        <v>9.120000000000001</v>
      </c>
      <c r="M23" s="83"/>
      <c r="N23" s="46"/>
      <c r="O23" s="259"/>
      <c r="P23" s="320">
        <f t="shared" si="2"/>
        <v>0.026000825423029283</v>
      </c>
      <c r="Q23" s="320">
        <f t="shared" si="2"/>
        <v>-0.2206625491297023</v>
      </c>
      <c r="R23" s="320">
        <f t="shared" si="2"/>
        <v>-0.011627906976744096</v>
      </c>
      <c r="S23" s="320">
        <f t="shared" si="2"/>
        <v>0.12308812818645287</v>
      </c>
      <c r="T23" s="320">
        <f t="shared" si="2"/>
        <v>0.30791962174940934</v>
      </c>
      <c r="U23" s="320">
        <f t="shared" si="2"/>
        <v>0.16475354490209337</v>
      </c>
      <c r="V23" s="320">
        <f t="shared" si="2"/>
        <v>0.17771883289124668</v>
      </c>
      <c r="W23" s="320">
        <f t="shared" si="2"/>
        <v>0.44045454545454543</v>
      </c>
      <c r="X23" s="320">
        <f t="shared" si="2"/>
        <v>0.294578313253012</v>
      </c>
      <c r="Y23" s="259"/>
    </row>
    <row r="24" spans="2:12" ht="12.75">
      <c r="B24" s="398" t="s">
        <v>240</v>
      </c>
      <c r="C24" s="399"/>
      <c r="D24" s="399"/>
      <c r="E24" s="399"/>
      <c r="F24" s="399"/>
      <c r="G24" s="399"/>
      <c r="H24" s="399"/>
      <c r="I24" s="399"/>
      <c r="J24" s="399"/>
      <c r="K24" s="399"/>
      <c r="L24" s="399"/>
    </row>
    <row r="25" spans="2:11" ht="12.75" customHeight="1">
      <c r="B25" s="255"/>
      <c r="C25" s="256"/>
      <c r="D25" s="256"/>
      <c r="E25" s="256"/>
      <c r="F25" s="256"/>
      <c r="G25" s="256"/>
      <c r="H25" s="47"/>
      <c r="I25" s="47"/>
      <c r="J25" s="47"/>
      <c r="K25" s="47"/>
    </row>
    <row r="26" spans="2:11" ht="12.75">
      <c r="B26" s="2"/>
      <c r="C26" s="2"/>
      <c r="D26" s="2"/>
      <c r="E26" s="2"/>
      <c r="F26" s="2"/>
      <c r="G26" s="2"/>
      <c r="H26" s="2"/>
      <c r="I26" s="2"/>
      <c r="J26" s="2"/>
      <c r="K26" s="2"/>
    </row>
    <row r="31" ht="12.75">
      <c r="P31" s="324"/>
    </row>
    <row r="46" ht="12.75">
      <c r="N46" s="2"/>
    </row>
    <row r="47" ht="12.75">
      <c r="B47" s="242" t="s">
        <v>241</v>
      </c>
    </row>
    <row r="50" spans="3:12" ht="12.75">
      <c r="C50" s="137"/>
      <c r="D50" s="137"/>
      <c r="E50" s="137"/>
      <c r="F50" s="137"/>
      <c r="G50" s="137"/>
      <c r="H50" s="137"/>
      <c r="I50" s="137"/>
      <c r="J50" s="137"/>
      <c r="K50" s="137"/>
      <c r="L50" s="137"/>
    </row>
    <row r="51" spans="3:12" ht="12.75">
      <c r="C51" s="83"/>
      <c r="D51" s="83"/>
      <c r="E51" s="83"/>
      <c r="F51" s="83"/>
      <c r="G51" s="83"/>
      <c r="H51" s="83"/>
      <c r="I51" s="83"/>
      <c r="J51" s="83"/>
      <c r="K51" s="83"/>
      <c r="L51" s="83"/>
    </row>
  </sheetData>
  <sheetProtection/>
  <mergeCells count="5">
    <mergeCell ref="B6:B7"/>
    <mergeCell ref="B3:L3"/>
    <mergeCell ref="B2:L2"/>
    <mergeCell ref="B4:L4"/>
    <mergeCell ref="B24:L2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80" workbookViewId="0" topLeftCell="A1">
      <selection activeCell="A1" sqref="A1"/>
    </sheetView>
  </sheetViews>
  <sheetFormatPr defaultColWidth="10.8515625" defaultRowHeight="15"/>
  <cols>
    <col min="1" max="1" width="1.1484375" style="35" customWidth="1"/>
    <col min="2" max="2" width="41.00390625" style="35" customWidth="1"/>
    <col min="3" max="3" width="26.28125" style="35" customWidth="1"/>
    <col min="4" max="4" width="26.140625" style="35" customWidth="1"/>
    <col min="5" max="5" width="22.28125" style="35" customWidth="1"/>
    <col min="6" max="6" width="4.00390625" style="35" customWidth="1"/>
    <col min="7" max="7" width="14.421875" style="35" customWidth="1"/>
    <col min="8" max="16384" width="10.8515625" style="35" customWidth="1"/>
  </cols>
  <sheetData>
    <row r="1" ht="6.75" customHeight="1"/>
    <row r="2" spans="2:7" ht="12.75">
      <c r="B2" s="410" t="s">
        <v>223</v>
      </c>
      <c r="C2" s="410"/>
      <c r="D2" s="410"/>
      <c r="E2" s="410"/>
      <c r="G2" s="45" t="s">
        <v>148</v>
      </c>
    </row>
    <row r="3" spans="2:7" ht="12.75">
      <c r="B3" s="410" t="s">
        <v>224</v>
      </c>
      <c r="C3" s="410"/>
      <c r="D3" s="410"/>
      <c r="E3" s="410"/>
      <c r="G3" s="45"/>
    </row>
    <row r="4" spans="2:5" ht="12.75">
      <c r="B4" s="410" t="s">
        <v>279</v>
      </c>
      <c r="C4" s="410"/>
      <c r="D4" s="410"/>
      <c r="E4" s="410"/>
    </row>
    <row r="6" spans="3:5" ht="38.25">
      <c r="C6" s="177" t="s">
        <v>205</v>
      </c>
      <c r="D6" s="177" t="s">
        <v>276</v>
      </c>
      <c r="E6" s="177" t="s">
        <v>277</v>
      </c>
    </row>
    <row r="7" spans="2:5" ht="12.75">
      <c r="B7" s="178" t="s">
        <v>151</v>
      </c>
      <c r="C7" s="179">
        <v>26</v>
      </c>
      <c r="D7" s="179">
        <v>30</v>
      </c>
      <c r="E7" s="179">
        <v>30</v>
      </c>
    </row>
    <row r="8" spans="2:5" ht="12.75">
      <c r="B8" s="178" t="s">
        <v>193</v>
      </c>
      <c r="C8" s="180">
        <v>998000</v>
      </c>
      <c r="D8" s="180">
        <v>648000</v>
      </c>
      <c r="E8" s="180">
        <v>1538000</v>
      </c>
    </row>
    <row r="9" spans="2:5" ht="12.75">
      <c r="B9" s="178" t="s">
        <v>194</v>
      </c>
      <c r="C9" s="180">
        <v>612000</v>
      </c>
      <c r="D9" s="180">
        <v>651000</v>
      </c>
      <c r="E9" s="180">
        <v>622000</v>
      </c>
    </row>
    <row r="10" spans="2:5" ht="12.75">
      <c r="B10" s="178" t="s">
        <v>195</v>
      </c>
      <c r="C10" s="180">
        <v>1718582</v>
      </c>
      <c r="D10" s="180">
        <v>2349219</v>
      </c>
      <c r="E10" s="180">
        <v>1816105</v>
      </c>
    </row>
    <row r="11" spans="2:5" ht="14.25">
      <c r="B11" s="181" t="s">
        <v>255</v>
      </c>
      <c r="C11" s="180">
        <f>124821.825+166429.1</f>
        <v>291250.925</v>
      </c>
      <c r="D11" s="180">
        <v>346581</v>
      </c>
      <c r="E11" s="180">
        <f>198805+178925</f>
        <v>377730</v>
      </c>
    </row>
    <row r="12" spans="2:5" ht="12.75">
      <c r="B12" s="182" t="s">
        <v>196</v>
      </c>
      <c r="C12" s="183">
        <f>SUM(C8:C11)</f>
        <v>3619832.925</v>
      </c>
      <c r="D12" s="183">
        <f>SUM(D8:D11)</f>
        <v>3994800</v>
      </c>
      <c r="E12" s="183">
        <f>SUM(E8:E11)</f>
        <v>4353835</v>
      </c>
    </row>
    <row r="13" spans="2:5" ht="14.25">
      <c r="B13" s="178" t="s">
        <v>209</v>
      </c>
      <c r="C13" s="328">
        <f>+AVERAGE('precio mayorista3'!U37:V37)/25</f>
        <v>170.79118133333333</v>
      </c>
      <c r="D13" s="200">
        <f>+AVERAGE('precio mayorista3'!X37:Y37)/25</f>
        <v>131.60078</v>
      </c>
      <c r="E13" s="200">
        <f>+AVERAGE('precio mayorista3'!U37,'precio mayorista3'!V37)/25</f>
        <v>170.79118133333333</v>
      </c>
    </row>
    <row r="14" spans="2:5" ht="12.75">
      <c r="B14" s="184" t="s">
        <v>197</v>
      </c>
      <c r="C14" s="183">
        <f>C13*C7*1000</f>
        <v>4440570.714666666</v>
      </c>
      <c r="D14" s="183">
        <f>D13*D7*1000</f>
        <v>3948023.3999999994</v>
      </c>
      <c r="E14" s="183">
        <f>E13*E7*1000</f>
        <v>5123735.4399999995</v>
      </c>
    </row>
    <row r="15" spans="2:5" ht="12.75">
      <c r="B15" s="184" t="s">
        <v>198</v>
      </c>
      <c r="C15" s="312">
        <f>C14-C12</f>
        <v>820737.7896666666</v>
      </c>
      <c r="D15" s="312">
        <f>D14-D12</f>
        <v>-46776.60000000056</v>
      </c>
      <c r="E15" s="312">
        <f>E14-E12</f>
        <v>769900.4399999995</v>
      </c>
    </row>
    <row r="16" spans="2:5" ht="12.75">
      <c r="B16" s="185"/>
      <c r="C16" s="186"/>
      <c r="D16" s="186"/>
      <c r="E16" s="186"/>
    </row>
    <row r="17" spans="2:5" ht="26.25" customHeight="1">
      <c r="B17" s="407" t="s">
        <v>206</v>
      </c>
      <c r="C17" s="408"/>
      <c r="D17" s="408"/>
      <c r="E17" s="409"/>
    </row>
    <row r="18" spans="2:5" ht="12.75">
      <c r="B18" s="405" t="s">
        <v>199</v>
      </c>
      <c r="C18" s="411" t="s">
        <v>225</v>
      </c>
      <c r="D18" s="412"/>
      <c r="E18" s="413"/>
    </row>
    <row r="19" spans="2:5" ht="12.75">
      <c r="B19" s="406"/>
      <c r="C19" s="227">
        <v>120</v>
      </c>
      <c r="D19" s="227">
        <v>150</v>
      </c>
      <c r="E19" s="227">
        <v>180</v>
      </c>
    </row>
    <row r="20" spans="2:5" ht="12.75">
      <c r="B20" s="187">
        <v>25000</v>
      </c>
      <c r="C20" s="261">
        <f aca="true" t="shared" si="0" ref="C20:E22">+$B20*C$19-$C$12</f>
        <v>-619832.9249999998</v>
      </c>
      <c r="D20" s="261">
        <f t="shared" si="0"/>
        <v>130167.07500000019</v>
      </c>
      <c r="E20" s="261">
        <f t="shared" si="0"/>
        <v>880167.0750000002</v>
      </c>
    </row>
    <row r="21" spans="2:5" ht="12.75">
      <c r="B21" s="187">
        <v>30000</v>
      </c>
      <c r="C21" s="261">
        <f t="shared" si="0"/>
        <v>-19832.924999999814</v>
      </c>
      <c r="D21" s="261">
        <f t="shared" si="0"/>
        <v>880167.0750000002</v>
      </c>
      <c r="E21" s="261">
        <f t="shared" si="0"/>
        <v>1780167.0750000002</v>
      </c>
    </row>
    <row r="22" spans="2:5" ht="12.75">
      <c r="B22" s="187">
        <v>35000</v>
      </c>
      <c r="C22" s="261">
        <f t="shared" si="0"/>
        <v>580167.0750000002</v>
      </c>
      <c r="D22" s="261">
        <f t="shared" si="0"/>
        <v>1630167.0750000002</v>
      </c>
      <c r="E22" s="261">
        <f t="shared" si="0"/>
        <v>2680167.075</v>
      </c>
    </row>
    <row r="23" spans="2:5" ht="12.75">
      <c r="B23" s="190"/>
      <c r="C23" s="262"/>
      <c r="D23" s="262"/>
      <c r="E23" s="262"/>
    </row>
    <row r="24" spans="2:5" ht="15" customHeight="1">
      <c r="B24" s="407" t="s">
        <v>212</v>
      </c>
      <c r="C24" s="408"/>
      <c r="D24" s="408"/>
      <c r="E24" s="409"/>
    </row>
    <row r="25" spans="2:5" ht="12.75">
      <c r="B25" s="225" t="s">
        <v>208</v>
      </c>
      <c r="C25" s="226">
        <f>+B20</f>
        <v>25000</v>
      </c>
      <c r="D25" s="226">
        <f>+B21</f>
        <v>30000</v>
      </c>
      <c r="E25" s="226">
        <f>+B22</f>
        <v>35000</v>
      </c>
    </row>
    <row r="26" spans="2:5" ht="12.75">
      <c r="B26" s="192" t="s">
        <v>211</v>
      </c>
      <c r="C26" s="191">
        <f>+$C12/C25</f>
        <v>144.793317</v>
      </c>
      <c r="D26" s="191">
        <f>+$C12/D25</f>
        <v>120.6610975</v>
      </c>
      <c r="E26" s="191">
        <f>+$C12/E25</f>
        <v>103.42379785714286</v>
      </c>
    </row>
    <row r="27" spans="2:5" ht="12.75">
      <c r="B27" s="188" t="s">
        <v>207</v>
      </c>
      <c r="C27" s="188"/>
      <c r="D27" s="188"/>
      <c r="E27" s="188"/>
    </row>
    <row r="28" spans="2:5" ht="12.75">
      <c r="B28" s="189" t="s">
        <v>200</v>
      </c>
      <c r="C28" s="189"/>
      <c r="D28" s="189"/>
      <c r="E28" s="189"/>
    </row>
    <row r="29" spans="2:5" ht="12.75">
      <c r="B29" s="414" t="s">
        <v>216</v>
      </c>
      <c r="C29" s="414"/>
      <c r="D29" s="414"/>
      <c r="E29" s="414"/>
    </row>
    <row r="30" spans="2:5" ht="26.25" customHeight="1">
      <c r="B30" s="415" t="s">
        <v>235</v>
      </c>
      <c r="C30" s="415"/>
      <c r="D30" s="415"/>
      <c r="E30" s="415"/>
    </row>
    <row r="31" spans="2:5" ht="12.75">
      <c r="B31" s="414" t="s">
        <v>278</v>
      </c>
      <c r="C31" s="414"/>
      <c r="D31" s="414"/>
      <c r="E31" s="414"/>
    </row>
    <row r="32" spans="2:5" ht="12.75">
      <c r="B32" s="414" t="s">
        <v>217</v>
      </c>
      <c r="C32" s="414"/>
      <c r="D32" s="414"/>
      <c r="E32" s="414"/>
    </row>
    <row r="33" spans="2:5" ht="12.75">
      <c r="B33" s="414" t="s">
        <v>201</v>
      </c>
      <c r="C33" s="414"/>
      <c r="D33" s="414"/>
      <c r="E33" s="414"/>
    </row>
    <row r="34" spans="2:5" ht="12.75">
      <c r="B34" s="414" t="s">
        <v>210</v>
      </c>
      <c r="C34" s="414"/>
      <c r="D34" s="414"/>
      <c r="E34" s="414"/>
    </row>
  </sheetData>
  <sheetProtection/>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7"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43"/>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3.00390625" style="35" customWidth="1"/>
    <col min="3" max="3" width="23.00390625" style="35" customWidth="1"/>
    <col min="4" max="4" width="9.8515625" style="35" bestFit="1" customWidth="1"/>
    <col min="5" max="7" width="10.421875" style="35" customWidth="1"/>
    <col min="8" max="9" width="11.28125" style="35" customWidth="1"/>
    <col min="10" max="10" width="11.00390625" style="35" customWidth="1"/>
    <col min="11" max="11" width="10.00390625" style="35" customWidth="1"/>
    <col min="12" max="12" width="2.140625" style="35" customWidth="1"/>
    <col min="13" max="13" width="10.8515625" style="143" customWidth="1"/>
    <col min="14" max="14" width="5.8515625" style="143" customWidth="1"/>
    <col min="15" max="16" width="9.8515625" style="334" hidden="1" customWidth="1"/>
    <col min="17" max="17" width="8.421875" style="334" hidden="1" customWidth="1"/>
    <col min="18" max="18" width="10.8515625" style="143" customWidth="1"/>
    <col min="19" max="16384" width="10.8515625" style="35" customWidth="1"/>
  </cols>
  <sheetData>
    <row r="2" spans="2:14" ht="12.75">
      <c r="B2" s="417" t="s">
        <v>202</v>
      </c>
      <c r="C2" s="417"/>
      <c r="D2" s="417"/>
      <c r="E2" s="417"/>
      <c r="F2" s="417"/>
      <c r="G2" s="417"/>
      <c r="H2" s="417"/>
      <c r="I2" s="417"/>
      <c r="J2" s="417"/>
      <c r="K2" s="417"/>
      <c r="L2" s="108"/>
      <c r="M2" s="318" t="s">
        <v>148</v>
      </c>
      <c r="N2" s="145"/>
    </row>
    <row r="3" spans="2:14" ht="12.75">
      <c r="B3" s="108"/>
      <c r="C3" s="108"/>
      <c r="D3" s="108"/>
      <c r="E3" s="108"/>
      <c r="F3" s="108"/>
      <c r="G3" s="108"/>
      <c r="H3" s="108"/>
      <c r="I3" s="108"/>
      <c r="J3" s="108"/>
      <c r="K3" s="108"/>
      <c r="L3" s="108"/>
      <c r="M3" s="145"/>
      <c r="N3" s="145"/>
    </row>
    <row r="4" spans="2:12" ht="12.75">
      <c r="B4" s="421" t="s">
        <v>69</v>
      </c>
      <c r="C4" s="423" t="s">
        <v>70</v>
      </c>
      <c r="D4" s="418" t="s">
        <v>71</v>
      </c>
      <c r="E4" s="419"/>
      <c r="F4" s="419"/>
      <c r="G4" s="420"/>
      <c r="H4" s="418" t="s">
        <v>72</v>
      </c>
      <c r="I4" s="419"/>
      <c r="J4" s="419"/>
      <c r="K4" s="420"/>
      <c r="L4" s="108"/>
    </row>
    <row r="5" spans="2:17" ht="31.5" customHeight="1">
      <c r="B5" s="422"/>
      <c r="C5" s="424"/>
      <c r="D5" s="203" t="s">
        <v>242</v>
      </c>
      <c r="E5" s="204" t="s">
        <v>280</v>
      </c>
      <c r="F5" s="204" t="s">
        <v>281</v>
      </c>
      <c r="G5" s="205" t="s">
        <v>258</v>
      </c>
      <c r="H5" s="203" t="str">
        <f>+D5</f>
        <v>2016</v>
      </c>
      <c r="I5" s="206" t="str">
        <f>+E5</f>
        <v>ene-oct 2016</v>
      </c>
      <c r="J5" s="206" t="str">
        <f>+F5</f>
        <v>ene-oct 2017</v>
      </c>
      <c r="K5" s="207" t="str">
        <f>+G5</f>
        <v>variación (%)</v>
      </c>
      <c r="L5" s="109"/>
      <c r="M5" s="162"/>
      <c r="N5" s="162"/>
      <c r="O5" s="342" t="s">
        <v>243</v>
      </c>
      <c r="P5" s="342" t="s">
        <v>244</v>
      </c>
      <c r="Q5" s="349" t="s">
        <v>245</v>
      </c>
    </row>
    <row r="6" spans="2:17" ht="12.75">
      <c r="B6" s="416" t="s">
        <v>89</v>
      </c>
      <c r="C6" s="308" t="s">
        <v>77</v>
      </c>
      <c r="D6" s="301">
        <v>528974.6</v>
      </c>
      <c r="E6" s="302">
        <v>458238.2</v>
      </c>
      <c r="F6" s="302">
        <v>800495.54</v>
      </c>
      <c r="G6" s="303">
        <v>74.68983162032323</v>
      </c>
      <c r="H6" s="302">
        <v>3238323.51</v>
      </c>
      <c r="I6" s="302">
        <v>2797878.9</v>
      </c>
      <c r="J6" s="302">
        <v>4671543.36</v>
      </c>
      <c r="K6" s="303">
        <v>66.96731799221189</v>
      </c>
      <c r="L6" s="110"/>
      <c r="O6" s="343">
        <f>+F6-E6</f>
        <v>342257.34</v>
      </c>
      <c r="P6" s="343">
        <f>+J6-I6</f>
        <v>1873664.4600000004</v>
      </c>
      <c r="Q6" s="346">
        <f>+IF(F6=0,0,J6/F6)</f>
        <v>5.83581435069582</v>
      </c>
    </row>
    <row r="7" spans="2:17" ht="12.75">
      <c r="B7" s="416"/>
      <c r="C7" s="308" t="s">
        <v>90</v>
      </c>
      <c r="D7" s="301">
        <v>95337.14</v>
      </c>
      <c r="E7" s="302">
        <v>87713.8</v>
      </c>
      <c r="F7" s="302">
        <v>68352.21</v>
      </c>
      <c r="G7" s="303">
        <v>-22.073596173008113</v>
      </c>
      <c r="H7" s="302">
        <v>348252.63</v>
      </c>
      <c r="I7" s="302">
        <v>322082.31</v>
      </c>
      <c r="J7" s="302">
        <v>277222.44</v>
      </c>
      <c r="K7" s="303">
        <v>-13.92807633551808</v>
      </c>
      <c r="L7" s="110"/>
      <c r="O7" s="343">
        <f aca="true" t="shared" si="0" ref="O7:O42">+F7-E7</f>
        <v>-19361.589999999997</v>
      </c>
      <c r="P7" s="343">
        <f aca="true" t="shared" si="1" ref="P7:P42">+J7-I7</f>
        <v>-44859.869999999995</v>
      </c>
      <c r="Q7" s="346">
        <f aca="true" t="shared" si="2" ref="Q7:Q42">+IF(F7=0,0,J7/F7)</f>
        <v>4.055793367910123</v>
      </c>
    </row>
    <row r="8" spans="2:17" ht="12.75">
      <c r="B8" s="416"/>
      <c r="C8" s="308" t="s">
        <v>88</v>
      </c>
      <c r="D8" s="301">
        <v>17916.32</v>
      </c>
      <c r="E8" s="302">
        <v>14328.8</v>
      </c>
      <c r="F8" s="302">
        <v>13058.52</v>
      </c>
      <c r="G8" s="303">
        <v>-8.865222488973245</v>
      </c>
      <c r="H8" s="302">
        <v>117060.66</v>
      </c>
      <c r="I8" s="302">
        <v>93062.58</v>
      </c>
      <c r="J8" s="302">
        <v>82806.5</v>
      </c>
      <c r="K8" s="303">
        <v>-11.020627195162657</v>
      </c>
      <c r="L8" s="110"/>
      <c r="O8" s="343">
        <f t="shared" si="0"/>
        <v>-1270.2799999999988</v>
      </c>
      <c r="P8" s="343">
        <f t="shared" si="1"/>
        <v>-10256.080000000002</v>
      </c>
      <c r="Q8" s="346">
        <f t="shared" si="2"/>
        <v>6.341185678009452</v>
      </c>
    </row>
    <row r="9" spans="2:17" ht="12.75">
      <c r="B9" s="416"/>
      <c r="C9" s="308" t="s">
        <v>75</v>
      </c>
      <c r="D9" s="301">
        <v>13053.04</v>
      </c>
      <c r="E9" s="302">
        <v>11028.64</v>
      </c>
      <c r="F9" s="302">
        <v>4720.24</v>
      </c>
      <c r="G9" s="303">
        <v>-57.200162486036355</v>
      </c>
      <c r="H9" s="302">
        <v>106789.83</v>
      </c>
      <c r="I9" s="302">
        <v>89389.23</v>
      </c>
      <c r="J9" s="302">
        <v>41938.5</v>
      </c>
      <c r="K9" s="303">
        <v>-53.08327412597692</v>
      </c>
      <c r="L9" s="110"/>
      <c r="O9" s="343">
        <f t="shared" si="0"/>
        <v>-6308.4</v>
      </c>
      <c r="P9" s="343">
        <f t="shared" si="1"/>
        <v>-47450.729999999996</v>
      </c>
      <c r="Q9" s="346">
        <f t="shared" si="2"/>
        <v>8.884823653034593</v>
      </c>
    </row>
    <row r="10" spans="2:17" ht="12.75">
      <c r="B10" s="416"/>
      <c r="C10" s="308" t="s">
        <v>125</v>
      </c>
      <c r="D10" s="301">
        <v>12506.88</v>
      </c>
      <c r="E10" s="302">
        <v>5644.88</v>
      </c>
      <c r="F10" s="302">
        <v>3928</v>
      </c>
      <c r="G10" s="303">
        <v>-30.414818384093202</v>
      </c>
      <c r="H10" s="302">
        <v>30755.9</v>
      </c>
      <c r="I10" s="302">
        <v>16491.4</v>
      </c>
      <c r="J10" s="302">
        <v>14588.48</v>
      </c>
      <c r="K10" s="303">
        <v>-11.538862679942286</v>
      </c>
      <c r="L10" s="110"/>
      <c r="O10" s="343">
        <f t="shared" si="0"/>
        <v>-1716.88</v>
      </c>
      <c r="P10" s="343">
        <f t="shared" si="1"/>
        <v>-1902.920000000002</v>
      </c>
      <c r="Q10" s="346">
        <f t="shared" si="2"/>
        <v>3.713971486761711</v>
      </c>
    </row>
    <row r="11" spans="2:17" ht="12.75">
      <c r="B11" s="416"/>
      <c r="C11" s="308" t="s">
        <v>119</v>
      </c>
      <c r="D11" s="301">
        <v>205.6</v>
      </c>
      <c r="E11" s="302">
        <v>205.6</v>
      </c>
      <c r="F11" s="302">
        <v>0</v>
      </c>
      <c r="G11" s="303">
        <v>-100</v>
      </c>
      <c r="H11" s="302">
        <v>2159.7</v>
      </c>
      <c r="I11" s="302">
        <v>2159.7</v>
      </c>
      <c r="J11" s="302">
        <v>0</v>
      </c>
      <c r="K11" s="303">
        <v>-100</v>
      </c>
      <c r="L11" s="110"/>
      <c r="O11" s="343">
        <f t="shared" si="0"/>
        <v>-205.6</v>
      </c>
      <c r="P11" s="343">
        <f t="shared" si="1"/>
        <v>-2159.7</v>
      </c>
      <c r="Q11" s="346">
        <f t="shared" si="2"/>
        <v>0</v>
      </c>
    </row>
    <row r="12" spans="2:17" ht="12.75">
      <c r="B12" s="416"/>
      <c r="C12" s="308" t="s">
        <v>85</v>
      </c>
      <c r="D12" s="301">
        <v>121.52</v>
      </c>
      <c r="E12" s="302">
        <v>121.52</v>
      </c>
      <c r="F12" s="302">
        <v>0</v>
      </c>
      <c r="G12" s="303">
        <v>-100</v>
      </c>
      <c r="H12" s="302">
        <v>851.16</v>
      </c>
      <c r="I12" s="302">
        <v>851.16</v>
      </c>
      <c r="J12" s="302">
        <v>0</v>
      </c>
      <c r="K12" s="303">
        <v>-100</v>
      </c>
      <c r="L12" s="110"/>
      <c r="O12" s="343">
        <f t="shared" si="0"/>
        <v>-121.52</v>
      </c>
      <c r="P12" s="343">
        <f t="shared" si="1"/>
        <v>-851.16</v>
      </c>
      <c r="Q12" s="346">
        <f t="shared" si="2"/>
        <v>0</v>
      </c>
    </row>
    <row r="13" spans="2:17" ht="12.75">
      <c r="B13" s="416"/>
      <c r="C13" s="308" t="s">
        <v>74</v>
      </c>
      <c r="D13" s="301">
        <v>137.3</v>
      </c>
      <c r="E13" s="302">
        <v>137.3</v>
      </c>
      <c r="F13" s="302">
        <v>0</v>
      </c>
      <c r="G13" s="303">
        <v>-100</v>
      </c>
      <c r="H13" s="302">
        <v>846.56</v>
      </c>
      <c r="I13" s="302">
        <v>846.56</v>
      </c>
      <c r="J13" s="302">
        <v>0</v>
      </c>
      <c r="K13" s="303">
        <v>-100</v>
      </c>
      <c r="L13" s="110"/>
      <c r="O13" s="343">
        <f t="shared" si="0"/>
        <v>-137.3</v>
      </c>
      <c r="P13" s="343">
        <f t="shared" si="1"/>
        <v>-846.56</v>
      </c>
      <c r="Q13" s="346">
        <f t="shared" si="2"/>
        <v>0</v>
      </c>
    </row>
    <row r="14" spans="2:17" ht="12.75">
      <c r="B14" s="416"/>
      <c r="C14" s="308" t="s">
        <v>78</v>
      </c>
      <c r="D14" s="301">
        <v>600</v>
      </c>
      <c r="E14" s="302">
        <v>600</v>
      </c>
      <c r="F14" s="302">
        <v>138</v>
      </c>
      <c r="G14" s="303">
        <v>-77</v>
      </c>
      <c r="H14" s="302">
        <v>700</v>
      </c>
      <c r="I14" s="302">
        <v>700</v>
      </c>
      <c r="J14" s="302">
        <v>184</v>
      </c>
      <c r="K14" s="303">
        <v>-73.71428571428571</v>
      </c>
      <c r="L14" s="111"/>
      <c r="O14" s="343">
        <f t="shared" si="0"/>
        <v>-462</v>
      </c>
      <c r="P14" s="343">
        <f t="shared" si="1"/>
        <v>-516</v>
      </c>
      <c r="Q14" s="346">
        <f t="shared" si="2"/>
        <v>1.3333333333333333</v>
      </c>
    </row>
    <row r="15" spans="2:17" ht="12.75">
      <c r="B15" s="416"/>
      <c r="C15" s="308" t="s">
        <v>177</v>
      </c>
      <c r="D15" s="301">
        <v>98</v>
      </c>
      <c r="E15" s="302">
        <v>98</v>
      </c>
      <c r="F15" s="302">
        <v>0</v>
      </c>
      <c r="G15" s="303">
        <v>-100</v>
      </c>
      <c r="H15" s="302">
        <v>687</v>
      </c>
      <c r="I15" s="302">
        <v>687</v>
      </c>
      <c r="J15" s="302">
        <v>0</v>
      </c>
      <c r="K15" s="303">
        <v>-100</v>
      </c>
      <c r="L15" s="110"/>
      <c r="O15" s="343">
        <f t="shared" si="0"/>
        <v>-98</v>
      </c>
      <c r="P15" s="343">
        <f t="shared" si="1"/>
        <v>-687</v>
      </c>
      <c r="Q15" s="346">
        <f t="shared" si="2"/>
        <v>0</v>
      </c>
    </row>
    <row r="16" spans="2:17" ht="12.75">
      <c r="B16" s="416"/>
      <c r="C16" s="308" t="s">
        <v>82</v>
      </c>
      <c r="D16" s="301">
        <v>373.5</v>
      </c>
      <c r="E16" s="302">
        <v>373.5</v>
      </c>
      <c r="F16" s="302">
        <v>0</v>
      </c>
      <c r="G16" s="303">
        <v>-100</v>
      </c>
      <c r="H16" s="302">
        <v>536.5</v>
      </c>
      <c r="I16" s="302">
        <v>536.5</v>
      </c>
      <c r="J16" s="302">
        <v>0</v>
      </c>
      <c r="K16" s="303">
        <v>-100</v>
      </c>
      <c r="L16" s="110"/>
      <c r="O16" s="343">
        <f t="shared" si="0"/>
        <v>-373.5</v>
      </c>
      <c r="P16" s="343">
        <f t="shared" si="1"/>
        <v>-536.5</v>
      </c>
      <c r="Q16" s="346">
        <f t="shared" si="2"/>
        <v>0</v>
      </c>
    </row>
    <row r="17" spans="2:18" s="212" customFormat="1" ht="12.75">
      <c r="B17" s="416"/>
      <c r="C17" s="308" t="s">
        <v>173</v>
      </c>
      <c r="D17" s="301">
        <v>50</v>
      </c>
      <c r="E17" s="302">
        <v>0</v>
      </c>
      <c r="F17" s="302">
        <v>0</v>
      </c>
      <c r="G17" s="303" t="s">
        <v>144</v>
      </c>
      <c r="H17" s="302">
        <v>242</v>
      </c>
      <c r="I17" s="302">
        <v>0</v>
      </c>
      <c r="J17" s="302">
        <v>0</v>
      </c>
      <c r="K17" s="303" t="s">
        <v>144</v>
      </c>
      <c r="L17" s="220"/>
      <c r="M17" s="143"/>
      <c r="N17" s="143"/>
      <c r="O17" s="343">
        <f t="shared" si="0"/>
        <v>0</v>
      </c>
      <c r="P17" s="343">
        <f t="shared" si="1"/>
        <v>0</v>
      </c>
      <c r="Q17" s="346">
        <f t="shared" si="2"/>
        <v>0</v>
      </c>
      <c r="R17" s="143"/>
    </row>
    <row r="18" spans="2:18" s="212" customFormat="1" ht="12.75">
      <c r="B18" s="416"/>
      <c r="C18" s="308" t="s">
        <v>234</v>
      </c>
      <c r="D18" s="301">
        <v>12.6</v>
      </c>
      <c r="E18" s="302">
        <v>12.6</v>
      </c>
      <c r="F18" s="302">
        <v>0</v>
      </c>
      <c r="G18" s="303">
        <v>-100</v>
      </c>
      <c r="H18" s="302">
        <v>35.35</v>
      </c>
      <c r="I18" s="302">
        <v>35.35</v>
      </c>
      <c r="J18" s="302">
        <v>0</v>
      </c>
      <c r="K18" s="303">
        <v>-100</v>
      </c>
      <c r="L18" s="220"/>
      <c r="M18" s="143"/>
      <c r="N18" s="143"/>
      <c r="O18" s="343">
        <f t="shared" si="0"/>
        <v>-12.6</v>
      </c>
      <c r="P18" s="343">
        <f t="shared" si="1"/>
        <v>-35.35</v>
      </c>
      <c r="Q18" s="346">
        <f t="shared" si="2"/>
        <v>0</v>
      </c>
      <c r="R18" s="143"/>
    </row>
    <row r="19" spans="2:18" s="212" customFormat="1" ht="12.75">
      <c r="B19" s="416"/>
      <c r="C19" s="308" t="s">
        <v>79</v>
      </c>
      <c r="D19" s="301">
        <v>0</v>
      </c>
      <c r="E19" s="302">
        <v>0</v>
      </c>
      <c r="F19" s="302">
        <v>10693.76</v>
      </c>
      <c r="G19" s="303" t="s">
        <v>144</v>
      </c>
      <c r="H19" s="302">
        <v>0</v>
      </c>
      <c r="I19" s="302">
        <v>0</v>
      </c>
      <c r="J19" s="302">
        <v>69276</v>
      </c>
      <c r="K19" s="303" t="s">
        <v>144</v>
      </c>
      <c r="L19" s="220"/>
      <c r="M19" s="143"/>
      <c r="N19" s="143"/>
      <c r="O19" s="343">
        <f t="shared" si="0"/>
        <v>10693.76</v>
      </c>
      <c r="P19" s="343">
        <f t="shared" si="1"/>
        <v>69276</v>
      </c>
      <c r="Q19" s="346">
        <f t="shared" si="2"/>
        <v>6.478170447064456</v>
      </c>
      <c r="R19" s="143"/>
    </row>
    <row r="20" spans="2:17" ht="12.75">
      <c r="B20" s="221" t="s">
        <v>112</v>
      </c>
      <c r="C20" s="222"/>
      <c r="D20" s="59">
        <v>669386.5</v>
      </c>
      <c r="E20" s="60">
        <v>578502.84</v>
      </c>
      <c r="F20" s="60">
        <v>901386.27</v>
      </c>
      <c r="G20" s="61">
        <v>55.8136291949751</v>
      </c>
      <c r="H20" s="60">
        <v>3847240.8000000003</v>
      </c>
      <c r="I20" s="60">
        <v>3324720.6900000004</v>
      </c>
      <c r="J20" s="60">
        <v>5157559.280000001</v>
      </c>
      <c r="K20" s="61">
        <v>55.12759599664297</v>
      </c>
      <c r="L20" s="111"/>
      <c r="O20" s="343">
        <f t="shared" si="0"/>
        <v>322883.43000000005</v>
      </c>
      <c r="P20" s="343">
        <f t="shared" si="1"/>
        <v>1832838.5900000008</v>
      </c>
      <c r="Q20" s="346">
        <f t="shared" si="2"/>
        <v>5.72180812117318</v>
      </c>
    </row>
    <row r="21" spans="2:17" ht="12.75">
      <c r="B21" s="425" t="s">
        <v>130</v>
      </c>
      <c r="C21" s="308" t="s">
        <v>74</v>
      </c>
      <c r="D21" s="301">
        <v>1150000</v>
      </c>
      <c r="E21" s="302">
        <v>1150000</v>
      </c>
      <c r="F21" s="302">
        <v>475000</v>
      </c>
      <c r="G21" s="303">
        <v>-58.69565217391304</v>
      </c>
      <c r="H21" s="302">
        <v>1211900</v>
      </c>
      <c r="I21" s="302">
        <v>1211900</v>
      </c>
      <c r="J21" s="302">
        <v>423150.5</v>
      </c>
      <c r="K21" s="303">
        <v>-65.08371152735376</v>
      </c>
      <c r="L21" s="110"/>
      <c r="O21" s="343">
        <f t="shared" si="0"/>
        <v>-675000</v>
      </c>
      <c r="P21" s="343">
        <f t="shared" si="1"/>
        <v>-788749.5</v>
      </c>
      <c r="Q21" s="346">
        <f t="shared" si="2"/>
        <v>0.8908431578947369</v>
      </c>
    </row>
    <row r="22" spans="2:17" ht="12.75">
      <c r="B22" s="425"/>
      <c r="C22" s="308" t="s">
        <v>80</v>
      </c>
      <c r="D22" s="42">
        <v>240000</v>
      </c>
      <c r="E22" s="43">
        <v>240000</v>
      </c>
      <c r="F22" s="43">
        <v>240000</v>
      </c>
      <c r="G22" s="44">
        <v>0</v>
      </c>
      <c r="H22" s="43">
        <v>268800</v>
      </c>
      <c r="I22" s="43">
        <v>268800</v>
      </c>
      <c r="J22" s="43">
        <v>261600</v>
      </c>
      <c r="K22" s="44">
        <v>-2.67857142857143</v>
      </c>
      <c r="L22" s="110"/>
      <c r="O22" s="343">
        <f t="shared" si="0"/>
        <v>0</v>
      </c>
      <c r="P22" s="343">
        <f t="shared" si="1"/>
        <v>-7200</v>
      </c>
      <c r="Q22" s="346">
        <f t="shared" si="2"/>
        <v>1.09</v>
      </c>
    </row>
    <row r="23" spans="2:17" ht="12.75">
      <c r="B23" s="221" t="s">
        <v>131</v>
      </c>
      <c r="C23" s="222"/>
      <c r="D23" s="59">
        <v>1390000</v>
      </c>
      <c r="E23" s="60">
        <v>1390000</v>
      </c>
      <c r="F23" s="60">
        <v>715000</v>
      </c>
      <c r="G23" s="61">
        <v>-48.561151079136685</v>
      </c>
      <c r="H23" s="60">
        <v>1480700</v>
      </c>
      <c r="I23" s="60">
        <v>1480700</v>
      </c>
      <c r="J23" s="60">
        <v>684750.5</v>
      </c>
      <c r="K23" s="61">
        <v>-53.754946984534335</v>
      </c>
      <c r="L23" s="110"/>
      <c r="O23" s="343">
        <f t="shared" si="0"/>
        <v>-675000</v>
      </c>
      <c r="P23" s="343">
        <f t="shared" si="1"/>
        <v>-795949.5</v>
      </c>
      <c r="Q23" s="346">
        <f t="shared" si="2"/>
        <v>0.957693006993007</v>
      </c>
    </row>
    <row r="24" spans="2:17" ht="12.75">
      <c r="B24" s="428" t="s">
        <v>84</v>
      </c>
      <c r="C24" s="308" t="s">
        <v>74</v>
      </c>
      <c r="D24" s="301">
        <v>2219600</v>
      </c>
      <c r="E24" s="302">
        <v>2219600</v>
      </c>
      <c r="F24" s="302">
        <v>1280500</v>
      </c>
      <c r="G24" s="303">
        <v>-42.30942512164354</v>
      </c>
      <c r="H24" s="302">
        <v>961517</v>
      </c>
      <c r="I24" s="302">
        <v>961517</v>
      </c>
      <c r="J24" s="302">
        <v>308865.2</v>
      </c>
      <c r="K24" s="303">
        <v>-67.87730222138558</v>
      </c>
      <c r="L24" s="110"/>
      <c r="O24" s="343">
        <f t="shared" si="0"/>
        <v>-939100</v>
      </c>
      <c r="P24" s="343">
        <f t="shared" si="1"/>
        <v>-652651.8</v>
      </c>
      <c r="Q24" s="346">
        <f t="shared" si="2"/>
        <v>0.2412067161265131</v>
      </c>
    </row>
    <row r="25" spans="2:17" ht="12.75">
      <c r="B25" s="425"/>
      <c r="C25" s="308" t="s">
        <v>77</v>
      </c>
      <c r="D25" s="301">
        <v>252000</v>
      </c>
      <c r="E25" s="302">
        <v>252000</v>
      </c>
      <c r="F25" s="302">
        <v>6367835</v>
      </c>
      <c r="G25" s="303">
        <v>2426.9186507936506</v>
      </c>
      <c r="H25" s="302">
        <v>72100</v>
      </c>
      <c r="I25" s="302">
        <v>72100</v>
      </c>
      <c r="J25" s="302">
        <v>1338450.8</v>
      </c>
      <c r="K25" s="303">
        <v>1756.3811373092929</v>
      </c>
      <c r="L25" s="110"/>
      <c r="O25" s="343">
        <f t="shared" si="0"/>
        <v>6115835</v>
      </c>
      <c r="P25" s="343">
        <f t="shared" si="1"/>
        <v>1266350.8</v>
      </c>
      <c r="Q25" s="346">
        <f t="shared" si="2"/>
        <v>0.21018930295775567</v>
      </c>
    </row>
    <row r="26" spans="2:17" ht="12.75">
      <c r="B26" s="425"/>
      <c r="C26" s="308" t="s">
        <v>119</v>
      </c>
      <c r="D26" s="42">
        <v>300</v>
      </c>
      <c r="E26" s="43">
        <v>300</v>
      </c>
      <c r="F26" s="43">
        <v>0</v>
      </c>
      <c r="G26" s="44">
        <v>-100</v>
      </c>
      <c r="H26" s="43">
        <v>297</v>
      </c>
      <c r="I26" s="43">
        <v>297</v>
      </c>
      <c r="J26" s="43">
        <v>0</v>
      </c>
      <c r="K26" s="44">
        <v>-100</v>
      </c>
      <c r="L26" s="111"/>
      <c r="O26" s="343">
        <f t="shared" si="0"/>
        <v>-300</v>
      </c>
      <c r="P26" s="343">
        <f t="shared" si="1"/>
        <v>-297</v>
      </c>
      <c r="Q26" s="346">
        <f t="shared" si="2"/>
        <v>0</v>
      </c>
    </row>
    <row r="27" spans="2:17" ht="12.75">
      <c r="B27" s="221" t="s">
        <v>116</v>
      </c>
      <c r="C27" s="222"/>
      <c r="D27" s="59">
        <v>2471900</v>
      </c>
      <c r="E27" s="60">
        <v>2471900</v>
      </c>
      <c r="F27" s="60">
        <v>7648335</v>
      </c>
      <c r="G27" s="61">
        <v>209.41118168210687</v>
      </c>
      <c r="H27" s="60">
        <v>1033914</v>
      </c>
      <c r="I27" s="60">
        <v>1033914</v>
      </c>
      <c r="J27" s="60">
        <v>1647316</v>
      </c>
      <c r="K27" s="61">
        <v>59.328145280942124</v>
      </c>
      <c r="L27" s="110"/>
      <c r="O27" s="343">
        <f t="shared" si="0"/>
        <v>5176435</v>
      </c>
      <c r="P27" s="343">
        <f t="shared" si="1"/>
        <v>613402</v>
      </c>
      <c r="Q27" s="346">
        <f t="shared" si="2"/>
        <v>0.21538230216118934</v>
      </c>
    </row>
    <row r="28" spans="2:17" ht="12.75">
      <c r="B28" s="428" t="s">
        <v>73</v>
      </c>
      <c r="C28" s="308" t="s">
        <v>78</v>
      </c>
      <c r="D28" s="301">
        <v>24487.5</v>
      </c>
      <c r="E28" s="302">
        <v>18380</v>
      </c>
      <c r="F28" s="302">
        <v>18900</v>
      </c>
      <c r="G28" s="303">
        <v>2.8291621327529937</v>
      </c>
      <c r="H28" s="302">
        <v>52725.84</v>
      </c>
      <c r="I28" s="302">
        <v>38800</v>
      </c>
      <c r="J28" s="302">
        <v>41527</v>
      </c>
      <c r="K28" s="303">
        <v>7.02835051546391</v>
      </c>
      <c r="L28" s="110"/>
      <c r="O28" s="343">
        <f t="shared" si="0"/>
        <v>520</v>
      </c>
      <c r="P28" s="343">
        <f t="shared" si="1"/>
        <v>2727</v>
      </c>
      <c r="Q28" s="346">
        <f t="shared" si="2"/>
        <v>2.197195767195767</v>
      </c>
    </row>
    <row r="29" spans="2:17" ht="12.75">
      <c r="B29" s="425"/>
      <c r="C29" s="308" t="s">
        <v>76</v>
      </c>
      <c r="D29" s="301">
        <v>600</v>
      </c>
      <c r="E29" s="302">
        <v>600</v>
      </c>
      <c r="F29" s="302">
        <v>300</v>
      </c>
      <c r="G29" s="303">
        <v>-50</v>
      </c>
      <c r="H29" s="302">
        <v>4819.46</v>
      </c>
      <c r="I29" s="302">
        <v>4819.46</v>
      </c>
      <c r="J29" s="302">
        <v>2488.76</v>
      </c>
      <c r="K29" s="303">
        <v>-48.36018973079971</v>
      </c>
      <c r="L29" s="110"/>
      <c r="O29" s="343">
        <f t="shared" si="0"/>
        <v>-300</v>
      </c>
      <c r="P29" s="343">
        <f t="shared" si="1"/>
        <v>-2330.7</v>
      </c>
      <c r="Q29" s="346">
        <f t="shared" si="2"/>
        <v>8.295866666666667</v>
      </c>
    </row>
    <row r="30" spans="2:17" ht="12.75">
      <c r="B30" s="425"/>
      <c r="C30" s="308" t="s">
        <v>82</v>
      </c>
      <c r="D30" s="301">
        <v>140</v>
      </c>
      <c r="E30" s="302">
        <v>90.5</v>
      </c>
      <c r="F30" s="302">
        <v>31.65</v>
      </c>
      <c r="G30" s="303">
        <v>-65.02762430939227</v>
      </c>
      <c r="H30" s="302">
        <v>417.21</v>
      </c>
      <c r="I30" s="302">
        <v>278.14</v>
      </c>
      <c r="J30" s="302">
        <v>71.36</v>
      </c>
      <c r="K30" s="303">
        <v>-74.34385561228159</v>
      </c>
      <c r="L30" s="110"/>
      <c r="O30" s="343">
        <f t="shared" si="0"/>
        <v>-58.85</v>
      </c>
      <c r="P30" s="343">
        <f t="shared" si="1"/>
        <v>-206.77999999999997</v>
      </c>
      <c r="Q30" s="346">
        <f t="shared" si="2"/>
        <v>2.2546603475513427</v>
      </c>
    </row>
    <row r="31" spans="2:17" ht="12.75">
      <c r="B31" s="425"/>
      <c r="C31" s="308" t="s">
        <v>75</v>
      </c>
      <c r="D31" s="301">
        <v>255</v>
      </c>
      <c r="E31" s="302">
        <v>195</v>
      </c>
      <c r="F31" s="302">
        <v>0</v>
      </c>
      <c r="G31" s="303">
        <v>-100</v>
      </c>
      <c r="H31" s="302">
        <v>355</v>
      </c>
      <c r="I31" s="302">
        <v>300</v>
      </c>
      <c r="J31" s="302">
        <v>0</v>
      </c>
      <c r="K31" s="303">
        <v>-100</v>
      </c>
      <c r="L31" s="111"/>
      <c r="O31" s="343">
        <f t="shared" si="0"/>
        <v>-195</v>
      </c>
      <c r="P31" s="343">
        <f t="shared" si="1"/>
        <v>-300</v>
      </c>
      <c r="Q31" s="346">
        <f t="shared" si="2"/>
        <v>0</v>
      </c>
    </row>
    <row r="32" spans="2:18" s="212" customFormat="1" ht="12.75">
      <c r="B32" s="429"/>
      <c r="C32" s="308" t="s">
        <v>125</v>
      </c>
      <c r="D32" s="301">
        <v>0</v>
      </c>
      <c r="E32" s="302">
        <v>0</v>
      </c>
      <c r="F32" s="302">
        <v>63.26</v>
      </c>
      <c r="G32" s="303" t="s">
        <v>144</v>
      </c>
      <c r="H32" s="302">
        <v>0</v>
      </c>
      <c r="I32" s="302">
        <v>0</v>
      </c>
      <c r="J32" s="302">
        <v>137.54</v>
      </c>
      <c r="K32" s="303" t="s">
        <v>144</v>
      </c>
      <c r="L32" s="111"/>
      <c r="M32" s="143"/>
      <c r="N32" s="143"/>
      <c r="O32" s="343">
        <f t="shared" si="0"/>
        <v>63.26</v>
      </c>
      <c r="P32" s="343">
        <f t="shared" si="1"/>
        <v>137.54</v>
      </c>
      <c r="Q32" s="346">
        <f t="shared" si="2"/>
        <v>2.174201707239962</v>
      </c>
      <c r="R32" s="143"/>
    </row>
    <row r="33" spans="2:17" ht="12.75">
      <c r="B33" s="221" t="s">
        <v>113</v>
      </c>
      <c r="C33" s="222"/>
      <c r="D33" s="59">
        <v>25482.5</v>
      </c>
      <c r="E33" s="60">
        <v>19265.5</v>
      </c>
      <c r="F33" s="60">
        <v>19294.91</v>
      </c>
      <c r="G33" s="61">
        <v>0.15265630271730224</v>
      </c>
      <c r="H33" s="60">
        <v>58317.509999999995</v>
      </c>
      <c r="I33" s="60">
        <v>44197.6</v>
      </c>
      <c r="J33" s="60">
        <v>44224.66</v>
      </c>
      <c r="K33" s="61">
        <v>0.06122504389378669</v>
      </c>
      <c r="L33" s="110"/>
      <c r="O33" s="343">
        <f t="shared" si="0"/>
        <v>29.409999999999854</v>
      </c>
      <c r="P33" s="343">
        <f t="shared" si="1"/>
        <v>27.060000000004948</v>
      </c>
      <c r="Q33" s="346">
        <f t="shared" si="2"/>
        <v>2.2920376410151695</v>
      </c>
    </row>
    <row r="34" spans="2:17" ht="12.75">
      <c r="B34" s="428" t="s">
        <v>86</v>
      </c>
      <c r="C34" s="308" t="s">
        <v>94</v>
      </c>
      <c r="D34" s="301">
        <v>44750</v>
      </c>
      <c r="E34" s="302">
        <v>44750</v>
      </c>
      <c r="F34" s="302">
        <v>0</v>
      </c>
      <c r="G34" s="303">
        <v>-100</v>
      </c>
      <c r="H34" s="302">
        <v>41617.5</v>
      </c>
      <c r="I34" s="302">
        <v>41617.5</v>
      </c>
      <c r="J34" s="302">
        <v>0</v>
      </c>
      <c r="K34" s="303">
        <v>-100</v>
      </c>
      <c r="O34" s="343">
        <f t="shared" si="0"/>
        <v>-44750</v>
      </c>
      <c r="P34" s="343">
        <f t="shared" si="1"/>
        <v>-41617.5</v>
      </c>
      <c r="Q34" s="346">
        <f t="shared" si="2"/>
        <v>0</v>
      </c>
    </row>
    <row r="35" spans="2:17" ht="12.75">
      <c r="B35" s="425"/>
      <c r="C35" s="308" t="s">
        <v>75</v>
      </c>
      <c r="D35" s="301">
        <v>3330</v>
      </c>
      <c r="E35" s="302">
        <v>3330</v>
      </c>
      <c r="F35" s="302">
        <v>0</v>
      </c>
      <c r="G35" s="303">
        <v>-100</v>
      </c>
      <c r="H35" s="302">
        <v>5843.75</v>
      </c>
      <c r="I35" s="302">
        <v>5843.75</v>
      </c>
      <c r="J35" s="302">
        <v>0</v>
      </c>
      <c r="K35" s="303">
        <v>-100</v>
      </c>
      <c r="O35" s="343">
        <f t="shared" si="0"/>
        <v>-3330</v>
      </c>
      <c r="P35" s="343">
        <f t="shared" si="1"/>
        <v>-5843.75</v>
      </c>
      <c r="Q35" s="346">
        <f t="shared" si="2"/>
        <v>0</v>
      </c>
    </row>
    <row r="36" spans="2:17" ht="12.75">
      <c r="B36" s="425"/>
      <c r="C36" s="308" t="s">
        <v>119</v>
      </c>
      <c r="D36" s="301">
        <v>107.82</v>
      </c>
      <c r="E36" s="302">
        <v>107.82</v>
      </c>
      <c r="F36" s="302">
        <v>0</v>
      </c>
      <c r="G36" s="303">
        <v>-100</v>
      </c>
      <c r="H36" s="302">
        <v>1402.68</v>
      </c>
      <c r="I36" s="302">
        <v>1402.68</v>
      </c>
      <c r="J36" s="302">
        <v>0</v>
      </c>
      <c r="K36" s="303">
        <v>-100</v>
      </c>
      <c r="M36" s="144"/>
      <c r="N36" s="144"/>
      <c r="O36" s="343">
        <f t="shared" si="0"/>
        <v>-107.82</v>
      </c>
      <c r="P36" s="343">
        <f t="shared" si="1"/>
        <v>-1402.68</v>
      </c>
      <c r="Q36" s="346">
        <f t="shared" si="2"/>
        <v>0</v>
      </c>
    </row>
    <row r="37" spans="2:17" ht="12.75">
      <c r="B37" s="425"/>
      <c r="C37" s="308" t="s">
        <v>78</v>
      </c>
      <c r="D37" s="301">
        <v>870</v>
      </c>
      <c r="E37" s="302">
        <v>300</v>
      </c>
      <c r="F37" s="302">
        <v>0</v>
      </c>
      <c r="G37" s="303">
        <v>-100</v>
      </c>
      <c r="H37" s="302">
        <v>770</v>
      </c>
      <c r="I37" s="302">
        <v>200</v>
      </c>
      <c r="J37" s="302">
        <v>0</v>
      </c>
      <c r="K37" s="303">
        <v>-100</v>
      </c>
      <c r="M37" s="144"/>
      <c r="N37" s="144"/>
      <c r="O37" s="343">
        <f t="shared" si="0"/>
        <v>-300</v>
      </c>
      <c r="P37" s="343">
        <f t="shared" si="1"/>
        <v>-200</v>
      </c>
      <c r="Q37" s="346">
        <f t="shared" si="2"/>
        <v>0</v>
      </c>
    </row>
    <row r="38" spans="2:17" ht="12.75">
      <c r="B38" s="425"/>
      <c r="C38" s="308" t="s">
        <v>87</v>
      </c>
      <c r="D38" s="42">
        <v>290</v>
      </c>
      <c r="E38" s="43">
        <v>90</v>
      </c>
      <c r="F38" s="43">
        <v>0</v>
      </c>
      <c r="G38" s="44">
        <v>-100</v>
      </c>
      <c r="H38" s="43">
        <v>524.38</v>
      </c>
      <c r="I38" s="43">
        <v>160.38</v>
      </c>
      <c r="J38" s="43">
        <v>0</v>
      </c>
      <c r="K38" s="44">
        <v>-100</v>
      </c>
      <c r="M38" s="144"/>
      <c r="N38" s="144"/>
      <c r="O38" s="343">
        <f t="shared" si="0"/>
        <v>-90</v>
      </c>
      <c r="P38" s="343">
        <f t="shared" si="1"/>
        <v>-160.38</v>
      </c>
      <c r="Q38" s="346">
        <f t="shared" si="2"/>
        <v>0</v>
      </c>
    </row>
    <row r="39" spans="2:17" ht="12.75">
      <c r="B39" s="123" t="s">
        <v>111</v>
      </c>
      <c r="C39" s="124"/>
      <c r="D39" s="62">
        <v>49347.82</v>
      </c>
      <c r="E39" s="63">
        <v>48577.82</v>
      </c>
      <c r="F39" s="63">
        <v>0</v>
      </c>
      <c r="G39" s="64">
        <v>-100</v>
      </c>
      <c r="H39" s="63">
        <v>50158.31</v>
      </c>
      <c r="I39" s="63">
        <v>49224.31</v>
      </c>
      <c r="J39" s="63">
        <v>0</v>
      </c>
      <c r="K39" s="64">
        <v>-100</v>
      </c>
      <c r="O39" s="343">
        <f t="shared" si="0"/>
        <v>-48577.82</v>
      </c>
      <c r="P39" s="343">
        <f t="shared" si="1"/>
        <v>-49224.31</v>
      </c>
      <c r="Q39" s="346">
        <f t="shared" si="2"/>
        <v>0</v>
      </c>
    </row>
    <row r="40" spans="2:18" s="212" customFormat="1" ht="25.5">
      <c r="B40" s="224" t="s">
        <v>81</v>
      </c>
      <c r="C40" s="329" t="s">
        <v>82</v>
      </c>
      <c r="D40" s="330">
        <v>10.42</v>
      </c>
      <c r="E40" s="331">
        <v>10.42</v>
      </c>
      <c r="F40" s="331">
        <v>0</v>
      </c>
      <c r="G40" s="332">
        <v>-100</v>
      </c>
      <c r="H40" s="331">
        <v>31.85</v>
      </c>
      <c r="I40" s="331">
        <v>31.85</v>
      </c>
      <c r="J40" s="331">
        <v>0</v>
      </c>
      <c r="K40" s="332">
        <v>-100</v>
      </c>
      <c r="M40" s="143"/>
      <c r="N40" s="143"/>
      <c r="O40" s="343">
        <f t="shared" si="0"/>
        <v>-10.42</v>
      </c>
      <c r="P40" s="343">
        <f t="shared" si="1"/>
        <v>-31.85</v>
      </c>
      <c r="Q40" s="346">
        <f t="shared" si="2"/>
        <v>0</v>
      </c>
      <c r="R40" s="143"/>
    </row>
    <row r="41" spans="2:18" s="212" customFormat="1" ht="12.75">
      <c r="B41" s="221" t="s">
        <v>114</v>
      </c>
      <c r="C41" s="222"/>
      <c r="D41" s="217">
        <v>10.42</v>
      </c>
      <c r="E41" s="218">
        <v>10.42</v>
      </c>
      <c r="F41" s="218">
        <v>0</v>
      </c>
      <c r="G41" s="213">
        <v>-100</v>
      </c>
      <c r="H41" s="218">
        <v>31.85</v>
      </c>
      <c r="I41" s="218">
        <v>31.85</v>
      </c>
      <c r="J41" s="218">
        <v>0</v>
      </c>
      <c r="K41" s="213">
        <v>-100</v>
      </c>
      <c r="M41" s="143"/>
      <c r="N41" s="143"/>
      <c r="O41" s="343">
        <f t="shared" si="0"/>
        <v>-10.42</v>
      </c>
      <c r="P41" s="343">
        <f t="shared" si="1"/>
        <v>-31.85</v>
      </c>
      <c r="Q41" s="346">
        <f t="shared" si="2"/>
        <v>0</v>
      </c>
      <c r="R41" s="143"/>
    </row>
    <row r="42" spans="2:17" ht="12.75">
      <c r="B42" s="123" t="s">
        <v>91</v>
      </c>
      <c r="C42" s="124"/>
      <c r="D42" s="59">
        <v>4606127.239999998</v>
      </c>
      <c r="E42" s="60">
        <v>4508256.579999997</v>
      </c>
      <c r="F42" s="60">
        <v>9284016.18</v>
      </c>
      <c r="G42" s="61">
        <v>105.93362456757075</v>
      </c>
      <c r="H42" s="60">
        <v>6470362.47</v>
      </c>
      <c r="I42" s="60">
        <v>5932788.45</v>
      </c>
      <c r="J42" s="60">
        <v>7533850.440000001</v>
      </c>
      <c r="K42" s="61">
        <v>26.9866691437481</v>
      </c>
      <c r="O42" s="343">
        <f t="shared" si="0"/>
        <v>4775759.600000002</v>
      </c>
      <c r="P42" s="343">
        <f t="shared" si="1"/>
        <v>1601061.9900000012</v>
      </c>
      <c r="Q42" s="346">
        <f t="shared" si="2"/>
        <v>0.811486138534498</v>
      </c>
    </row>
    <row r="43" spans="2:11" ht="12.75">
      <c r="B43" s="426" t="s">
        <v>259</v>
      </c>
      <c r="C43" s="427"/>
      <c r="D43" s="427"/>
      <c r="E43" s="427"/>
      <c r="F43" s="427"/>
      <c r="G43" s="427"/>
      <c r="H43" s="427"/>
      <c r="I43" s="427"/>
      <c r="J43" s="427"/>
      <c r="K43" s="427"/>
    </row>
  </sheetData>
  <sheetProtection/>
  <mergeCells count="11">
    <mergeCell ref="B21:B22"/>
    <mergeCell ref="B43:K43"/>
    <mergeCell ref="B24:B26"/>
    <mergeCell ref="B34:B38"/>
    <mergeCell ref="B28:B32"/>
    <mergeCell ref="B6:B19"/>
    <mergeCell ref="B2:K2"/>
    <mergeCell ref="D4:G4"/>
    <mergeCell ref="H4:K4"/>
    <mergeCell ref="B4:B5"/>
    <mergeCell ref="C4:C5"/>
  </mergeCells>
  <conditionalFormatting sqref="Q6:Q42">
    <cfRule type="top10" priority="6" dxfId="44" rank="2"/>
  </conditionalFormatting>
  <conditionalFormatting sqref="O6:O41">
    <cfRule type="top10" priority="3" dxfId="42" rank="2"/>
    <cfRule type="top10" priority="4" dxfId="43" rank="2" bottom="1"/>
  </conditionalFormatting>
  <conditionalFormatting sqref="P6:P41">
    <cfRule type="top10" priority="1" dxfId="42" rank="2"/>
    <cfRule type="top10" priority="2" dxfId="43" rank="2" bottom="1"/>
  </conditionalFormatting>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22"/>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3.421875" style="35" customWidth="1"/>
    <col min="3" max="3" width="16.00390625" style="35" customWidth="1"/>
    <col min="4" max="11" width="11.7109375" style="35" customWidth="1"/>
    <col min="12" max="12" width="2.8515625" style="35" customWidth="1"/>
    <col min="13" max="13" width="10.8515625" style="35" customWidth="1"/>
    <col min="14" max="14" width="4.421875" style="143" customWidth="1"/>
    <col min="15" max="15" width="5.00390625" style="350" hidden="1" customWidth="1"/>
    <col min="16" max="16" width="11.28125" style="350" hidden="1" customWidth="1"/>
    <col min="17" max="17" width="11.28125" style="334" hidden="1" customWidth="1"/>
    <col min="18" max="18" width="8.57421875" style="334" hidden="1" customWidth="1"/>
    <col min="19" max="19" width="10.8515625" style="143" customWidth="1"/>
    <col min="20" max="16384" width="10.8515625" style="35" customWidth="1"/>
  </cols>
  <sheetData>
    <row r="2" spans="2:14" ht="15">
      <c r="B2" s="417" t="s">
        <v>203</v>
      </c>
      <c r="C2" s="417"/>
      <c r="D2" s="417"/>
      <c r="E2" s="417"/>
      <c r="F2" s="417"/>
      <c r="G2" s="417"/>
      <c r="H2" s="417"/>
      <c r="I2" s="417"/>
      <c r="J2" s="417"/>
      <c r="K2" s="417"/>
      <c r="L2" s="108"/>
      <c r="M2" s="45" t="s">
        <v>148</v>
      </c>
      <c r="N2" s="145"/>
    </row>
    <row r="3" spans="2:14" ht="15">
      <c r="B3" s="108"/>
      <c r="C3" s="108"/>
      <c r="D3" s="108"/>
      <c r="E3" s="108"/>
      <c r="F3" s="108"/>
      <c r="G3" s="108"/>
      <c r="H3" s="108"/>
      <c r="I3" s="108"/>
      <c r="J3" s="108"/>
      <c r="K3" s="108"/>
      <c r="L3" s="108"/>
      <c r="M3" s="45"/>
      <c r="N3" s="145"/>
    </row>
    <row r="4" spans="2:12" ht="15">
      <c r="B4" s="430" t="s">
        <v>69</v>
      </c>
      <c r="C4" s="430" t="s">
        <v>70</v>
      </c>
      <c r="D4" s="418" t="s">
        <v>71</v>
      </c>
      <c r="E4" s="419"/>
      <c r="F4" s="419"/>
      <c r="G4" s="420"/>
      <c r="H4" s="418" t="s">
        <v>92</v>
      </c>
      <c r="I4" s="419"/>
      <c r="J4" s="419"/>
      <c r="K4" s="420"/>
      <c r="L4" s="108"/>
    </row>
    <row r="5" spans="2:18" ht="25.5">
      <c r="B5" s="431"/>
      <c r="C5" s="431"/>
      <c r="D5" s="36" t="str">
        <f>+export!D5</f>
        <v>2016</v>
      </c>
      <c r="E5" s="37" t="str">
        <f>+export!E5</f>
        <v>ene-oct 2016</v>
      </c>
      <c r="F5" s="37" t="str">
        <f>+export!F5</f>
        <v>ene-oct 2017</v>
      </c>
      <c r="G5" s="38" t="str">
        <f>+export!G5</f>
        <v>variación (%)</v>
      </c>
      <c r="H5" s="36" t="str">
        <f>+export!H5</f>
        <v>2016</v>
      </c>
      <c r="I5" s="39" t="str">
        <f>+export!I5</f>
        <v>ene-oct 2016</v>
      </c>
      <c r="J5" s="39" t="str">
        <f>+export!J5</f>
        <v>ene-oct 2017</v>
      </c>
      <c r="K5" s="40" t="str">
        <f>+export!K5</f>
        <v>variación (%)</v>
      </c>
      <c r="L5" s="109"/>
      <c r="P5" s="342" t="str">
        <f>+export!O5</f>
        <v>diff Vol</v>
      </c>
      <c r="Q5" s="342" t="str">
        <f>+export!P5</f>
        <v>diff $</v>
      </c>
      <c r="R5" s="342" t="str">
        <f>+export!Q5</f>
        <v>Px 2017</v>
      </c>
    </row>
    <row r="6" spans="2:18" ht="15" customHeight="1">
      <c r="B6" s="428" t="s">
        <v>86</v>
      </c>
      <c r="C6" s="326" t="s">
        <v>94</v>
      </c>
      <c r="D6" s="297">
        <v>47173548.3941</v>
      </c>
      <c r="E6" s="298">
        <v>38506924.9008</v>
      </c>
      <c r="F6" s="298">
        <v>41526963.68</v>
      </c>
      <c r="G6" s="299">
        <v>7.842845895848871</v>
      </c>
      <c r="H6" s="298">
        <v>36729736.76</v>
      </c>
      <c r="I6" s="298">
        <v>30010556.94</v>
      </c>
      <c r="J6" s="298">
        <v>33780677.95</v>
      </c>
      <c r="K6" s="299">
        <v>12.562649262183267</v>
      </c>
      <c r="L6" s="110"/>
      <c r="O6" s="351">
        <f aca="true" t="shared" si="0" ref="O6:O12">+J6/$J$23</f>
        <v>0.5041548416553023</v>
      </c>
      <c r="P6" s="352">
        <f>+F6-E6</f>
        <v>3020038.7792000026</v>
      </c>
      <c r="Q6" s="352">
        <f>+J6-I6</f>
        <v>3770121.0100000016</v>
      </c>
      <c r="R6" s="353">
        <f>+IF(F6=0,0,J6/F6)</f>
        <v>0.8134637102367607</v>
      </c>
    </row>
    <row r="7" spans="2:18" ht="15">
      <c r="B7" s="425"/>
      <c r="C7" s="313" t="s">
        <v>127</v>
      </c>
      <c r="D7" s="301">
        <v>25016697.2477</v>
      </c>
      <c r="E7" s="302">
        <v>20132533.6477</v>
      </c>
      <c r="F7" s="302">
        <v>20973694.1323</v>
      </c>
      <c r="G7" s="303">
        <v>4.17811537941275</v>
      </c>
      <c r="H7" s="302">
        <v>19994052.33</v>
      </c>
      <c r="I7" s="302">
        <v>16123536.36</v>
      </c>
      <c r="J7" s="302">
        <v>17453763.16</v>
      </c>
      <c r="K7" s="303">
        <v>8.250217385933322</v>
      </c>
      <c r="L7" s="110"/>
      <c r="O7" s="351">
        <f t="shared" si="0"/>
        <v>0.2604861635768014</v>
      </c>
      <c r="P7" s="352">
        <f aca="true" t="shared" si="1" ref="P7:P70">+F7-E7</f>
        <v>841160.4846000001</v>
      </c>
      <c r="Q7" s="352">
        <f aca="true" t="shared" si="2" ref="Q7:Q70">+J7-I7</f>
        <v>1330226.8000000007</v>
      </c>
      <c r="R7" s="353">
        <f aca="true" t="shared" si="3" ref="R7:R70">+IF(F7=0,0,J7/F7)</f>
        <v>0.8321740104486781</v>
      </c>
    </row>
    <row r="8" spans="2:18" ht="15">
      <c r="B8" s="425"/>
      <c r="C8" s="313" t="s">
        <v>77</v>
      </c>
      <c r="D8" s="301">
        <v>10528578.4985</v>
      </c>
      <c r="E8" s="302">
        <v>8835720.8985</v>
      </c>
      <c r="F8" s="302">
        <v>6764056.6446</v>
      </c>
      <c r="G8" s="303">
        <v>-23.44646551988413</v>
      </c>
      <c r="H8" s="302">
        <v>11875265.83</v>
      </c>
      <c r="I8" s="302">
        <v>9876705.43</v>
      </c>
      <c r="J8" s="302">
        <v>8212669.27</v>
      </c>
      <c r="K8" s="303">
        <v>-16.84808939371193</v>
      </c>
      <c r="L8" s="110"/>
      <c r="O8" s="351">
        <f t="shared" si="0"/>
        <v>0.12256879454914009</v>
      </c>
      <c r="P8" s="352">
        <f t="shared" si="1"/>
        <v>-2071664.253899999</v>
      </c>
      <c r="Q8" s="352">
        <f t="shared" si="2"/>
        <v>-1664036.1600000001</v>
      </c>
      <c r="R8" s="353">
        <f t="shared" si="3"/>
        <v>1.21416329009552</v>
      </c>
    </row>
    <row r="9" spans="2:18" ht="15">
      <c r="B9" s="425"/>
      <c r="C9" s="313" t="s">
        <v>93</v>
      </c>
      <c r="D9" s="301">
        <v>9095842.7362</v>
      </c>
      <c r="E9" s="302">
        <v>7370846.19</v>
      </c>
      <c r="F9" s="302">
        <v>7357938.5615</v>
      </c>
      <c r="G9" s="303">
        <v>-0.17511732258790325</v>
      </c>
      <c r="H9" s="302">
        <v>6919707.18</v>
      </c>
      <c r="I9" s="302">
        <v>5611283.8</v>
      </c>
      <c r="J9" s="302">
        <v>5883406.68</v>
      </c>
      <c r="K9" s="303">
        <v>4.849565441690906</v>
      </c>
      <c r="L9" s="110"/>
      <c r="O9" s="351">
        <f t="shared" si="0"/>
        <v>0.08780605195489119</v>
      </c>
      <c r="P9" s="352">
        <f t="shared" si="1"/>
        <v>-12907.628500000574</v>
      </c>
      <c r="Q9" s="352">
        <f t="shared" si="2"/>
        <v>272122.8799999999</v>
      </c>
      <c r="R9" s="353">
        <f t="shared" si="3"/>
        <v>0.7995998649383395</v>
      </c>
    </row>
    <row r="10" spans="2:18" ht="15">
      <c r="B10" s="425"/>
      <c r="C10" s="313" t="s">
        <v>125</v>
      </c>
      <c r="D10" s="301">
        <v>512774.2314</v>
      </c>
      <c r="E10" s="302">
        <v>436686.2546</v>
      </c>
      <c r="F10" s="302">
        <v>924921.4777</v>
      </c>
      <c r="G10" s="303">
        <v>111.8045777619491</v>
      </c>
      <c r="H10" s="302">
        <v>743324.95</v>
      </c>
      <c r="I10" s="302">
        <v>620713.05</v>
      </c>
      <c r="J10" s="302">
        <v>1236876.44</v>
      </c>
      <c r="K10" s="303">
        <v>99.26702684920188</v>
      </c>
      <c r="L10" s="110"/>
      <c r="M10" s="41"/>
      <c r="O10" s="351">
        <f t="shared" si="0"/>
        <v>0.018459583513343134</v>
      </c>
      <c r="P10" s="352">
        <f t="shared" si="1"/>
        <v>488235.22310000006</v>
      </c>
      <c r="Q10" s="352">
        <f t="shared" si="2"/>
        <v>616163.3899999999</v>
      </c>
      <c r="R10" s="353">
        <f t="shared" si="3"/>
        <v>1.3372772390103185</v>
      </c>
    </row>
    <row r="11" spans="2:18" ht="15">
      <c r="B11" s="425"/>
      <c r="C11" s="313" t="s">
        <v>98</v>
      </c>
      <c r="D11" s="301">
        <v>553778.084</v>
      </c>
      <c r="E11" s="302">
        <v>276410.5071</v>
      </c>
      <c r="F11" s="302">
        <v>370276.3069</v>
      </c>
      <c r="G11" s="303">
        <v>33.95883925861081</v>
      </c>
      <c r="H11" s="302">
        <v>506226.95</v>
      </c>
      <c r="I11" s="302">
        <v>236017.36</v>
      </c>
      <c r="J11" s="302">
        <v>351184.94</v>
      </c>
      <c r="K11" s="303">
        <v>48.79623261610926</v>
      </c>
      <c r="L11" s="110"/>
      <c r="O11" s="351">
        <f t="shared" si="0"/>
        <v>0.00524120883777073</v>
      </c>
      <c r="P11" s="352">
        <f t="shared" si="1"/>
        <v>93865.79980000004</v>
      </c>
      <c r="Q11" s="352">
        <f t="shared" si="2"/>
        <v>115167.58000000002</v>
      </c>
      <c r="R11" s="353">
        <f t="shared" si="3"/>
        <v>0.9484402146606804</v>
      </c>
    </row>
    <row r="12" spans="2:18" ht="15">
      <c r="B12" s="425"/>
      <c r="C12" s="313" t="s">
        <v>117</v>
      </c>
      <c r="D12" s="301">
        <v>75600</v>
      </c>
      <c r="E12" s="302">
        <v>75600</v>
      </c>
      <c r="F12" s="302">
        <v>7525.8</v>
      </c>
      <c r="G12" s="303">
        <v>-90.0452380952381</v>
      </c>
      <c r="H12" s="302">
        <v>55192.78</v>
      </c>
      <c r="I12" s="302">
        <v>55192.78</v>
      </c>
      <c r="J12" s="302">
        <v>32601.06</v>
      </c>
      <c r="K12" s="303">
        <v>-40.93238282253584</v>
      </c>
      <c r="L12" s="110"/>
      <c r="O12" s="351">
        <f t="shared" si="0"/>
        <v>0.00048654980419346526</v>
      </c>
      <c r="P12" s="352">
        <f t="shared" si="1"/>
        <v>-68074.2</v>
      </c>
      <c r="Q12" s="352">
        <f t="shared" si="2"/>
        <v>-22591.719999999998</v>
      </c>
      <c r="R12" s="353">
        <f t="shared" si="3"/>
        <v>4.3319062425257115</v>
      </c>
    </row>
    <row r="13" spans="2:18" ht="15">
      <c r="B13" s="425"/>
      <c r="C13" s="313" t="s">
        <v>82</v>
      </c>
      <c r="D13" s="301">
        <v>8976.67</v>
      </c>
      <c r="E13" s="302">
        <v>8976.67</v>
      </c>
      <c r="F13" s="302">
        <v>0</v>
      </c>
      <c r="G13" s="303">
        <v>-100</v>
      </c>
      <c r="H13" s="302">
        <v>51485.8</v>
      </c>
      <c r="I13" s="302">
        <v>51485.8</v>
      </c>
      <c r="J13" s="302">
        <v>0</v>
      </c>
      <c r="K13" s="303">
        <v>-100</v>
      </c>
      <c r="L13" s="110"/>
      <c r="O13" s="354"/>
      <c r="P13" s="352">
        <f t="shared" si="1"/>
        <v>-8976.67</v>
      </c>
      <c r="Q13" s="352">
        <f t="shared" si="2"/>
        <v>-51485.8</v>
      </c>
      <c r="R13" s="353">
        <f t="shared" si="3"/>
        <v>0</v>
      </c>
    </row>
    <row r="14" spans="2:18" ht="15">
      <c r="B14" s="425"/>
      <c r="C14" s="313" t="s">
        <v>75</v>
      </c>
      <c r="D14" s="301">
        <v>8721.63</v>
      </c>
      <c r="E14" s="302">
        <v>6015</v>
      </c>
      <c r="F14" s="302">
        <v>4200</v>
      </c>
      <c r="G14" s="303">
        <v>-30.17456359102244</v>
      </c>
      <c r="H14" s="302">
        <v>19631.86</v>
      </c>
      <c r="I14" s="302">
        <v>13000.19</v>
      </c>
      <c r="J14" s="302">
        <v>9165.99</v>
      </c>
      <c r="K14" s="303">
        <v>-29.493415096240906</v>
      </c>
      <c r="L14" s="110"/>
      <c r="O14" s="354"/>
      <c r="P14" s="352">
        <f t="shared" si="1"/>
        <v>-1815</v>
      </c>
      <c r="Q14" s="352">
        <f t="shared" si="2"/>
        <v>-3834.2000000000007</v>
      </c>
      <c r="R14" s="353">
        <f t="shared" si="3"/>
        <v>2.1823785714285715</v>
      </c>
    </row>
    <row r="15" spans="2:18" ht="15">
      <c r="B15" s="425"/>
      <c r="C15" s="313" t="s">
        <v>175</v>
      </c>
      <c r="D15" s="301">
        <v>20820</v>
      </c>
      <c r="E15" s="302">
        <v>0</v>
      </c>
      <c r="F15" s="302">
        <v>0</v>
      </c>
      <c r="G15" s="303" t="s">
        <v>144</v>
      </c>
      <c r="H15" s="302">
        <v>16078.07</v>
      </c>
      <c r="I15" s="302">
        <v>0</v>
      </c>
      <c r="J15" s="302">
        <v>0</v>
      </c>
      <c r="K15" s="303" t="s">
        <v>144</v>
      </c>
      <c r="L15" s="110"/>
      <c r="O15" s="354"/>
      <c r="P15" s="352">
        <f t="shared" si="1"/>
        <v>0</v>
      </c>
      <c r="Q15" s="352">
        <f t="shared" si="2"/>
        <v>0</v>
      </c>
      <c r="R15" s="353">
        <f t="shared" si="3"/>
        <v>0</v>
      </c>
    </row>
    <row r="16" spans="2:18" ht="15">
      <c r="B16" s="425"/>
      <c r="C16" s="313" t="s">
        <v>79</v>
      </c>
      <c r="D16" s="301">
        <v>3968.64</v>
      </c>
      <c r="E16" s="302">
        <v>3238.64</v>
      </c>
      <c r="F16" s="302">
        <v>1467.72</v>
      </c>
      <c r="G16" s="303">
        <v>-54.68097720030629</v>
      </c>
      <c r="H16" s="302">
        <v>10537.48</v>
      </c>
      <c r="I16" s="302">
        <v>8814.5</v>
      </c>
      <c r="J16" s="302">
        <v>4053.51</v>
      </c>
      <c r="K16" s="303">
        <v>-54.01316013387032</v>
      </c>
      <c r="L16" s="111"/>
      <c r="O16" s="354"/>
      <c r="P16" s="352">
        <f t="shared" si="1"/>
        <v>-1770.9199999999998</v>
      </c>
      <c r="Q16" s="352">
        <f t="shared" si="2"/>
        <v>-4760.99</v>
      </c>
      <c r="R16" s="353">
        <f t="shared" si="3"/>
        <v>2.7617733627667405</v>
      </c>
    </row>
    <row r="17" spans="2:18" ht="15">
      <c r="B17" s="425"/>
      <c r="C17" s="313" t="s">
        <v>101</v>
      </c>
      <c r="D17" s="301">
        <v>875.9782</v>
      </c>
      <c r="E17" s="302">
        <v>875.9782</v>
      </c>
      <c r="F17" s="302">
        <v>1890</v>
      </c>
      <c r="G17" s="303">
        <v>115.75879399738484</v>
      </c>
      <c r="H17" s="302">
        <v>3768.02</v>
      </c>
      <c r="I17" s="302">
        <v>3768.02</v>
      </c>
      <c r="J17" s="302">
        <v>2455.39</v>
      </c>
      <c r="K17" s="303">
        <v>-34.83606774910961</v>
      </c>
      <c r="L17" s="110"/>
      <c r="O17" s="354"/>
      <c r="P17" s="352">
        <f t="shared" si="1"/>
        <v>1014.0218</v>
      </c>
      <c r="Q17" s="352">
        <f t="shared" si="2"/>
        <v>-1312.63</v>
      </c>
      <c r="R17" s="353">
        <f t="shared" si="3"/>
        <v>1.2991481481481482</v>
      </c>
    </row>
    <row r="18" spans="2:18" ht="15">
      <c r="B18" s="425"/>
      <c r="C18" s="313" t="s">
        <v>100</v>
      </c>
      <c r="D18" s="301">
        <v>132.4</v>
      </c>
      <c r="E18" s="302">
        <v>132.4</v>
      </c>
      <c r="F18" s="302">
        <v>0</v>
      </c>
      <c r="G18" s="303">
        <v>-100</v>
      </c>
      <c r="H18" s="302">
        <v>493.72</v>
      </c>
      <c r="I18" s="302">
        <v>493.72</v>
      </c>
      <c r="J18" s="302">
        <v>0</v>
      </c>
      <c r="K18" s="303">
        <v>-100</v>
      </c>
      <c r="L18" s="110"/>
      <c r="O18" s="354"/>
      <c r="P18" s="352">
        <f t="shared" si="1"/>
        <v>-132.4</v>
      </c>
      <c r="Q18" s="352">
        <f t="shared" si="2"/>
        <v>-493.72</v>
      </c>
      <c r="R18" s="353">
        <f t="shared" si="3"/>
        <v>0</v>
      </c>
    </row>
    <row r="19" spans="2:19" s="212" customFormat="1" ht="15">
      <c r="B19" s="425"/>
      <c r="C19" s="313" t="s">
        <v>74</v>
      </c>
      <c r="D19" s="301">
        <v>8.2</v>
      </c>
      <c r="E19" s="302">
        <v>8.2</v>
      </c>
      <c r="F19" s="302">
        <v>0</v>
      </c>
      <c r="G19" s="303">
        <v>-100</v>
      </c>
      <c r="H19" s="302">
        <v>116.84</v>
      </c>
      <c r="I19" s="302">
        <v>116.84</v>
      </c>
      <c r="J19" s="302">
        <v>0</v>
      </c>
      <c r="K19" s="303">
        <v>-100</v>
      </c>
      <c r="L19" s="220"/>
      <c r="N19" s="143"/>
      <c r="O19" s="354"/>
      <c r="P19" s="352">
        <f t="shared" si="1"/>
        <v>-8.2</v>
      </c>
      <c r="Q19" s="352">
        <f t="shared" si="2"/>
        <v>-116.84</v>
      </c>
      <c r="R19" s="353">
        <f t="shared" si="3"/>
        <v>0</v>
      </c>
      <c r="S19" s="143"/>
    </row>
    <row r="20" spans="2:18" ht="15">
      <c r="B20" s="425"/>
      <c r="C20" s="313" t="s">
        <v>262</v>
      </c>
      <c r="D20" s="301">
        <v>0</v>
      </c>
      <c r="E20" s="302">
        <v>0</v>
      </c>
      <c r="F20" s="302">
        <v>48002</v>
      </c>
      <c r="G20" s="303" t="s">
        <v>144</v>
      </c>
      <c r="H20" s="302">
        <v>0</v>
      </c>
      <c r="I20" s="302">
        <v>0</v>
      </c>
      <c r="J20" s="302">
        <v>37312</v>
      </c>
      <c r="K20" s="303" t="s">
        <v>144</v>
      </c>
      <c r="L20" s="110"/>
      <c r="O20" s="354"/>
      <c r="P20" s="352">
        <f t="shared" si="1"/>
        <v>48002</v>
      </c>
      <c r="Q20" s="352">
        <f t="shared" si="2"/>
        <v>37312</v>
      </c>
      <c r="R20" s="353">
        <f t="shared" si="3"/>
        <v>0.7773009457939253</v>
      </c>
    </row>
    <row r="21" spans="2:19" s="212" customFormat="1" ht="15">
      <c r="B21" s="425"/>
      <c r="C21" s="313" t="s">
        <v>263</v>
      </c>
      <c r="D21" s="301">
        <v>0</v>
      </c>
      <c r="E21" s="302">
        <v>0</v>
      </c>
      <c r="F21" s="302">
        <v>119.68</v>
      </c>
      <c r="G21" s="303" t="s">
        <v>144</v>
      </c>
      <c r="H21" s="302">
        <v>0</v>
      </c>
      <c r="I21" s="302">
        <v>0</v>
      </c>
      <c r="J21" s="302">
        <v>389.8</v>
      </c>
      <c r="K21" s="303" t="s">
        <v>144</v>
      </c>
      <c r="L21" s="220"/>
      <c r="N21" s="143"/>
      <c r="O21" s="354"/>
      <c r="P21" s="352">
        <f t="shared" si="1"/>
        <v>119.68</v>
      </c>
      <c r="Q21" s="352">
        <f t="shared" si="2"/>
        <v>389.8</v>
      </c>
      <c r="R21" s="353">
        <f t="shared" si="3"/>
        <v>3.25701871657754</v>
      </c>
      <c r="S21" s="143"/>
    </row>
    <row r="22" spans="2:19" s="212" customFormat="1" ht="15">
      <c r="B22" s="429"/>
      <c r="C22" s="219" t="s">
        <v>264</v>
      </c>
      <c r="D22" s="214">
        <v>0</v>
      </c>
      <c r="E22" s="215">
        <v>0</v>
      </c>
      <c r="F22" s="215">
        <v>3.3</v>
      </c>
      <c r="G22" s="216" t="s">
        <v>144</v>
      </c>
      <c r="H22" s="215">
        <v>0</v>
      </c>
      <c r="I22" s="215">
        <v>0</v>
      </c>
      <c r="J22" s="215">
        <v>12.96</v>
      </c>
      <c r="K22" s="216" t="s">
        <v>144</v>
      </c>
      <c r="L22" s="220"/>
      <c r="N22" s="143"/>
      <c r="O22" s="354"/>
      <c r="P22" s="352">
        <f t="shared" si="1"/>
        <v>3.3</v>
      </c>
      <c r="Q22" s="352">
        <f t="shared" si="2"/>
        <v>12.96</v>
      </c>
      <c r="R22" s="353">
        <f t="shared" si="3"/>
        <v>3.9272727272727277</v>
      </c>
      <c r="S22" s="143"/>
    </row>
    <row r="23" spans="2:18" ht="15">
      <c r="B23" s="125" t="s">
        <v>111</v>
      </c>
      <c r="C23" s="126"/>
      <c r="D23" s="59">
        <v>93000322.71010001</v>
      </c>
      <c r="E23" s="60">
        <v>75653969.28690001</v>
      </c>
      <c r="F23" s="60">
        <v>77981059.303</v>
      </c>
      <c r="G23" s="61">
        <v>3.075965528358515</v>
      </c>
      <c r="H23" s="60">
        <v>76925618.57</v>
      </c>
      <c r="I23" s="60">
        <v>62611684.79</v>
      </c>
      <c r="J23" s="60">
        <v>67004569.15</v>
      </c>
      <c r="K23" s="61">
        <v>7.016077549635913</v>
      </c>
      <c r="L23" s="110"/>
      <c r="M23" s="41"/>
      <c r="O23" s="355">
        <f>+J23/$J$99</f>
        <v>0.7854956298052124</v>
      </c>
      <c r="P23" s="352">
        <f t="shared" si="1"/>
        <v>2327090.0160999894</v>
      </c>
      <c r="Q23" s="352">
        <f t="shared" si="2"/>
        <v>4392884.359999999</v>
      </c>
      <c r="R23" s="353">
        <f t="shared" si="3"/>
        <v>0.859241586981395</v>
      </c>
    </row>
    <row r="24" spans="2:18" ht="15" customHeight="1">
      <c r="B24" s="428" t="s">
        <v>89</v>
      </c>
      <c r="C24" s="326" t="s">
        <v>125</v>
      </c>
      <c r="D24" s="297">
        <v>662368.8621</v>
      </c>
      <c r="E24" s="298">
        <v>414842.2639</v>
      </c>
      <c r="F24" s="298">
        <v>502180.3126</v>
      </c>
      <c r="G24" s="299">
        <v>21.0533150308555</v>
      </c>
      <c r="H24" s="298">
        <v>4593908.96</v>
      </c>
      <c r="I24" s="298">
        <v>2841876.49</v>
      </c>
      <c r="J24" s="298">
        <v>3337471.1</v>
      </c>
      <c r="K24" s="299">
        <v>17.438991868362287</v>
      </c>
      <c r="L24" s="110"/>
      <c r="O24" s="356"/>
      <c r="P24" s="352">
        <f t="shared" si="1"/>
        <v>87338.04869999998</v>
      </c>
      <c r="Q24" s="352">
        <f t="shared" si="2"/>
        <v>495594.60999999987</v>
      </c>
      <c r="R24" s="353">
        <f t="shared" si="3"/>
        <v>6.645961652141438</v>
      </c>
    </row>
    <row r="25" spans="2:18" ht="15">
      <c r="B25" s="425"/>
      <c r="C25" s="313" t="s">
        <v>127</v>
      </c>
      <c r="D25" s="301">
        <v>3256680</v>
      </c>
      <c r="E25" s="302">
        <v>2409024</v>
      </c>
      <c r="F25" s="302">
        <v>2220628.8</v>
      </c>
      <c r="G25" s="303">
        <v>-7.820395313620798</v>
      </c>
      <c r="H25" s="302">
        <v>3373007.56</v>
      </c>
      <c r="I25" s="302">
        <v>2420894.2</v>
      </c>
      <c r="J25" s="302">
        <v>2318220.94</v>
      </c>
      <c r="K25" s="303">
        <v>-4.241129579309999</v>
      </c>
      <c r="L25" s="110"/>
      <c r="O25" s="356"/>
      <c r="P25" s="352">
        <f t="shared" si="1"/>
        <v>-188395.2000000002</v>
      </c>
      <c r="Q25" s="352">
        <f t="shared" si="2"/>
        <v>-102673.26000000024</v>
      </c>
      <c r="R25" s="353">
        <f t="shared" si="3"/>
        <v>1.0439479754563212</v>
      </c>
    </row>
    <row r="26" spans="2:18" ht="15">
      <c r="B26" s="425"/>
      <c r="C26" s="313" t="s">
        <v>82</v>
      </c>
      <c r="D26" s="301">
        <v>238082.2595</v>
      </c>
      <c r="E26" s="302">
        <v>170449.4795</v>
      </c>
      <c r="F26" s="302">
        <v>184310.2692</v>
      </c>
      <c r="G26" s="303">
        <v>8.131904973050986</v>
      </c>
      <c r="H26" s="302">
        <v>1346779.91</v>
      </c>
      <c r="I26" s="302">
        <v>996563.43</v>
      </c>
      <c r="J26" s="302">
        <v>902465.81</v>
      </c>
      <c r="K26" s="303">
        <v>-9.442210818432295</v>
      </c>
      <c r="L26" s="110"/>
      <c r="O26" s="356"/>
      <c r="P26" s="352">
        <f t="shared" si="1"/>
        <v>13860.789700000023</v>
      </c>
      <c r="Q26" s="352">
        <f t="shared" si="2"/>
        <v>-94097.62</v>
      </c>
      <c r="R26" s="353">
        <f t="shared" si="3"/>
        <v>4.896448873506393</v>
      </c>
    </row>
    <row r="27" spans="2:18" ht="15">
      <c r="B27" s="425"/>
      <c r="C27" s="313" t="s">
        <v>75</v>
      </c>
      <c r="D27" s="301">
        <v>19039.5777</v>
      </c>
      <c r="E27" s="302">
        <v>13251.2377</v>
      </c>
      <c r="F27" s="302">
        <v>7998.32</v>
      </c>
      <c r="G27" s="303">
        <v>-39.64095897245885</v>
      </c>
      <c r="H27" s="302">
        <v>107925.38</v>
      </c>
      <c r="I27" s="302">
        <v>73759.62</v>
      </c>
      <c r="J27" s="302">
        <v>30243.08</v>
      </c>
      <c r="K27" s="303">
        <v>-58.9977822553858</v>
      </c>
      <c r="L27" s="110"/>
      <c r="O27" s="356"/>
      <c r="P27" s="352">
        <f t="shared" si="1"/>
        <v>-5252.9177</v>
      </c>
      <c r="Q27" s="352">
        <f t="shared" si="2"/>
        <v>-43516.53999999999</v>
      </c>
      <c r="R27" s="353">
        <f t="shared" si="3"/>
        <v>3.7811790475999962</v>
      </c>
    </row>
    <row r="28" spans="2:18" ht="15">
      <c r="B28" s="425"/>
      <c r="C28" s="313" t="s">
        <v>77</v>
      </c>
      <c r="D28" s="301">
        <v>20000</v>
      </c>
      <c r="E28" s="302">
        <v>20000</v>
      </c>
      <c r="F28" s="302">
        <v>0</v>
      </c>
      <c r="G28" s="303">
        <v>-100</v>
      </c>
      <c r="H28" s="302">
        <v>45606</v>
      </c>
      <c r="I28" s="302">
        <v>45606</v>
      </c>
      <c r="J28" s="302">
        <v>0</v>
      </c>
      <c r="K28" s="303">
        <v>-100</v>
      </c>
      <c r="L28" s="110"/>
      <c r="O28" s="356"/>
      <c r="P28" s="352">
        <f t="shared" si="1"/>
        <v>-20000</v>
      </c>
      <c r="Q28" s="352">
        <f t="shared" si="2"/>
        <v>-45606</v>
      </c>
      <c r="R28" s="353">
        <f t="shared" si="3"/>
        <v>0</v>
      </c>
    </row>
    <row r="29" spans="2:18" ht="15">
      <c r="B29" s="425"/>
      <c r="C29" s="313" t="s">
        <v>79</v>
      </c>
      <c r="D29" s="301">
        <v>4727.2</v>
      </c>
      <c r="E29" s="302">
        <v>3047.2</v>
      </c>
      <c r="F29" s="302">
        <v>1656</v>
      </c>
      <c r="G29" s="303">
        <v>-45.655027566290364</v>
      </c>
      <c r="H29" s="302">
        <v>28164.08</v>
      </c>
      <c r="I29" s="302">
        <v>19650.08</v>
      </c>
      <c r="J29" s="302">
        <v>7267.78</v>
      </c>
      <c r="K29" s="303">
        <v>-63.01399281834985</v>
      </c>
      <c r="L29" s="110"/>
      <c r="O29" s="356"/>
      <c r="P29" s="352">
        <f t="shared" si="1"/>
        <v>-1391.1999999999998</v>
      </c>
      <c r="Q29" s="352">
        <f t="shared" si="2"/>
        <v>-12382.300000000003</v>
      </c>
      <c r="R29" s="353">
        <f t="shared" si="3"/>
        <v>4.388756038647343</v>
      </c>
    </row>
    <row r="30" spans="2:18" ht="15">
      <c r="B30" s="425"/>
      <c r="C30" s="313" t="s">
        <v>175</v>
      </c>
      <c r="D30" s="301">
        <v>4933.5</v>
      </c>
      <c r="E30" s="302">
        <v>4933.5</v>
      </c>
      <c r="F30" s="302">
        <v>0</v>
      </c>
      <c r="G30" s="303">
        <v>-100</v>
      </c>
      <c r="H30" s="302">
        <v>11618.94</v>
      </c>
      <c r="I30" s="302">
        <v>11618.94</v>
      </c>
      <c r="J30" s="302">
        <v>0</v>
      </c>
      <c r="K30" s="303">
        <v>-100</v>
      </c>
      <c r="L30" s="110"/>
      <c r="O30" s="356"/>
      <c r="P30" s="352">
        <f t="shared" si="1"/>
        <v>-4933.5</v>
      </c>
      <c r="Q30" s="352">
        <f t="shared" si="2"/>
        <v>-11618.94</v>
      </c>
      <c r="R30" s="353">
        <f t="shared" si="3"/>
        <v>0</v>
      </c>
    </row>
    <row r="31" spans="2:18" ht="15">
      <c r="B31" s="425"/>
      <c r="C31" s="313" t="s">
        <v>76</v>
      </c>
      <c r="D31" s="301">
        <v>578.76</v>
      </c>
      <c r="E31" s="302">
        <v>578.76</v>
      </c>
      <c r="F31" s="302">
        <v>514.8</v>
      </c>
      <c r="G31" s="303">
        <v>-11.051212938005396</v>
      </c>
      <c r="H31" s="302">
        <v>7260.14</v>
      </c>
      <c r="I31" s="302">
        <v>7260.14</v>
      </c>
      <c r="J31" s="302">
        <v>3918.34</v>
      </c>
      <c r="K31" s="303">
        <v>-46.02941541072211</v>
      </c>
      <c r="L31" s="110"/>
      <c r="O31" s="356"/>
      <c r="P31" s="352">
        <f t="shared" si="1"/>
        <v>-63.960000000000036</v>
      </c>
      <c r="Q31" s="352">
        <f t="shared" si="2"/>
        <v>-3341.8</v>
      </c>
      <c r="R31" s="353">
        <f t="shared" si="3"/>
        <v>7.611383061383062</v>
      </c>
    </row>
    <row r="32" spans="2:18" ht="15">
      <c r="B32" s="425"/>
      <c r="C32" s="313" t="s">
        <v>99</v>
      </c>
      <c r="D32" s="301">
        <v>7200</v>
      </c>
      <c r="E32" s="302">
        <v>0</v>
      </c>
      <c r="F32" s="302">
        <v>0</v>
      </c>
      <c r="G32" s="303" t="s">
        <v>144</v>
      </c>
      <c r="H32" s="302">
        <v>6055.22</v>
      </c>
      <c r="I32" s="302">
        <v>0</v>
      </c>
      <c r="J32" s="302">
        <v>0</v>
      </c>
      <c r="K32" s="303" t="s">
        <v>144</v>
      </c>
      <c r="L32" s="110"/>
      <c r="O32" s="356"/>
      <c r="P32" s="352">
        <f t="shared" si="1"/>
        <v>0</v>
      </c>
      <c r="Q32" s="352">
        <f t="shared" si="2"/>
        <v>0</v>
      </c>
      <c r="R32" s="353">
        <f t="shared" si="3"/>
        <v>0</v>
      </c>
    </row>
    <row r="33" spans="2:18" ht="15">
      <c r="B33" s="425"/>
      <c r="C33" s="313" t="s">
        <v>101</v>
      </c>
      <c r="D33" s="301">
        <v>2330.88</v>
      </c>
      <c r="E33" s="302">
        <v>2030.88</v>
      </c>
      <c r="F33" s="302">
        <v>474.4015</v>
      </c>
      <c r="G33" s="303">
        <v>-76.64059422516347</v>
      </c>
      <c r="H33" s="302">
        <v>5725.8</v>
      </c>
      <c r="I33" s="302">
        <v>4648.64</v>
      </c>
      <c r="J33" s="302">
        <v>1944.21</v>
      </c>
      <c r="K33" s="303">
        <v>-58.176800096372276</v>
      </c>
      <c r="L33" s="110"/>
      <c r="O33" s="356"/>
      <c r="P33" s="352">
        <f t="shared" si="1"/>
        <v>-1556.4785000000002</v>
      </c>
      <c r="Q33" s="352">
        <f t="shared" si="2"/>
        <v>-2704.4300000000003</v>
      </c>
      <c r="R33" s="353">
        <f t="shared" si="3"/>
        <v>4.098237463414429</v>
      </c>
    </row>
    <row r="34" spans="2:18" ht="15">
      <c r="B34" s="425"/>
      <c r="C34" s="313" t="s">
        <v>96</v>
      </c>
      <c r="D34" s="301">
        <v>3110.8077</v>
      </c>
      <c r="E34" s="302">
        <v>2552.8077</v>
      </c>
      <c r="F34" s="302">
        <v>173888.54</v>
      </c>
      <c r="G34" s="303">
        <v>6711.6583947940935</v>
      </c>
      <c r="H34" s="302">
        <v>4846.97</v>
      </c>
      <c r="I34" s="302">
        <v>4271.55</v>
      </c>
      <c r="J34" s="302">
        <v>877238.26</v>
      </c>
      <c r="K34" s="303">
        <v>20436.7667474336</v>
      </c>
      <c r="L34" s="110"/>
      <c r="O34" s="356"/>
      <c r="P34" s="352">
        <f t="shared" si="1"/>
        <v>171335.7323</v>
      </c>
      <c r="Q34" s="352">
        <f t="shared" si="2"/>
        <v>872966.71</v>
      </c>
      <c r="R34" s="353">
        <f t="shared" si="3"/>
        <v>5.044830786433654</v>
      </c>
    </row>
    <row r="35" spans="2:18" ht="15">
      <c r="B35" s="425"/>
      <c r="C35" s="313" t="s">
        <v>117</v>
      </c>
      <c r="D35" s="301">
        <v>77.05</v>
      </c>
      <c r="E35" s="302">
        <v>77.05</v>
      </c>
      <c r="F35" s="302">
        <v>28784.45</v>
      </c>
      <c r="G35" s="303">
        <v>37258.144062297215</v>
      </c>
      <c r="H35" s="302">
        <v>1873.64</v>
      </c>
      <c r="I35" s="302">
        <v>1873.64</v>
      </c>
      <c r="J35" s="302">
        <v>151045.15</v>
      </c>
      <c r="K35" s="303">
        <v>7961.588672316986</v>
      </c>
      <c r="L35" s="110"/>
      <c r="O35" s="356"/>
      <c r="P35" s="352">
        <f t="shared" si="1"/>
        <v>28707.4</v>
      </c>
      <c r="Q35" s="352">
        <f t="shared" si="2"/>
        <v>149171.50999999998</v>
      </c>
      <c r="R35" s="353">
        <f t="shared" si="3"/>
        <v>5.2474565260062285</v>
      </c>
    </row>
    <row r="36" spans="2:18" ht="15">
      <c r="B36" s="425"/>
      <c r="C36" s="313" t="s">
        <v>100</v>
      </c>
      <c r="D36" s="301">
        <v>353</v>
      </c>
      <c r="E36" s="302">
        <v>293</v>
      </c>
      <c r="F36" s="302">
        <v>847.5</v>
      </c>
      <c r="G36" s="303">
        <v>189.24914675767917</v>
      </c>
      <c r="H36" s="302">
        <v>1655.98</v>
      </c>
      <c r="I36" s="302">
        <v>1307.96</v>
      </c>
      <c r="J36" s="302">
        <v>3898.92</v>
      </c>
      <c r="K36" s="303">
        <v>198.0916847610019</v>
      </c>
      <c r="L36" s="110"/>
      <c r="O36" s="356"/>
      <c r="P36" s="352">
        <f t="shared" si="1"/>
        <v>554.5</v>
      </c>
      <c r="Q36" s="352">
        <f t="shared" si="2"/>
        <v>2590.96</v>
      </c>
      <c r="R36" s="353">
        <f t="shared" si="3"/>
        <v>4.600495575221239</v>
      </c>
    </row>
    <row r="37" spans="2:18" ht="15">
      <c r="B37" s="425"/>
      <c r="C37" s="313" t="s">
        <v>97</v>
      </c>
      <c r="D37" s="301">
        <v>160</v>
      </c>
      <c r="E37" s="302">
        <v>160</v>
      </c>
      <c r="F37" s="302">
        <v>0</v>
      </c>
      <c r="G37" s="303">
        <v>-100</v>
      </c>
      <c r="H37" s="302">
        <v>1123.27</v>
      </c>
      <c r="I37" s="302">
        <v>1123.27</v>
      </c>
      <c r="J37" s="302">
        <v>0</v>
      </c>
      <c r="K37" s="303">
        <v>-100</v>
      </c>
      <c r="L37" s="110"/>
      <c r="O37" s="356"/>
      <c r="P37" s="352">
        <f t="shared" si="1"/>
        <v>-160</v>
      </c>
      <c r="Q37" s="352">
        <f t="shared" si="2"/>
        <v>-1123.27</v>
      </c>
      <c r="R37" s="353">
        <f t="shared" si="3"/>
        <v>0</v>
      </c>
    </row>
    <row r="38" spans="2:18" ht="15">
      <c r="B38" s="425"/>
      <c r="C38" s="313" t="s">
        <v>163</v>
      </c>
      <c r="D38" s="301">
        <v>69.53</v>
      </c>
      <c r="E38" s="302">
        <v>41.7</v>
      </c>
      <c r="F38" s="302">
        <v>80.24</v>
      </c>
      <c r="G38" s="303">
        <v>92.42206235011987</v>
      </c>
      <c r="H38" s="302">
        <v>510.15</v>
      </c>
      <c r="I38" s="302">
        <v>465.63</v>
      </c>
      <c r="J38" s="302">
        <v>825.82</v>
      </c>
      <c r="K38" s="303">
        <v>77.35541094860727</v>
      </c>
      <c r="L38" s="110"/>
      <c r="O38" s="356"/>
      <c r="P38" s="352">
        <f t="shared" si="1"/>
        <v>38.53999999999999</v>
      </c>
      <c r="Q38" s="352">
        <f t="shared" si="2"/>
        <v>360.19000000000005</v>
      </c>
      <c r="R38" s="353">
        <f t="shared" si="3"/>
        <v>10.291874376869393</v>
      </c>
    </row>
    <row r="39" spans="2:18" ht="15">
      <c r="B39" s="425"/>
      <c r="C39" s="313" t="s">
        <v>191</v>
      </c>
      <c r="D39" s="301">
        <v>3</v>
      </c>
      <c r="E39" s="302">
        <v>3</v>
      </c>
      <c r="F39" s="302">
        <v>0</v>
      </c>
      <c r="G39" s="303">
        <v>-100</v>
      </c>
      <c r="H39" s="302">
        <v>230.91</v>
      </c>
      <c r="I39" s="302">
        <v>230.91</v>
      </c>
      <c r="J39" s="302">
        <v>0</v>
      </c>
      <c r="K39" s="303">
        <v>-100</v>
      </c>
      <c r="L39" s="110"/>
      <c r="O39" s="356"/>
      <c r="P39" s="352">
        <f t="shared" si="1"/>
        <v>-3</v>
      </c>
      <c r="Q39" s="352">
        <f t="shared" si="2"/>
        <v>-230.91</v>
      </c>
      <c r="R39" s="353">
        <f t="shared" si="3"/>
        <v>0</v>
      </c>
    </row>
    <row r="40" spans="2:18" ht="15">
      <c r="B40" s="425"/>
      <c r="C40" s="313" t="s">
        <v>95</v>
      </c>
      <c r="D40" s="301">
        <v>3.34</v>
      </c>
      <c r="E40" s="302">
        <v>3.34</v>
      </c>
      <c r="F40" s="302">
        <v>0</v>
      </c>
      <c r="G40" s="303">
        <v>-100</v>
      </c>
      <c r="H40" s="302">
        <v>139.17</v>
      </c>
      <c r="I40" s="302">
        <v>139.17</v>
      </c>
      <c r="J40" s="302">
        <v>0</v>
      </c>
      <c r="K40" s="303">
        <v>-100</v>
      </c>
      <c r="L40" s="110"/>
      <c r="O40" s="356"/>
      <c r="P40" s="352">
        <f t="shared" si="1"/>
        <v>-3.34</v>
      </c>
      <c r="Q40" s="352">
        <f t="shared" si="2"/>
        <v>-139.17</v>
      </c>
      <c r="R40" s="353">
        <f t="shared" si="3"/>
        <v>0</v>
      </c>
    </row>
    <row r="41" spans="2:18" ht="15">
      <c r="B41" s="425"/>
      <c r="C41" s="313" t="s">
        <v>185</v>
      </c>
      <c r="D41" s="301">
        <v>10.05</v>
      </c>
      <c r="E41" s="302">
        <v>10.05</v>
      </c>
      <c r="F41" s="302">
        <v>0</v>
      </c>
      <c r="G41" s="303">
        <v>-100</v>
      </c>
      <c r="H41" s="302">
        <v>51.27</v>
      </c>
      <c r="I41" s="302">
        <v>51.27</v>
      </c>
      <c r="J41" s="302">
        <v>0</v>
      </c>
      <c r="K41" s="303">
        <v>-100</v>
      </c>
      <c r="L41" s="110"/>
      <c r="O41" s="356"/>
      <c r="P41" s="352">
        <f t="shared" si="1"/>
        <v>-10.05</v>
      </c>
      <c r="Q41" s="352">
        <f t="shared" si="2"/>
        <v>-51.27</v>
      </c>
      <c r="R41" s="353">
        <f t="shared" si="3"/>
        <v>0</v>
      </c>
    </row>
    <row r="42" spans="2:18" ht="15">
      <c r="B42" s="425"/>
      <c r="C42" s="313" t="s">
        <v>94</v>
      </c>
      <c r="D42" s="301">
        <v>0</v>
      </c>
      <c r="E42" s="302">
        <v>0</v>
      </c>
      <c r="F42" s="302">
        <v>44.6602</v>
      </c>
      <c r="G42" s="303" t="s">
        <v>144</v>
      </c>
      <c r="H42" s="302">
        <v>0</v>
      </c>
      <c r="I42" s="302">
        <v>0</v>
      </c>
      <c r="J42" s="302">
        <v>533.69</v>
      </c>
      <c r="K42" s="303" t="s">
        <v>144</v>
      </c>
      <c r="L42" s="110"/>
      <c r="O42" s="356"/>
      <c r="P42" s="352">
        <f t="shared" si="1"/>
        <v>44.6602</v>
      </c>
      <c r="Q42" s="352">
        <f t="shared" si="2"/>
        <v>533.69</v>
      </c>
      <c r="R42" s="353">
        <f t="shared" si="3"/>
        <v>11.950013658693871</v>
      </c>
    </row>
    <row r="43" spans="2:19" s="212" customFormat="1" ht="15">
      <c r="B43" s="425"/>
      <c r="C43" s="313" t="s">
        <v>74</v>
      </c>
      <c r="D43" s="301">
        <v>0</v>
      </c>
      <c r="E43" s="302">
        <v>0</v>
      </c>
      <c r="F43" s="302">
        <v>43202.5192</v>
      </c>
      <c r="G43" s="303" t="s">
        <v>144</v>
      </c>
      <c r="H43" s="302">
        <v>0</v>
      </c>
      <c r="I43" s="302">
        <v>0</v>
      </c>
      <c r="J43" s="302">
        <v>54652.5</v>
      </c>
      <c r="K43" s="303" t="s">
        <v>144</v>
      </c>
      <c r="L43" s="220"/>
      <c r="N43" s="143"/>
      <c r="O43" s="356"/>
      <c r="P43" s="352">
        <f t="shared" si="1"/>
        <v>43202.5192</v>
      </c>
      <c r="Q43" s="352">
        <f t="shared" si="2"/>
        <v>54652.5</v>
      </c>
      <c r="R43" s="353">
        <f t="shared" si="3"/>
        <v>1.2650303966533507</v>
      </c>
      <c r="S43" s="143"/>
    </row>
    <row r="44" spans="2:19" s="212" customFormat="1" ht="15">
      <c r="B44" s="425"/>
      <c r="C44" s="313" t="s">
        <v>93</v>
      </c>
      <c r="D44" s="301">
        <v>0</v>
      </c>
      <c r="E44" s="302">
        <v>0</v>
      </c>
      <c r="F44" s="302">
        <v>2160</v>
      </c>
      <c r="G44" s="303" t="s">
        <v>144</v>
      </c>
      <c r="H44" s="302">
        <v>0</v>
      </c>
      <c r="I44" s="302">
        <v>0</v>
      </c>
      <c r="J44" s="302">
        <v>4147.25</v>
      </c>
      <c r="K44" s="303" t="s">
        <v>144</v>
      </c>
      <c r="L44" s="220"/>
      <c r="N44" s="143"/>
      <c r="O44" s="356"/>
      <c r="P44" s="352">
        <f t="shared" si="1"/>
        <v>2160</v>
      </c>
      <c r="Q44" s="352">
        <f t="shared" si="2"/>
        <v>4147.25</v>
      </c>
      <c r="R44" s="353">
        <f t="shared" si="3"/>
        <v>1.9200231481481482</v>
      </c>
      <c r="S44" s="143"/>
    </row>
    <row r="45" spans="2:19" s="212" customFormat="1" ht="15">
      <c r="B45" s="425"/>
      <c r="C45" s="313" t="s">
        <v>98</v>
      </c>
      <c r="D45" s="301">
        <v>0</v>
      </c>
      <c r="E45" s="302">
        <v>0</v>
      </c>
      <c r="F45" s="302">
        <v>938570</v>
      </c>
      <c r="G45" s="303" t="s">
        <v>144</v>
      </c>
      <c r="H45" s="302">
        <v>0</v>
      </c>
      <c r="I45" s="302">
        <v>0</v>
      </c>
      <c r="J45" s="302">
        <v>1468278.25</v>
      </c>
      <c r="K45" s="303" t="s">
        <v>144</v>
      </c>
      <c r="L45" s="220"/>
      <c r="N45" s="143"/>
      <c r="O45" s="356"/>
      <c r="P45" s="352">
        <f t="shared" si="1"/>
        <v>938570</v>
      </c>
      <c r="Q45" s="352">
        <f t="shared" si="2"/>
        <v>1468278.25</v>
      </c>
      <c r="R45" s="353">
        <f t="shared" si="3"/>
        <v>1.564377989920837</v>
      </c>
      <c r="S45" s="143"/>
    </row>
    <row r="46" spans="2:19" s="212" customFormat="1" ht="15">
      <c r="B46" s="429"/>
      <c r="C46" s="313" t="s">
        <v>78</v>
      </c>
      <c r="D46" s="301">
        <v>0</v>
      </c>
      <c r="E46" s="302">
        <v>0</v>
      </c>
      <c r="F46" s="302">
        <v>3600</v>
      </c>
      <c r="G46" s="303" t="s">
        <v>144</v>
      </c>
      <c r="H46" s="302">
        <v>0</v>
      </c>
      <c r="I46" s="302">
        <v>0</v>
      </c>
      <c r="J46" s="302">
        <v>597.7</v>
      </c>
      <c r="K46" s="303" t="s">
        <v>144</v>
      </c>
      <c r="L46" s="220"/>
      <c r="N46" s="143"/>
      <c r="O46" s="356"/>
      <c r="P46" s="352">
        <f t="shared" si="1"/>
        <v>3600</v>
      </c>
      <c r="Q46" s="352">
        <f t="shared" si="2"/>
        <v>597.7</v>
      </c>
      <c r="R46" s="353">
        <f t="shared" si="3"/>
        <v>0.1660277777777778</v>
      </c>
      <c r="S46" s="143"/>
    </row>
    <row r="47" spans="2:18" ht="15">
      <c r="B47" s="125" t="s">
        <v>112</v>
      </c>
      <c r="C47" s="126"/>
      <c r="D47" s="59">
        <v>4219727.816999999</v>
      </c>
      <c r="E47" s="60">
        <v>3041298.2687999997</v>
      </c>
      <c r="F47" s="60">
        <v>4108940.8126999997</v>
      </c>
      <c r="G47" s="61">
        <v>35.10482858102759</v>
      </c>
      <c r="H47" s="60">
        <v>9536483.35</v>
      </c>
      <c r="I47" s="60">
        <v>6431340.940000001</v>
      </c>
      <c r="J47" s="60">
        <v>9162748.799999999</v>
      </c>
      <c r="K47" s="61">
        <v>42.47026997141279</v>
      </c>
      <c r="L47" s="110"/>
      <c r="O47" s="355">
        <f>+J47/$J$99</f>
        <v>0.10741504990936807</v>
      </c>
      <c r="P47" s="352">
        <f t="shared" si="1"/>
        <v>1067642.5439</v>
      </c>
      <c r="Q47" s="352">
        <f t="shared" si="2"/>
        <v>2731407.8599999975</v>
      </c>
      <c r="R47" s="353">
        <f t="shared" si="3"/>
        <v>2.229953951071669</v>
      </c>
    </row>
    <row r="48" spans="2:18" ht="15">
      <c r="B48" s="432" t="s">
        <v>73</v>
      </c>
      <c r="C48" s="313" t="s">
        <v>93</v>
      </c>
      <c r="D48" s="301">
        <v>2660412.816</v>
      </c>
      <c r="E48" s="302">
        <v>2241967.816</v>
      </c>
      <c r="F48" s="302">
        <v>2575580.862</v>
      </c>
      <c r="G48" s="303">
        <v>14.88036731032183</v>
      </c>
      <c r="H48" s="302">
        <v>3289548.32</v>
      </c>
      <c r="I48" s="302">
        <v>2786706.12</v>
      </c>
      <c r="J48" s="302">
        <v>3134536.09</v>
      </c>
      <c r="K48" s="303">
        <v>12.481760007043707</v>
      </c>
      <c r="L48" s="111"/>
      <c r="O48" s="356"/>
      <c r="P48" s="352">
        <f t="shared" si="1"/>
        <v>333613.0460000001</v>
      </c>
      <c r="Q48" s="352">
        <f t="shared" si="2"/>
        <v>347829.96999999974</v>
      </c>
      <c r="R48" s="353">
        <f t="shared" si="3"/>
        <v>1.2170210363987397</v>
      </c>
    </row>
    <row r="49" spans="2:18" ht="15">
      <c r="B49" s="433"/>
      <c r="C49" s="313" t="s">
        <v>127</v>
      </c>
      <c r="D49" s="301">
        <v>2234673.5538</v>
      </c>
      <c r="E49" s="302">
        <v>2033973.5538</v>
      </c>
      <c r="F49" s="302">
        <v>1597476.1</v>
      </c>
      <c r="G49" s="303">
        <v>-21.460330837857132</v>
      </c>
      <c r="H49" s="302">
        <v>2868270.42</v>
      </c>
      <c r="I49" s="302">
        <v>2623640.19</v>
      </c>
      <c r="J49" s="302">
        <v>1918420.92</v>
      </c>
      <c r="K49" s="303">
        <v>-26.879420154026533</v>
      </c>
      <c r="L49" s="110"/>
      <c r="O49" s="356"/>
      <c r="P49" s="352">
        <f t="shared" si="1"/>
        <v>-436497.4538</v>
      </c>
      <c r="Q49" s="352">
        <f t="shared" si="2"/>
        <v>-705219.27</v>
      </c>
      <c r="R49" s="353">
        <f t="shared" si="3"/>
        <v>1.2009074314163446</v>
      </c>
    </row>
    <row r="50" spans="2:18" ht="15">
      <c r="B50" s="433"/>
      <c r="C50" s="313" t="s">
        <v>125</v>
      </c>
      <c r="D50" s="301">
        <v>935896.8542</v>
      </c>
      <c r="E50" s="302">
        <v>634722.1041</v>
      </c>
      <c r="F50" s="302">
        <v>835078.502</v>
      </c>
      <c r="G50" s="303">
        <v>31.56600291777991</v>
      </c>
      <c r="H50" s="302">
        <v>1328296.29</v>
      </c>
      <c r="I50" s="302">
        <v>896802.92</v>
      </c>
      <c r="J50" s="302">
        <v>1220817.54</v>
      </c>
      <c r="K50" s="303">
        <v>36.12996933596069</v>
      </c>
      <c r="L50" s="110"/>
      <c r="O50" s="356"/>
      <c r="P50" s="352">
        <f t="shared" si="1"/>
        <v>200356.39789999998</v>
      </c>
      <c r="Q50" s="352">
        <f t="shared" si="2"/>
        <v>324014.62</v>
      </c>
      <c r="R50" s="353">
        <f t="shared" si="3"/>
        <v>1.4619194926898023</v>
      </c>
    </row>
    <row r="51" spans="2:18" ht="15">
      <c r="B51" s="433"/>
      <c r="C51" s="313" t="s">
        <v>99</v>
      </c>
      <c r="D51" s="301">
        <v>695525</v>
      </c>
      <c r="E51" s="302">
        <v>677375</v>
      </c>
      <c r="F51" s="302">
        <v>108900</v>
      </c>
      <c r="G51" s="303">
        <v>-83.92323306883189</v>
      </c>
      <c r="H51" s="302">
        <v>883600.42</v>
      </c>
      <c r="I51" s="302">
        <v>860313.34</v>
      </c>
      <c r="J51" s="302">
        <v>140524.55</v>
      </c>
      <c r="K51" s="303">
        <v>-83.66588736145832</v>
      </c>
      <c r="L51" s="110"/>
      <c r="O51" s="356"/>
      <c r="P51" s="352">
        <f t="shared" si="1"/>
        <v>-568475</v>
      </c>
      <c r="Q51" s="352">
        <f t="shared" si="2"/>
        <v>-719788.79</v>
      </c>
      <c r="R51" s="353">
        <f t="shared" si="3"/>
        <v>1.2903999081726354</v>
      </c>
    </row>
    <row r="52" spans="2:18" ht="15">
      <c r="B52" s="433"/>
      <c r="C52" s="313" t="s">
        <v>179</v>
      </c>
      <c r="D52" s="301">
        <v>595511.8538</v>
      </c>
      <c r="E52" s="302">
        <v>595511.8538</v>
      </c>
      <c r="F52" s="302">
        <v>458834.56</v>
      </c>
      <c r="G52" s="303">
        <v>-22.95122975770395</v>
      </c>
      <c r="H52" s="302">
        <v>678360</v>
      </c>
      <c r="I52" s="302">
        <v>678360</v>
      </c>
      <c r="J52" s="302">
        <v>506250.97</v>
      </c>
      <c r="K52" s="303">
        <v>-25.371341175776873</v>
      </c>
      <c r="L52" s="110"/>
      <c r="O52" s="356"/>
      <c r="P52" s="352">
        <f t="shared" si="1"/>
        <v>-136677.29380000004</v>
      </c>
      <c r="Q52" s="352">
        <f t="shared" si="2"/>
        <v>-172109.03000000003</v>
      </c>
      <c r="R52" s="353">
        <f t="shared" si="3"/>
        <v>1.1033409732693196</v>
      </c>
    </row>
    <row r="53" spans="2:18" ht="15">
      <c r="B53" s="433"/>
      <c r="C53" s="313" t="s">
        <v>94</v>
      </c>
      <c r="D53" s="301">
        <v>310824.5</v>
      </c>
      <c r="E53" s="302">
        <v>297216.5</v>
      </c>
      <c r="F53" s="302">
        <v>171457.8</v>
      </c>
      <c r="G53" s="303">
        <v>-42.312152925560994</v>
      </c>
      <c r="H53" s="302">
        <v>403314.86</v>
      </c>
      <c r="I53" s="302">
        <v>382071.94</v>
      </c>
      <c r="J53" s="302">
        <v>234253.67</v>
      </c>
      <c r="K53" s="303">
        <v>-38.688596184268334</v>
      </c>
      <c r="L53" s="110"/>
      <c r="O53" s="356"/>
      <c r="P53" s="352">
        <f t="shared" si="1"/>
        <v>-125758.70000000001</v>
      </c>
      <c r="Q53" s="352">
        <f t="shared" si="2"/>
        <v>-147818.27</v>
      </c>
      <c r="R53" s="353">
        <f t="shared" si="3"/>
        <v>1.3662467965878486</v>
      </c>
    </row>
    <row r="54" spans="2:18" ht="15">
      <c r="B54" s="433"/>
      <c r="C54" s="313" t="s">
        <v>96</v>
      </c>
      <c r="D54" s="301">
        <v>595</v>
      </c>
      <c r="E54" s="302">
        <v>0</v>
      </c>
      <c r="F54" s="302">
        <v>0</v>
      </c>
      <c r="G54" s="303" t="s">
        <v>144</v>
      </c>
      <c r="H54" s="302">
        <v>1133.24</v>
      </c>
      <c r="I54" s="302">
        <v>0</v>
      </c>
      <c r="J54" s="302">
        <v>0</v>
      </c>
      <c r="K54" s="303" t="s">
        <v>144</v>
      </c>
      <c r="L54" s="110"/>
      <c r="O54" s="356"/>
      <c r="P54" s="352">
        <f t="shared" si="1"/>
        <v>0</v>
      </c>
      <c r="Q54" s="352">
        <f t="shared" si="2"/>
        <v>0</v>
      </c>
      <c r="R54" s="353">
        <f t="shared" si="3"/>
        <v>0</v>
      </c>
    </row>
    <row r="55" spans="2:19" s="212" customFormat="1" ht="15">
      <c r="B55" s="433"/>
      <c r="C55" s="313" t="s">
        <v>117</v>
      </c>
      <c r="D55" s="301">
        <v>24.3</v>
      </c>
      <c r="E55" s="302">
        <v>5.8</v>
      </c>
      <c r="F55" s="302">
        <v>16.5</v>
      </c>
      <c r="G55" s="303">
        <v>184.48275862068968</v>
      </c>
      <c r="H55" s="302">
        <v>406.01</v>
      </c>
      <c r="I55" s="302">
        <v>144.22</v>
      </c>
      <c r="J55" s="302">
        <v>348.7</v>
      </c>
      <c r="K55" s="303">
        <v>141.7833864928581</v>
      </c>
      <c r="L55" s="220"/>
      <c r="N55" s="143"/>
      <c r="O55" s="356"/>
      <c r="P55" s="352">
        <f t="shared" si="1"/>
        <v>10.7</v>
      </c>
      <c r="Q55" s="352">
        <f t="shared" si="2"/>
        <v>204.48</v>
      </c>
      <c r="R55" s="353">
        <f t="shared" si="3"/>
        <v>21.133333333333333</v>
      </c>
      <c r="S55" s="143"/>
    </row>
    <row r="56" spans="2:19" s="212" customFormat="1" ht="15">
      <c r="B56" s="433"/>
      <c r="C56" s="313" t="s">
        <v>175</v>
      </c>
      <c r="D56" s="301">
        <v>4</v>
      </c>
      <c r="E56" s="302">
        <v>0</v>
      </c>
      <c r="F56" s="302">
        <v>9</v>
      </c>
      <c r="G56" s="303" t="s">
        <v>144</v>
      </c>
      <c r="H56" s="302">
        <v>67.16</v>
      </c>
      <c r="I56" s="302">
        <v>0</v>
      </c>
      <c r="J56" s="302">
        <v>170.42</v>
      </c>
      <c r="K56" s="303" t="s">
        <v>144</v>
      </c>
      <c r="L56" s="220"/>
      <c r="N56" s="143"/>
      <c r="O56" s="356"/>
      <c r="P56" s="352">
        <f t="shared" si="1"/>
        <v>9</v>
      </c>
      <c r="Q56" s="352">
        <f t="shared" si="2"/>
        <v>170.42</v>
      </c>
      <c r="R56" s="353">
        <f t="shared" si="3"/>
        <v>18.935555555555553</v>
      </c>
      <c r="S56" s="143"/>
    </row>
    <row r="57" spans="2:19" s="212" customFormat="1" ht="15">
      <c r="B57" s="433"/>
      <c r="C57" s="313" t="s">
        <v>75</v>
      </c>
      <c r="D57" s="301">
        <v>0</v>
      </c>
      <c r="E57" s="302">
        <v>0</v>
      </c>
      <c r="F57" s="302">
        <v>140</v>
      </c>
      <c r="G57" s="303" t="s">
        <v>144</v>
      </c>
      <c r="H57" s="302">
        <v>0</v>
      </c>
      <c r="I57" s="302">
        <v>0</v>
      </c>
      <c r="J57" s="302">
        <v>1891.74</v>
      </c>
      <c r="K57" s="303" t="s">
        <v>144</v>
      </c>
      <c r="L57" s="220"/>
      <c r="N57" s="143"/>
      <c r="O57" s="356"/>
      <c r="P57" s="352">
        <f t="shared" si="1"/>
        <v>140</v>
      </c>
      <c r="Q57" s="352">
        <f t="shared" si="2"/>
        <v>1891.74</v>
      </c>
      <c r="R57" s="353">
        <f t="shared" si="3"/>
        <v>13.512428571428572</v>
      </c>
      <c r="S57" s="143"/>
    </row>
    <row r="58" spans="2:19" s="212" customFormat="1" ht="15">
      <c r="B58" s="434"/>
      <c r="C58" s="219" t="s">
        <v>95</v>
      </c>
      <c r="D58" s="214">
        <v>0</v>
      </c>
      <c r="E58" s="215">
        <v>0</v>
      </c>
      <c r="F58" s="215">
        <v>15</v>
      </c>
      <c r="G58" s="216" t="s">
        <v>144</v>
      </c>
      <c r="H58" s="215">
        <v>0</v>
      </c>
      <c r="I58" s="215">
        <v>0</v>
      </c>
      <c r="J58" s="215">
        <v>20.85</v>
      </c>
      <c r="K58" s="216" t="s">
        <v>144</v>
      </c>
      <c r="L58" s="220"/>
      <c r="N58" s="143"/>
      <c r="O58" s="356"/>
      <c r="P58" s="352">
        <f t="shared" si="1"/>
        <v>15</v>
      </c>
      <c r="Q58" s="352">
        <f t="shared" si="2"/>
        <v>20.85</v>
      </c>
      <c r="R58" s="353">
        <f t="shared" si="3"/>
        <v>1.3900000000000001</v>
      </c>
      <c r="S58" s="143"/>
    </row>
    <row r="59" spans="2:18" ht="15">
      <c r="B59" s="125" t="s">
        <v>113</v>
      </c>
      <c r="C59" s="126"/>
      <c r="D59" s="59">
        <v>7433467.877799999</v>
      </c>
      <c r="E59" s="60">
        <v>6480772.6277</v>
      </c>
      <c r="F59" s="60">
        <v>5747508.324</v>
      </c>
      <c r="G59" s="61">
        <v>-11.314458102817792</v>
      </c>
      <c r="H59" s="60">
        <v>9452996.719999999</v>
      </c>
      <c r="I59" s="60">
        <v>8228038.7299999995</v>
      </c>
      <c r="J59" s="60">
        <v>7157235.449999999</v>
      </c>
      <c r="K59" s="61">
        <v>-13.014076806612218</v>
      </c>
      <c r="L59" s="110"/>
      <c r="O59" s="355">
        <f>+J59/$J$99</f>
        <v>0.08390438501106223</v>
      </c>
      <c r="P59" s="352">
        <f t="shared" si="1"/>
        <v>-733264.3037</v>
      </c>
      <c r="Q59" s="352">
        <f t="shared" si="2"/>
        <v>-1070803.2800000003</v>
      </c>
      <c r="R59" s="353">
        <f t="shared" si="3"/>
        <v>1.2452762217173954</v>
      </c>
    </row>
    <row r="60" spans="2:18" ht="12.75" customHeight="1">
      <c r="B60" s="428" t="s">
        <v>81</v>
      </c>
      <c r="C60" s="313" t="s">
        <v>127</v>
      </c>
      <c r="D60" s="301">
        <v>570650</v>
      </c>
      <c r="E60" s="302">
        <v>453750</v>
      </c>
      <c r="F60" s="302">
        <v>375302.2692</v>
      </c>
      <c r="G60" s="303">
        <v>-17.288756099173565</v>
      </c>
      <c r="H60" s="302">
        <v>719399.28</v>
      </c>
      <c r="I60" s="302">
        <v>550567.48</v>
      </c>
      <c r="J60" s="302">
        <v>413819.07</v>
      </c>
      <c r="K60" s="303">
        <v>-24.837720164656286</v>
      </c>
      <c r="L60" s="110"/>
      <c r="O60" s="357"/>
      <c r="P60" s="352">
        <f t="shared" si="1"/>
        <v>-78447.73080000002</v>
      </c>
      <c r="Q60" s="352">
        <f t="shared" si="2"/>
        <v>-136748.40999999997</v>
      </c>
      <c r="R60" s="353">
        <f t="shared" si="3"/>
        <v>1.102628744777118</v>
      </c>
    </row>
    <row r="61" spans="2:18" ht="12.75">
      <c r="B61" s="425"/>
      <c r="C61" s="313" t="s">
        <v>125</v>
      </c>
      <c r="D61" s="301">
        <v>273566.1</v>
      </c>
      <c r="E61" s="302">
        <v>273566.1</v>
      </c>
      <c r="F61" s="302">
        <v>323190</v>
      </c>
      <c r="G61" s="303">
        <v>18.1396379156628</v>
      </c>
      <c r="H61" s="302">
        <v>364902.47</v>
      </c>
      <c r="I61" s="302">
        <v>364902.47</v>
      </c>
      <c r="J61" s="302">
        <v>351811.57</v>
      </c>
      <c r="K61" s="303">
        <v>-3.5875065466122957</v>
      </c>
      <c r="L61" s="110"/>
      <c r="O61" s="357"/>
      <c r="P61" s="352">
        <f t="shared" si="1"/>
        <v>49623.90000000002</v>
      </c>
      <c r="Q61" s="352">
        <f t="shared" si="2"/>
        <v>-13090.899999999965</v>
      </c>
      <c r="R61" s="353">
        <f t="shared" si="3"/>
        <v>1.0885595779572388</v>
      </c>
    </row>
    <row r="62" spans="2:18" ht="12.75">
      <c r="B62" s="425"/>
      <c r="C62" s="313" t="s">
        <v>97</v>
      </c>
      <c r="D62" s="301">
        <v>357004.325</v>
      </c>
      <c r="E62" s="302">
        <v>294004.325</v>
      </c>
      <c r="F62" s="302">
        <v>189000</v>
      </c>
      <c r="G62" s="303">
        <v>-35.715231400082295</v>
      </c>
      <c r="H62" s="302">
        <v>258063.97</v>
      </c>
      <c r="I62" s="302">
        <v>213741.17</v>
      </c>
      <c r="J62" s="302">
        <v>133601.53</v>
      </c>
      <c r="K62" s="303">
        <v>-37.493778105547</v>
      </c>
      <c r="L62" s="110"/>
      <c r="O62" s="357"/>
      <c r="P62" s="352">
        <f t="shared" si="1"/>
        <v>-105004.32500000001</v>
      </c>
      <c r="Q62" s="352">
        <f t="shared" si="2"/>
        <v>-80139.64000000001</v>
      </c>
      <c r="R62" s="353">
        <f t="shared" si="3"/>
        <v>0.7068864021164021</v>
      </c>
    </row>
    <row r="63" spans="2:18" ht="12.75">
      <c r="B63" s="425"/>
      <c r="C63" s="313" t="s">
        <v>99</v>
      </c>
      <c r="D63" s="301">
        <v>312850</v>
      </c>
      <c r="E63" s="302">
        <v>312850</v>
      </c>
      <c r="F63" s="302">
        <v>368750</v>
      </c>
      <c r="G63" s="303">
        <v>17.86798785360397</v>
      </c>
      <c r="H63" s="302">
        <v>232309.25</v>
      </c>
      <c r="I63" s="302">
        <v>232309.25</v>
      </c>
      <c r="J63" s="302">
        <v>262713.53</v>
      </c>
      <c r="K63" s="303">
        <v>13.08784734142099</v>
      </c>
      <c r="L63" s="111"/>
      <c r="O63" s="357"/>
      <c r="P63" s="352">
        <f t="shared" si="1"/>
        <v>55900</v>
      </c>
      <c r="Q63" s="352">
        <f t="shared" si="2"/>
        <v>30404.280000000028</v>
      </c>
      <c r="R63" s="353">
        <f t="shared" si="3"/>
        <v>0.7124434711864408</v>
      </c>
    </row>
    <row r="64" spans="2:18" ht="12.75">
      <c r="B64" s="425"/>
      <c r="C64" s="313" t="s">
        <v>93</v>
      </c>
      <c r="D64" s="301">
        <v>301525</v>
      </c>
      <c r="E64" s="302">
        <v>301525</v>
      </c>
      <c r="F64" s="302">
        <v>180000</v>
      </c>
      <c r="G64" s="303">
        <v>-40.30345742475748</v>
      </c>
      <c r="H64" s="302">
        <v>224159.39</v>
      </c>
      <c r="I64" s="302">
        <v>224159.39</v>
      </c>
      <c r="J64" s="302">
        <v>129800</v>
      </c>
      <c r="K64" s="303">
        <v>-42.09477461550908</v>
      </c>
      <c r="L64" s="111"/>
      <c r="O64" s="357"/>
      <c r="P64" s="352">
        <f t="shared" si="1"/>
        <v>-121525</v>
      </c>
      <c r="Q64" s="352">
        <f t="shared" si="2"/>
        <v>-94359.39000000001</v>
      </c>
      <c r="R64" s="353">
        <f t="shared" si="3"/>
        <v>0.7211111111111111</v>
      </c>
    </row>
    <row r="65" spans="2:18" ht="12.75">
      <c r="B65" s="425"/>
      <c r="C65" s="313" t="s">
        <v>95</v>
      </c>
      <c r="D65" s="301">
        <v>139000.5</v>
      </c>
      <c r="E65" s="302">
        <v>139000.5</v>
      </c>
      <c r="F65" s="302">
        <v>141106.3077</v>
      </c>
      <c r="G65" s="303">
        <v>1.5149641188341167</v>
      </c>
      <c r="H65" s="302">
        <v>79274.37</v>
      </c>
      <c r="I65" s="302">
        <v>79274.37</v>
      </c>
      <c r="J65" s="302">
        <v>82104.19</v>
      </c>
      <c r="K65" s="303">
        <v>3.5696530921658587</v>
      </c>
      <c r="L65" s="111"/>
      <c r="O65" s="357"/>
      <c r="P65" s="352">
        <f t="shared" si="1"/>
        <v>2105.807700000005</v>
      </c>
      <c r="Q65" s="352">
        <f t="shared" si="2"/>
        <v>2829.820000000007</v>
      </c>
      <c r="R65" s="353">
        <f t="shared" si="3"/>
        <v>0.5818605230218209</v>
      </c>
    </row>
    <row r="66" spans="2:18" ht="12.75">
      <c r="B66" s="425"/>
      <c r="C66" s="313" t="s">
        <v>98</v>
      </c>
      <c r="D66" s="301">
        <v>45520</v>
      </c>
      <c r="E66" s="302">
        <v>43000</v>
      </c>
      <c r="F66" s="302">
        <v>22000</v>
      </c>
      <c r="G66" s="303">
        <v>-48.837209302325576</v>
      </c>
      <c r="H66" s="302">
        <v>35848.67</v>
      </c>
      <c r="I66" s="302">
        <v>30153.47</v>
      </c>
      <c r="J66" s="302">
        <v>14365</v>
      </c>
      <c r="K66" s="303">
        <v>-52.360375107740495</v>
      </c>
      <c r="L66" s="110"/>
      <c r="O66" s="357"/>
      <c r="P66" s="352">
        <f t="shared" si="1"/>
        <v>-21000</v>
      </c>
      <c r="Q66" s="352">
        <f t="shared" si="2"/>
        <v>-15788.470000000001</v>
      </c>
      <c r="R66" s="353">
        <f t="shared" si="3"/>
        <v>0.6529545454545455</v>
      </c>
    </row>
    <row r="67" spans="2:18" ht="12.75">
      <c r="B67" s="425"/>
      <c r="C67" s="313" t="s">
        <v>173</v>
      </c>
      <c r="D67" s="301">
        <v>40000</v>
      </c>
      <c r="E67" s="302">
        <v>40000</v>
      </c>
      <c r="F67" s="302">
        <v>140360</v>
      </c>
      <c r="G67" s="303">
        <v>250.89999999999998</v>
      </c>
      <c r="H67" s="302">
        <v>25635.99</v>
      </c>
      <c r="I67" s="302">
        <v>25635.99</v>
      </c>
      <c r="J67" s="302">
        <v>92357.54</v>
      </c>
      <c r="K67" s="303">
        <v>260.26515847447274</v>
      </c>
      <c r="L67" s="110"/>
      <c r="O67" s="357"/>
      <c r="P67" s="352">
        <f t="shared" si="1"/>
        <v>100360</v>
      </c>
      <c r="Q67" s="352">
        <f t="shared" si="2"/>
        <v>66721.54999999999</v>
      </c>
      <c r="R67" s="353">
        <f t="shared" si="3"/>
        <v>0.6580047021943574</v>
      </c>
    </row>
    <row r="68" spans="2:18" ht="12.75">
      <c r="B68" s="425"/>
      <c r="C68" s="313" t="s">
        <v>108</v>
      </c>
      <c r="D68" s="301">
        <v>17500</v>
      </c>
      <c r="E68" s="302">
        <v>17500</v>
      </c>
      <c r="F68" s="302">
        <v>0</v>
      </c>
      <c r="G68" s="303">
        <v>-100</v>
      </c>
      <c r="H68" s="302">
        <v>11645.79</v>
      </c>
      <c r="I68" s="302">
        <v>11645.79</v>
      </c>
      <c r="J68" s="302">
        <v>0</v>
      </c>
      <c r="K68" s="303">
        <v>-100</v>
      </c>
      <c r="L68" s="110"/>
      <c r="O68" s="357"/>
      <c r="P68" s="352">
        <f t="shared" si="1"/>
        <v>-17500</v>
      </c>
      <c r="Q68" s="352">
        <f t="shared" si="2"/>
        <v>-11645.79</v>
      </c>
      <c r="R68" s="353">
        <f t="shared" si="3"/>
        <v>0</v>
      </c>
    </row>
    <row r="69" spans="2:18" ht="12.75">
      <c r="B69" s="425"/>
      <c r="C69" s="313" t="s">
        <v>94</v>
      </c>
      <c r="D69" s="301">
        <v>10000</v>
      </c>
      <c r="E69" s="302">
        <v>10000</v>
      </c>
      <c r="F69" s="302">
        <v>0</v>
      </c>
      <c r="G69" s="303">
        <v>-100</v>
      </c>
      <c r="H69" s="302">
        <v>10385.13</v>
      </c>
      <c r="I69" s="302">
        <v>10385.13</v>
      </c>
      <c r="J69" s="302">
        <v>0</v>
      </c>
      <c r="K69" s="303">
        <v>-100</v>
      </c>
      <c r="L69" s="110"/>
      <c r="O69" s="357"/>
      <c r="P69" s="352">
        <f t="shared" si="1"/>
        <v>-10000</v>
      </c>
      <c r="Q69" s="352">
        <f t="shared" si="2"/>
        <v>-10385.13</v>
      </c>
      <c r="R69" s="353">
        <f t="shared" si="3"/>
        <v>0</v>
      </c>
    </row>
    <row r="70" spans="2:18" ht="12.75">
      <c r="B70" s="425"/>
      <c r="C70" s="313" t="s">
        <v>100</v>
      </c>
      <c r="D70" s="301">
        <v>7076</v>
      </c>
      <c r="E70" s="302">
        <v>3000</v>
      </c>
      <c r="F70" s="302">
        <v>2000</v>
      </c>
      <c r="G70" s="303">
        <v>-33.333333333333336</v>
      </c>
      <c r="H70" s="302">
        <v>6012.93</v>
      </c>
      <c r="I70" s="302">
        <v>2188.74</v>
      </c>
      <c r="J70" s="302">
        <v>1395.58</v>
      </c>
      <c r="K70" s="303">
        <v>-36.238200974076406</v>
      </c>
      <c r="L70" s="110"/>
      <c r="O70" s="357"/>
      <c r="P70" s="352">
        <f t="shared" si="1"/>
        <v>-1000</v>
      </c>
      <c r="Q70" s="352">
        <f t="shared" si="2"/>
        <v>-793.1599999999999</v>
      </c>
      <c r="R70" s="353">
        <f t="shared" si="3"/>
        <v>0.6977899999999999</v>
      </c>
    </row>
    <row r="71" spans="2:18" ht="12.75">
      <c r="B71" s="425"/>
      <c r="C71" s="313" t="s">
        <v>163</v>
      </c>
      <c r="D71" s="301">
        <v>112.9692</v>
      </c>
      <c r="E71" s="302">
        <v>112.9692</v>
      </c>
      <c r="F71" s="302">
        <v>0</v>
      </c>
      <c r="G71" s="303">
        <v>-100</v>
      </c>
      <c r="H71" s="302">
        <v>724.35</v>
      </c>
      <c r="I71" s="302">
        <v>724.35</v>
      </c>
      <c r="J71" s="302">
        <v>0</v>
      </c>
      <c r="K71" s="303">
        <v>-100</v>
      </c>
      <c r="L71" s="110"/>
      <c r="O71" s="357"/>
      <c r="P71" s="352">
        <f aca="true" t="shared" si="4" ref="P71:P98">+F71-E71</f>
        <v>-112.9692</v>
      </c>
      <c r="Q71" s="352">
        <f aca="true" t="shared" si="5" ref="Q71:Q98">+J71-I71</f>
        <v>-724.35</v>
      </c>
      <c r="R71" s="353">
        <f aca="true" t="shared" si="6" ref="R71:R99">+IF(F71=0,0,J71/F71)</f>
        <v>0</v>
      </c>
    </row>
    <row r="72" spans="2:18" ht="12.75">
      <c r="B72" s="425"/>
      <c r="C72" s="313" t="s">
        <v>96</v>
      </c>
      <c r="D72" s="301">
        <v>725</v>
      </c>
      <c r="E72" s="302">
        <v>725</v>
      </c>
      <c r="F72" s="302">
        <v>130.8</v>
      </c>
      <c r="G72" s="303">
        <v>-81.95862068965518</v>
      </c>
      <c r="H72" s="302">
        <v>602.82</v>
      </c>
      <c r="I72" s="302">
        <v>602.82</v>
      </c>
      <c r="J72" s="302">
        <v>303.96</v>
      </c>
      <c r="K72" s="303">
        <v>-49.57698815566837</v>
      </c>
      <c r="L72" s="111"/>
      <c r="O72" s="357"/>
      <c r="P72" s="352">
        <f t="shared" si="4"/>
        <v>-594.2</v>
      </c>
      <c r="Q72" s="352">
        <f t="shared" si="5"/>
        <v>-298.86000000000007</v>
      </c>
      <c r="R72" s="353">
        <f t="shared" si="6"/>
        <v>2.323853211009174</v>
      </c>
    </row>
    <row r="73" spans="2:18" ht="15">
      <c r="B73" s="425"/>
      <c r="C73" s="313" t="s">
        <v>78</v>
      </c>
      <c r="D73" s="301">
        <v>1125</v>
      </c>
      <c r="E73" s="302">
        <v>1125</v>
      </c>
      <c r="F73" s="302">
        <v>0</v>
      </c>
      <c r="G73" s="303">
        <v>-100</v>
      </c>
      <c r="H73" s="302">
        <v>161.86</v>
      </c>
      <c r="I73" s="302">
        <v>161.86</v>
      </c>
      <c r="J73" s="302">
        <v>0</v>
      </c>
      <c r="K73" s="303">
        <v>-100</v>
      </c>
      <c r="L73" s="110"/>
      <c r="O73" s="356"/>
      <c r="P73" s="352">
        <f t="shared" si="4"/>
        <v>-1125</v>
      </c>
      <c r="Q73" s="352">
        <f t="shared" si="5"/>
        <v>-161.86</v>
      </c>
      <c r="R73" s="353">
        <f t="shared" si="6"/>
        <v>0</v>
      </c>
    </row>
    <row r="74" spans="2:19" s="212" customFormat="1" ht="15">
      <c r="B74" s="429"/>
      <c r="C74" s="313" t="s">
        <v>75</v>
      </c>
      <c r="D74" s="301">
        <v>0</v>
      </c>
      <c r="E74" s="302">
        <v>0</v>
      </c>
      <c r="F74" s="302">
        <v>2128</v>
      </c>
      <c r="G74" s="303" t="s">
        <v>144</v>
      </c>
      <c r="H74" s="302">
        <v>0</v>
      </c>
      <c r="I74" s="302">
        <v>0</v>
      </c>
      <c r="J74" s="302">
        <v>5393.3</v>
      </c>
      <c r="K74" s="303" t="s">
        <v>144</v>
      </c>
      <c r="L74" s="220"/>
      <c r="N74" s="143"/>
      <c r="O74" s="356"/>
      <c r="P74" s="352">
        <f t="shared" si="4"/>
        <v>2128</v>
      </c>
      <c r="Q74" s="352">
        <f t="shared" si="5"/>
        <v>5393.3</v>
      </c>
      <c r="R74" s="353">
        <f t="shared" si="6"/>
        <v>2.5344454887218046</v>
      </c>
      <c r="S74" s="143"/>
    </row>
    <row r="75" spans="2:18" ht="15">
      <c r="B75" s="125" t="s">
        <v>114</v>
      </c>
      <c r="C75" s="126"/>
      <c r="D75" s="59">
        <v>2076654.8941999997</v>
      </c>
      <c r="E75" s="60">
        <v>1890158.8941999997</v>
      </c>
      <c r="F75" s="60">
        <v>1743967.3769</v>
      </c>
      <c r="G75" s="61">
        <v>-7.734350680706903</v>
      </c>
      <c r="H75" s="60">
        <v>1969126.2700000003</v>
      </c>
      <c r="I75" s="60">
        <v>1746452.2800000003</v>
      </c>
      <c r="J75" s="60">
        <v>1487665.27</v>
      </c>
      <c r="K75" s="61">
        <v>-14.817868942860567</v>
      </c>
      <c r="L75" s="110"/>
      <c r="O75" s="355">
        <f>+J75/$J$99</f>
        <v>0.017439923620462403</v>
      </c>
      <c r="P75" s="352">
        <f t="shared" si="4"/>
        <v>-146191.51729999972</v>
      </c>
      <c r="Q75" s="352">
        <f t="shared" si="5"/>
        <v>-258787.01000000024</v>
      </c>
      <c r="R75" s="353">
        <f t="shared" si="6"/>
        <v>0.8530350336279848</v>
      </c>
    </row>
    <row r="76" spans="2:18" ht="12.75">
      <c r="B76" s="416" t="s">
        <v>123</v>
      </c>
      <c r="C76" s="300" t="s">
        <v>94</v>
      </c>
      <c r="D76" s="301">
        <v>368031.75</v>
      </c>
      <c r="E76" s="302">
        <v>304111.75</v>
      </c>
      <c r="F76" s="302">
        <v>361834.5</v>
      </c>
      <c r="G76" s="303">
        <v>18.980769404667864</v>
      </c>
      <c r="H76" s="302">
        <v>272389.16</v>
      </c>
      <c r="I76" s="302">
        <v>227141.56</v>
      </c>
      <c r="J76" s="302">
        <v>297461.53</v>
      </c>
      <c r="K76" s="303">
        <v>30.95865415382373</v>
      </c>
      <c r="L76" s="110"/>
      <c r="O76" s="357"/>
      <c r="P76" s="352">
        <f t="shared" si="4"/>
        <v>57722.75</v>
      </c>
      <c r="Q76" s="352">
        <f t="shared" si="5"/>
        <v>70319.97000000003</v>
      </c>
      <c r="R76" s="353">
        <f t="shared" si="6"/>
        <v>0.8220927799864304</v>
      </c>
    </row>
    <row r="77" spans="2:18" ht="12.75">
      <c r="B77" s="416"/>
      <c r="C77" s="300" t="s">
        <v>75</v>
      </c>
      <c r="D77" s="301">
        <v>65672.6538</v>
      </c>
      <c r="E77" s="302">
        <v>62072.6538</v>
      </c>
      <c r="F77" s="302">
        <v>26727</v>
      </c>
      <c r="G77" s="303">
        <v>-56.94239191687338</v>
      </c>
      <c r="H77" s="302">
        <v>94172.32</v>
      </c>
      <c r="I77" s="302">
        <v>85347.8</v>
      </c>
      <c r="J77" s="302">
        <v>61040.09</v>
      </c>
      <c r="K77" s="303">
        <v>-28.480769275833715</v>
      </c>
      <c r="L77" s="110"/>
      <c r="O77" s="357"/>
      <c r="P77" s="352">
        <f t="shared" si="4"/>
        <v>-35345.6538</v>
      </c>
      <c r="Q77" s="352">
        <f t="shared" si="5"/>
        <v>-24307.710000000006</v>
      </c>
      <c r="R77" s="353">
        <f t="shared" si="6"/>
        <v>2.2838361956074382</v>
      </c>
    </row>
    <row r="78" spans="2:19" s="212" customFormat="1" ht="12.75">
      <c r="B78" s="416"/>
      <c r="C78" s="300" t="s">
        <v>125</v>
      </c>
      <c r="D78" s="301">
        <v>17178.597</v>
      </c>
      <c r="E78" s="302">
        <v>13871.127</v>
      </c>
      <c r="F78" s="302">
        <v>31422.5374</v>
      </c>
      <c r="G78" s="303">
        <v>126.53197105036958</v>
      </c>
      <c r="H78" s="302">
        <v>85743.33</v>
      </c>
      <c r="I78" s="302">
        <v>72158.72</v>
      </c>
      <c r="J78" s="302">
        <v>68433.07</v>
      </c>
      <c r="K78" s="303">
        <v>-5.1631320511228544</v>
      </c>
      <c r="L78" s="220"/>
      <c r="N78" s="143"/>
      <c r="O78" s="357"/>
      <c r="P78" s="352">
        <f t="shared" si="4"/>
        <v>17551.4104</v>
      </c>
      <c r="Q78" s="352">
        <f t="shared" si="5"/>
        <v>-3725.649999999994</v>
      </c>
      <c r="R78" s="353">
        <f t="shared" si="6"/>
        <v>2.177833989943791</v>
      </c>
      <c r="S78" s="143"/>
    </row>
    <row r="79" spans="2:18" ht="12.75">
      <c r="B79" s="416"/>
      <c r="C79" s="65" t="s">
        <v>96</v>
      </c>
      <c r="D79" s="42">
        <v>0</v>
      </c>
      <c r="E79" s="43">
        <v>0</v>
      </c>
      <c r="F79" s="43">
        <v>6000</v>
      </c>
      <c r="G79" s="44" t="s">
        <v>144</v>
      </c>
      <c r="H79" s="43">
        <v>0</v>
      </c>
      <c r="I79" s="43">
        <v>0</v>
      </c>
      <c r="J79" s="43">
        <v>5700</v>
      </c>
      <c r="K79" s="44" t="s">
        <v>144</v>
      </c>
      <c r="L79" s="110"/>
      <c r="O79" s="357"/>
      <c r="P79" s="352">
        <f t="shared" si="4"/>
        <v>6000</v>
      </c>
      <c r="Q79" s="352">
        <f t="shared" si="5"/>
        <v>5700</v>
      </c>
      <c r="R79" s="353">
        <f t="shared" si="6"/>
        <v>0.95</v>
      </c>
    </row>
    <row r="80" spans="2:18" ht="15">
      <c r="B80" s="125" t="s">
        <v>124</v>
      </c>
      <c r="C80" s="126"/>
      <c r="D80" s="59">
        <v>450883.0008</v>
      </c>
      <c r="E80" s="60">
        <v>380055.53079999995</v>
      </c>
      <c r="F80" s="60">
        <v>425984.03740000003</v>
      </c>
      <c r="G80" s="61">
        <v>12.084683125995465</v>
      </c>
      <c r="H80" s="60">
        <v>452304.81</v>
      </c>
      <c r="I80" s="60">
        <v>384648.07999999996</v>
      </c>
      <c r="J80" s="60">
        <v>432634.69</v>
      </c>
      <c r="K80" s="61">
        <v>12.475458086259007</v>
      </c>
      <c r="L80" s="111"/>
      <c r="O80" s="355">
        <f>+J80/$J$99</f>
        <v>0.0050717833516154</v>
      </c>
      <c r="P80" s="352">
        <f t="shared" si="4"/>
        <v>45928.50660000008</v>
      </c>
      <c r="Q80" s="352">
        <f t="shared" si="5"/>
        <v>47986.610000000044</v>
      </c>
      <c r="R80" s="353">
        <f t="shared" si="6"/>
        <v>1.0156124455756426</v>
      </c>
    </row>
    <row r="81" spans="2:18" ht="12.75">
      <c r="B81" s="428" t="s">
        <v>84</v>
      </c>
      <c r="C81" s="300" t="s">
        <v>125</v>
      </c>
      <c r="D81" s="301">
        <v>738</v>
      </c>
      <c r="E81" s="302">
        <v>0</v>
      </c>
      <c r="F81" s="302">
        <v>0</v>
      </c>
      <c r="G81" s="303" t="s">
        <v>144</v>
      </c>
      <c r="H81" s="302">
        <v>84943.33</v>
      </c>
      <c r="I81" s="302">
        <v>0</v>
      </c>
      <c r="J81" s="302">
        <v>0</v>
      </c>
      <c r="K81" s="303" t="s">
        <v>144</v>
      </c>
      <c r="L81" s="110"/>
      <c r="O81" s="357"/>
      <c r="P81" s="352">
        <f t="shared" si="4"/>
        <v>0</v>
      </c>
      <c r="Q81" s="352">
        <f t="shared" si="5"/>
        <v>0</v>
      </c>
      <c r="R81" s="353">
        <f t="shared" si="6"/>
        <v>0</v>
      </c>
    </row>
    <row r="82" spans="2:18" ht="15">
      <c r="B82" s="425"/>
      <c r="C82" s="300" t="s">
        <v>94</v>
      </c>
      <c r="D82" s="301">
        <v>57323.0769</v>
      </c>
      <c r="E82" s="302">
        <v>57323.0769</v>
      </c>
      <c r="F82" s="302">
        <v>0</v>
      </c>
      <c r="G82" s="303">
        <v>-100</v>
      </c>
      <c r="H82" s="302">
        <v>58523.86</v>
      </c>
      <c r="I82" s="302">
        <v>58523.86</v>
      </c>
      <c r="J82" s="302">
        <v>0</v>
      </c>
      <c r="K82" s="303">
        <v>-100</v>
      </c>
      <c r="L82" s="111"/>
      <c r="O82" s="356"/>
      <c r="P82" s="352">
        <f t="shared" si="4"/>
        <v>-57323.0769</v>
      </c>
      <c r="Q82" s="352">
        <f t="shared" si="5"/>
        <v>-58523.86</v>
      </c>
      <c r="R82" s="353">
        <f t="shared" si="6"/>
        <v>0</v>
      </c>
    </row>
    <row r="83" spans="2:19" s="212" customFormat="1" ht="15">
      <c r="B83" s="425"/>
      <c r="C83" s="300" t="s">
        <v>75</v>
      </c>
      <c r="D83" s="301">
        <v>67205.69</v>
      </c>
      <c r="E83" s="302">
        <v>49694.69</v>
      </c>
      <c r="F83" s="302">
        <v>72279.88</v>
      </c>
      <c r="G83" s="303">
        <v>45.44789392991484</v>
      </c>
      <c r="H83" s="302">
        <v>7814.02</v>
      </c>
      <c r="I83" s="302">
        <v>5822.93</v>
      </c>
      <c r="J83" s="302">
        <v>8441.8</v>
      </c>
      <c r="K83" s="303">
        <v>44.97512420722898</v>
      </c>
      <c r="L83" s="111"/>
      <c r="N83" s="143"/>
      <c r="O83" s="356"/>
      <c r="P83" s="352">
        <f t="shared" si="4"/>
        <v>22585.190000000002</v>
      </c>
      <c r="Q83" s="352">
        <f t="shared" si="5"/>
        <v>2618.869999999999</v>
      </c>
      <c r="R83" s="353">
        <f t="shared" si="6"/>
        <v>0.11679322101807584</v>
      </c>
      <c r="S83" s="143"/>
    </row>
    <row r="84" spans="2:18" ht="12.75">
      <c r="B84" s="425"/>
      <c r="C84" s="65" t="s">
        <v>96</v>
      </c>
      <c r="D84" s="42">
        <v>0</v>
      </c>
      <c r="E84" s="43">
        <v>0</v>
      </c>
      <c r="F84" s="43">
        <v>651.9531</v>
      </c>
      <c r="G84" s="44" t="s">
        <v>144</v>
      </c>
      <c r="H84" s="43">
        <v>0</v>
      </c>
      <c r="I84" s="43">
        <v>0</v>
      </c>
      <c r="J84" s="43">
        <v>840.1</v>
      </c>
      <c r="K84" s="44" t="s">
        <v>144</v>
      </c>
      <c r="L84" s="111"/>
      <c r="O84" s="357"/>
      <c r="P84" s="352">
        <f t="shared" si="4"/>
        <v>651.9531</v>
      </c>
      <c r="Q84" s="352">
        <f t="shared" si="5"/>
        <v>840.1</v>
      </c>
      <c r="R84" s="353">
        <f t="shared" si="6"/>
        <v>1.2885896240082302</v>
      </c>
    </row>
    <row r="85" spans="2:18" ht="15">
      <c r="B85" s="125" t="s">
        <v>116</v>
      </c>
      <c r="C85" s="126"/>
      <c r="D85" s="59">
        <v>125266.7669</v>
      </c>
      <c r="E85" s="60">
        <v>107017.7669</v>
      </c>
      <c r="F85" s="60">
        <v>72931.8331</v>
      </c>
      <c r="G85" s="61">
        <v>-31.850724218391434</v>
      </c>
      <c r="H85" s="60">
        <v>151281.21000000002</v>
      </c>
      <c r="I85" s="60">
        <v>64346.79</v>
      </c>
      <c r="J85" s="60">
        <v>9281.9</v>
      </c>
      <c r="K85" s="61">
        <v>-85.57519341679671</v>
      </c>
      <c r="O85" s="355">
        <f>+J85/$J$99</f>
        <v>0.00010881186132198272</v>
      </c>
      <c r="P85" s="352">
        <f t="shared" si="4"/>
        <v>-34085.9338</v>
      </c>
      <c r="Q85" s="352">
        <f t="shared" si="5"/>
        <v>-55064.89</v>
      </c>
      <c r="R85" s="353">
        <f t="shared" si="6"/>
        <v>0.12726815720198864</v>
      </c>
    </row>
    <row r="86" spans="2:18" ht="12.75">
      <c r="B86" s="428" t="s">
        <v>83</v>
      </c>
      <c r="C86" s="313" t="s">
        <v>125</v>
      </c>
      <c r="D86" s="301">
        <v>13608</v>
      </c>
      <c r="E86" s="302">
        <v>13608</v>
      </c>
      <c r="F86" s="302">
        <v>13688.3538</v>
      </c>
      <c r="G86" s="303">
        <v>0.590489417989426</v>
      </c>
      <c r="H86" s="302">
        <v>22676</v>
      </c>
      <c r="I86" s="302">
        <v>22676</v>
      </c>
      <c r="J86" s="302">
        <v>21851.92</v>
      </c>
      <c r="K86" s="303">
        <v>-3.6341506438525406</v>
      </c>
      <c r="O86" s="357"/>
      <c r="P86" s="352">
        <f t="shared" si="4"/>
        <v>80.35380000000077</v>
      </c>
      <c r="Q86" s="352">
        <f t="shared" si="5"/>
        <v>-824.0800000000017</v>
      </c>
      <c r="R86" s="353">
        <f t="shared" si="6"/>
        <v>1.5963877263312698</v>
      </c>
    </row>
    <row r="87" spans="2:18" ht="12.75">
      <c r="B87" s="425"/>
      <c r="C87" s="313" t="s">
        <v>127</v>
      </c>
      <c r="D87" s="301">
        <v>20000</v>
      </c>
      <c r="E87" s="302">
        <v>20000</v>
      </c>
      <c r="F87" s="302">
        <v>20000</v>
      </c>
      <c r="G87" s="303">
        <v>0</v>
      </c>
      <c r="H87" s="302">
        <v>16300</v>
      </c>
      <c r="I87" s="302">
        <v>16300</v>
      </c>
      <c r="J87" s="302">
        <v>15760</v>
      </c>
      <c r="K87" s="303">
        <v>-3.312883435582825</v>
      </c>
      <c r="O87" s="357"/>
      <c r="P87" s="352">
        <f t="shared" si="4"/>
        <v>0</v>
      </c>
      <c r="Q87" s="352">
        <f t="shared" si="5"/>
        <v>-540</v>
      </c>
      <c r="R87" s="353">
        <f t="shared" si="6"/>
        <v>0.788</v>
      </c>
    </row>
    <row r="88" spans="2:18" ht="12.75">
      <c r="B88" s="425"/>
      <c r="C88" s="313" t="s">
        <v>100</v>
      </c>
      <c r="D88" s="301">
        <v>5389.0772</v>
      </c>
      <c r="E88" s="302">
        <v>5389.0772</v>
      </c>
      <c r="F88" s="302">
        <v>0</v>
      </c>
      <c r="G88" s="303">
        <v>-100</v>
      </c>
      <c r="H88" s="302">
        <v>6599.38</v>
      </c>
      <c r="I88" s="302">
        <v>6599.38</v>
      </c>
      <c r="J88" s="302">
        <v>0</v>
      </c>
      <c r="K88" s="303">
        <v>-100</v>
      </c>
      <c r="O88" s="357"/>
      <c r="P88" s="352">
        <f t="shared" si="4"/>
        <v>-5389.0772</v>
      </c>
      <c r="Q88" s="352">
        <f t="shared" si="5"/>
        <v>-6599.38</v>
      </c>
      <c r="R88" s="353">
        <f t="shared" si="6"/>
        <v>0</v>
      </c>
    </row>
    <row r="89" spans="2:18" ht="12.75">
      <c r="B89" s="425"/>
      <c r="C89" s="313" t="s">
        <v>75</v>
      </c>
      <c r="D89" s="301">
        <v>964.6308</v>
      </c>
      <c r="E89" s="302">
        <v>964.6308</v>
      </c>
      <c r="F89" s="302">
        <v>500</v>
      </c>
      <c r="G89" s="303">
        <v>-48.16669755931492</v>
      </c>
      <c r="H89" s="302">
        <v>216.91</v>
      </c>
      <c r="I89" s="302">
        <v>216.91</v>
      </c>
      <c r="J89" s="302">
        <v>26.21</v>
      </c>
      <c r="K89" s="303">
        <v>-87.91664745747084</v>
      </c>
      <c r="O89" s="357"/>
      <c r="P89" s="352">
        <f t="shared" si="4"/>
        <v>-464.6308</v>
      </c>
      <c r="Q89" s="352">
        <f t="shared" si="5"/>
        <v>-190.7</v>
      </c>
      <c r="R89" s="353">
        <f t="shared" si="6"/>
        <v>0.05242</v>
      </c>
    </row>
    <row r="90" spans="2:18" ht="12.75">
      <c r="B90" s="425"/>
      <c r="C90" s="313" t="s">
        <v>93</v>
      </c>
      <c r="D90" s="301">
        <v>1.38</v>
      </c>
      <c r="E90" s="302">
        <v>1.38</v>
      </c>
      <c r="F90" s="302">
        <v>0</v>
      </c>
      <c r="G90" s="303">
        <v>-100</v>
      </c>
      <c r="H90" s="302">
        <v>167.27</v>
      </c>
      <c r="I90" s="302">
        <v>167.27</v>
      </c>
      <c r="J90" s="302">
        <v>0</v>
      </c>
      <c r="K90" s="303">
        <v>-100</v>
      </c>
      <c r="O90" s="357"/>
      <c r="P90" s="352">
        <f t="shared" si="4"/>
        <v>-1.38</v>
      </c>
      <c r="Q90" s="352">
        <f t="shared" si="5"/>
        <v>-167.27</v>
      </c>
      <c r="R90" s="353">
        <f t="shared" si="6"/>
        <v>0</v>
      </c>
    </row>
    <row r="91" spans="2:19" s="212" customFormat="1" ht="12.75">
      <c r="B91" s="425"/>
      <c r="C91" s="300" t="s">
        <v>96</v>
      </c>
      <c r="D91" s="301">
        <v>21</v>
      </c>
      <c r="E91" s="302">
        <v>21</v>
      </c>
      <c r="F91" s="302">
        <v>1309.2565</v>
      </c>
      <c r="G91" s="303">
        <v>6134.554761904761</v>
      </c>
      <c r="H91" s="302">
        <v>34.5</v>
      </c>
      <c r="I91" s="302">
        <v>34.5</v>
      </c>
      <c r="J91" s="302">
        <v>2160.5</v>
      </c>
      <c r="K91" s="303">
        <v>6162.31884057971</v>
      </c>
      <c r="N91" s="143"/>
      <c r="O91" s="357"/>
      <c r="P91" s="352">
        <f t="shared" si="4"/>
        <v>1288.2565</v>
      </c>
      <c r="Q91" s="352">
        <f t="shared" si="5"/>
        <v>2126</v>
      </c>
      <c r="R91" s="353">
        <f t="shared" si="6"/>
        <v>1.650173208993043</v>
      </c>
      <c r="S91" s="143"/>
    </row>
    <row r="92" spans="2:19" s="212" customFormat="1" ht="12.75">
      <c r="B92" s="425"/>
      <c r="C92" s="300" t="s">
        <v>173</v>
      </c>
      <c r="D92" s="301">
        <v>0</v>
      </c>
      <c r="E92" s="302">
        <v>0</v>
      </c>
      <c r="F92" s="302">
        <v>4.2</v>
      </c>
      <c r="G92" s="303" t="s">
        <v>144</v>
      </c>
      <c r="H92" s="302">
        <v>0</v>
      </c>
      <c r="I92" s="302">
        <v>0</v>
      </c>
      <c r="J92" s="302">
        <v>780</v>
      </c>
      <c r="K92" s="303" t="s">
        <v>144</v>
      </c>
      <c r="N92" s="143"/>
      <c r="O92" s="357"/>
      <c r="P92" s="352">
        <f t="shared" si="4"/>
        <v>4.2</v>
      </c>
      <c r="Q92" s="352">
        <f t="shared" si="5"/>
        <v>780</v>
      </c>
      <c r="R92" s="353">
        <f t="shared" si="6"/>
        <v>185.7142857142857</v>
      </c>
      <c r="S92" s="143"/>
    </row>
    <row r="93" spans="2:19" s="212" customFormat="1" ht="12.75">
      <c r="B93" s="429"/>
      <c r="C93" s="219" t="s">
        <v>98</v>
      </c>
      <c r="D93" s="214">
        <v>0</v>
      </c>
      <c r="E93" s="215">
        <v>0</v>
      </c>
      <c r="F93" s="215">
        <v>96</v>
      </c>
      <c r="G93" s="216" t="s">
        <v>144</v>
      </c>
      <c r="H93" s="215">
        <v>0</v>
      </c>
      <c r="I93" s="215">
        <v>0</v>
      </c>
      <c r="J93" s="215">
        <v>375.23</v>
      </c>
      <c r="K93" s="216" t="s">
        <v>144</v>
      </c>
      <c r="N93" s="143"/>
      <c r="O93" s="357"/>
      <c r="P93" s="352">
        <f t="shared" si="4"/>
        <v>96</v>
      </c>
      <c r="Q93" s="352">
        <f t="shared" si="5"/>
        <v>375.23</v>
      </c>
      <c r="R93" s="353">
        <f t="shared" si="6"/>
        <v>3.9086458333333334</v>
      </c>
      <c r="S93" s="143"/>
    </row>
    <row r="94" spans="2:18" ht="15">
      <c r="B94" s="125" t="s">
        <v>115</v>
      </c>
      <c r="C94" s="126"/>
      <c r="D94" s="59">
        <v>39984.088</v>
      </c>
      <c r="E94" s="60">
        <v>39984.088</v>
      </c>
      <c r="F94" s="60">
        <v>35597.8103</v>
      </c>
      <c r="G94" s="61">
        <v>-10.970058139127758</v>
      </c>
      <c r="H94" s="60">
        <v>45994.06</v>
      </c>
      <c r="I94" s="60">
        <v>45994.06</v>
      </c>
      <c r="J94" s="60">
        <v>40953.86</v>
      </c>
      <c r="K94" s="61">
        <v>-10.958371581025894</v>
      </c>
      <c r="O94" s="355">
        <f>+J94/$J$99</f>
        <v>0.0004801027521218603</v>
      </c>
      <c r="P94" s="352">
        <f t="shared" si="4"/>
        <v>-4386.277700000006</v>
      </c>
      <c r="Q94" s="352">
        <f t="shared" si="5"/>
        <v>-5040.199999999997</v>
      </c>
      <c r="R94" s="353">
        <f t="shared" si="6"/>
        <v>1.1504600888330483</v>
      </c>
    </row>
    <row r="95" spans="2:19" s="212" customFormat="1" ht="28.5" customHeight="1">
      <c r="B95" s="229" t="s">
        <v>236</v>
      </c>
      <c r="C95" s="155" t="s">
        <v>75</v>
      </c>
      <c r="D95" s="156">
        <v>4375</v>
      </c>
      <c r="E95" s="156">
        <v>1855</v>
      </c>
      <c r="F95" s="156">
        <v>61242</v>
      </c>
      <c r="G95" s="157">
        <v>3201.455525606469</v>
      </c>
      <c r="H95" s="156">
        <v>469.7</v>
      </c>
      <c r="I95" s="156">
        <v>197.31</v>
      </c>
      <c r="J95" s="156">
        <v>7192.15</v>
      </c>
      <c r="K95" s="157">
        <v>3545.101616745223</v>
      </c>
      <c r="N95" s="143"/>
      <c r="O95" s="355"/>
      <c r="P95" s="352">
        <f t="shared" si="4"/>
        <v>59387</v>
      </c>
      <c r="Q95" s="352">
        <f t="shared" si="5"/>
        <v>6994.839999999999</v>
      </c>
      <c r="R95" s="353">
        <f t="shared" si="6"/>
        <v>0.11743819600927467</v>
      </c>
      <c r="S95" s="143"/>
    </row>
    <row r="96" spans="2:19" s="212" customFormat="1" ht="15">
      <c r="B96" s="125" t="s">
        <v>237</v>
      </c>
      <c r="C96" s="126"/>
      <c r="D96" s="59">
        <v>4375</v>
      </c>
      <c r="E96" s="60">
        <v>1855</v>
      </c>
      <c r="F96" s="60">
        <v>61242</v>
      </c>
      <c r="G96" s="61">
        <v>3201.455525606469</v>
      </c>
      <c r="H96" s="60">
        <v>469.7</v>
      </c>
      <c r="I96" s="60">
        <v>197.31</v>
      </c>
      <c r="J96" s="60">
        <v>7192.15</v>
      </c>
      <c r="K96" s="61">
        <v>3545.101616745223</v>
      </c>
      <c r="N96" s="143"/>
      <c r="O96" s="355">
        <f>+J96/$J$99</f>
        <v>8.431368883600319E-05</v>
      </c>
      <c r="P96" s="352">
        <f t="shared" si="4"/>
        <v>59387</v>
      </c>
      <c r="Q96" s="352">
        <f t="shared" si="5"/>
        <v>6994.839999999999</v>
      </c>
      <c r="R96" s="353">
        <f t="shared" si="6"/>
        <v>0.11743819600927467</v>
      </c>
      <c r="S96" s="143"/>
    </row>
    <row r="97" spans="2:18" ht="29.25" customHeight="1">
      <c r="B97" s="202" t="s">
        <v>182</v>
      </c>
      <c r="C97" s="155" t="s">
        <v>93</v>
      </c>
      <c r="D97" s="156">
        <v>1.339</v>
      </c>
      <c r="E97" s="156">
        <v>1.339</v>
      </c>
      <c r="F97" s="156">
        <v>0</v>
      </c>
      <c r="G97" s="157">
        <v>-100</v>
      </c>
      <c r="H97" s="156">
        <v>203.57</v>
      </c>
      <c r="I97" s="156">
        <v>203.57</v>
      </c>
      <c r="J97" s="156">
        <v>0</v>
      </c>
      <c r="K97" s="157">
        <v>-100</v>
      </c>
      <c r="O97" s="357"/>
      <c r="P97" s="352">
        <f t="shared" si="4"/>
        <v>-1.339</v>
      </c>
      <c r="Q97" s="352">
        <f t="shared" si="5"/>
        <v>-203.57</v>
      </c>
      <c r="R97" s="353">
        <f t="shared" si="6"/>
        <v>0</v>
      </c>
    </row>
    <row r="98" spans="2:18" ht="15">
      <c r="B98" s="125" t="s">
        <v>183</v>
      </c>
      <c r="C98" s="126"/>
      <c r="D98" s="59">
        <v>1.339</v>
      </c>
      <c r="E98" s="60">
        <v>1.339</v>
      </c>
      <c r="F98" s="60">
        <v>0</v>
      </c>
      <c r="G98" s="61">
        <v>-100</v>
      </c>
      <c r="H98" s="60">
        <v>203.57</v>
      </c>
      <c r="I98" s="60">
        <v>203.57</v>
      </c>
      <c r="J98" s="60">
        <v>0</v>
      </c>
      <c r="K98" s="61">
        <v>-100</v>
      </c>
      <c r="O98" s="355">
        <f>+J98/$J$99</f>
        <v>0</v>
      </c>
      <c r="P98" s="352">
        <f t="shared" si="4"/>
        <v>-1.339</v>
      </c>
      <c r="Q98" s="352">
        <f t="shared" si="5"/>
        <v>-203.57</v>
      </c>
      <c r="R98" s="353">
        <f t="shared" si="6"/>
        <v>0</v>
      </c>
    </row>
    <row r="99" spans="2:18" ht="12.75">
      <c r="B99" s="125" t="s">
        <v>91</v>
      </c>
      <c r="C99" s="126"/>
      <c r="D99" s="59">
        <v>107350683.4938</v>
      </c>
      <c r="E99" s="60">
        <v>87595112.80229999</v>
      </c>
      <c r="F99" s="60">
        <v>90177231.49739999</v>
      </c>
      <c r="G99" s="61">
        <v>2.9477885380749136</v>
      </c>
      <c r="H99" s="60">
        <v>98534478.25999993</v>
      </c>
      <c r="I99" s="60">
        <v>79512906.54999997</v>
      </c>
      <c r="J99" s="60">
        <v>85302281.26999997</v>
      </c>
      <c r="K99" s="61">
        <v>7.28105029887125</v>
      </c>
      <c r="O99" s="357"/>
      <c r="P99" s="352">
        <f>+F99-E99</f>
        <v>2582118.6950999945</v>
      </c>
      <c r="Q99" s="352">
        <f>+J99-I99</f>
        <v>5789374.719999999</v>
      </c>
      <c r="R99" s="353">
        <f t="shared" si="6"/>
        <v>0.9459403427400566</v>
      </c>
    </row>
    <row r="100" spans="2:16" ht="12.75">
      <c r="B100" s="309" t="s">
        <v>259</v>
      </c>
      <c r="C100" s="112"/>
      <c r="D100" s="112"/>
      <c r="E100" s="112"/>
      <c r="F100" s="112"/>
      <c r="G100" s="112"/>
      <c r="H100" s="112"/>
      <c r="I100" s="112"/>
      <c r="J100" s="112"/>
      <c r="K100" s="112"/>
      <c r="O100" s="334"/>
      <c r="P100" s="334"/>
    </row>
    <row r="101" spans="15:16" ht="12.75">
      <c r="O101" s="334"/>
      <c r="P101" s="334"/>
    </row>
    <row r="102" spans="15:16" ht="12.75">
      <c r="O102" s="334"/>
      <c r="P102" s="334"/>
    </row>
    <row r="103" spans="15:16" ht="12.75">
      <c r="O103" s="334"/>
      <c r="P103" s="334"/>
    </row>
    <row r="104" spans="15:16" ht="12.75">
      <c r="O104" s="334"/>
      <c r="P104" s="334"/>
    </row>
    <row r="105" spans="15:16" ht="12.75">
      <c r="O105" s="334"/>
      <c r="P105" s="334"/>
    </row>
    <row r="106" spans="15:16" ht="12.75">
      <c r="O106" s="334"/>
      <c r="P106" s="334"/>
    </row>
    <row r="107" spans="15:16" ht="12.75">
      <c r="O107" s="334"/>
      <c r="P107" s="334"/>
    </row>
    <row r="108" spans="15:16" ht="12.75">
      <c r="O108" s="334"/>
      <c r="P108" s="334"/>
    </row>
    <row r="109" spans="15:16" ht="12.75">
      <c r="O109" s="334"/>
      <c r="P109" s="334"/>
    </row>
    <row r="110" spans="15:16" ht="12.75">
      <c r="O110" s="334"/>
      <c r="P110" s="334"/>
    </row>
    <row r="111" spans="15:16" ht="12.75">
      <c r="O111" s="334"/>
      <c r="P111" s="334"/>
    </row>
    <row r="112" spans="15:16" ht="12.75">
      <c r="O112" s="334"/>
      <c r="P112" s="334"/>
    </row>
    <row r="113" spans="15:16" ht="12.75">
      <c r="O113" s="334"/>
      <c r="P113" s="334"/>
    </row>
    <row r="114" spans="15:16" ht="12.75">
      <c r="O114" s="334"/>
      <c r="P114" s="334"/>
    </row>
    <row r="115" spans="15:16" ht="12.75">
      <c r="O115" s="334"/>
      <c r="P115" s="334"/>
    </row>
    <row r="116" spans="15:16" ht="12.75">
      <c r="O116" s="334"/>
      <c r="P116" s="334"/>
    </row>
    <row r="117" spans="15:16" ht="12.75">
      <c r="O117" s="334"/>
      <c r="P117" s="334"/>
    </row>
    <row r="118" spans="15:16" ht="12.75">
      <c r="O118" s="334"/>
      <c r="P118" s="334"/>
    </row>
    <row r="119" spans="15:16" ht="12.75">
      <c r="O119" s="334"/>
      <c r="P119" s="334"/>
    </row>
    <row r="120" spans="15:16" ht="12.75">
      <c r="O120" s="334"/>
      <c r="P120" s="334"/>
    </row>
    <row r="121" spans="15:16" ht="12.75">
      <c r="O121" s="334"/>
      <c r="P121" s="334"/>
    </row>
    <row r="122" spans="15:16" ht="12.75">
      <c r="O122" s="334"/>
      <c r="P122" s="334"/>
    </row>
  </sheetData>
  <sheetProtection/>
  <mergeCells count="12">
    <mergeCell ref="B86:B93"/>
    <mergeCell ref="B81:B84"/>
    <mergeCell ref="B76:B79"/>
    <mergeCell ref="B6:B22"/>
    <mergeCell ref="B24:B46"/>
    <mergeCell ref="B60:B74"/>
    <mergeCell ref="B48:B58"/>
    <mergeCell ref="B2:K2"/>
    <mergeCell ref="D4:G4"/>
    <mergeCell ref="H4:K4"/>
    <mergeCell ref="B4:B5"/>
    <mergeCell ref="C4:C5"/>
  </mergeCells>
  <conditionalFormatting sqref="P6:P98">
    <cfRule type="top10" priority="4" dxfId="42" rank="2"/>
    <cfRule type="top10" priority="5" dxfId="43" rank="2" bottom="1"/>
  </conditionalFormatting>
  <conditionalFormatting sqref="Q6:Q98">
    <cfRule type="top10" priority="2" dxfId="42" rank="2"/>
    <cfRule type="top10" priority="3" dxfId="43" rank="2" bottom="1"/>
  </conditionalFormatting>
  <conditionalFormatting sqref="R6:R99">
    <cfRule type="top10" priority="1" dxfId="44" rank="6"/>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2:H26"/>
  <sheetViews>
    <sheetView zoomScale="80" zoomScaleNormal="80" zoomScalePageLayoutView="80" workbookViewId="0" topLeftCell="A1">
      <selection activeCell="A1" sqref="A1"/>
    </sheetView>
  </sheetViews>
  <sheetFormatPr defaultColWidth="10.8515625" defaultRowHeight="15"/>
  <cols>
    <col min="1" max="9" width="10.421875" style="100" customWidth="1"/>
    <col min="10" max="23" width="10.8515625" style="100" customWidth="1"/>
    <col min="24" max="16384" width="10.8515625" style="100" customWidth="1"/>
  </cols>
  <sheetData>
    <row r="2" spans="2:8" ht="15.75">
      <c r="B2" s="71"/>
      <c r="C2" s="71"/>
      <c r="D2" s="72"/>
      <c r="E2" s="193" t="s">
        <v>109</v>
      </c>
      <c r="F2" s="72"/>
      <c r="G2" s="71"/>
      <c r="H2" s="71"/>
    </row>
    <row r="3" spans="2:8" ht="15" customHeight="1">
      <c r="B3" s="71"/>
      <c r="C3" s="71"/>
      <c r="E3" s="131" t="str">
        <f>+Portada!E42</f>
        <v>Noviembre 2017</v>
      </c>
      <c r="F3" s="130"/>
      <c r="G3" s="71"/>
      <c r="H3" s="71"/>
    </row>
    <row r="4" spans="2:8" ht="15">
      <c r="B4" s="71"/>
      <c r="C4" s="71"/>
      <c r="D4" s="72"/>
      <c r="E4" s="102" t="s">
        <v>271</v>
      </c>
      <c r="F4" s="72"/>
      <c r="G4" s="71"/>
      <c r="H4" s="71"/>
    </row>
    <row r="5" spans="2:8" ht="15">
      <c r="B5" s="71"/>
      <c r="D5" s="103"/>
      <c r="F5" s="103"/>
      <c r="G5" s="103"/>
      <c r="H5" s="71"/>
    </row>
    <row r="6" spans="2:8" ht="15">
      <c r="B6" s="71"/>
      <c r="C6" s="71"/>
      <c r="D6" s="71"/>
      <c r="E6" s="71"/>
      <c r="F6" s="71"/>
      <c r="G6" s="71"/>
      <c r="H6" s="71"/>
    </row>
    <row r="7" spans="2:8" ht="15">
      <c r="B7" s="71"/>
      <c r="C7" s="71"/>
      <c r="D7" s="72"/>
      <c r="E7" s="97" t="s">
        <v>142</v>
      </c>
      <c r="F7" s="72"/>
      <c r="G7" s="71"/>
      <c r="H7" s="71"/>
    </row>
    <row r="8" spans="2:8" ht="15">
      <c r="B8" s="71"/>
      <c r="C8" s="71"/>
      <c r="D8" s="71"/>
      <c r="E8" s="71"/>
      <c r="F8" s="71"/>
      <c r="G8" s="71"/>
      <c r="H8" s="71"/>
    </row>
    <row r="9" spans="2:8" ht="15">
      <c r="B9" s="71"/>
      <c r="C9" s="71"/>
      <c r="D9" s="71"/>
      <c r="E9" s="71"/>
      <c r="F9" s="71"/>
      <c r="G9" s="71"/>
      <c r="H9" s="71"/>
    </row>
    <row r="10" spans="2:8" ht="15">
      <c r="B10" s="71"/>
      <c r="C10" s="71"/>
      <c r="D10" s="71"/>
      <c r="E10" s="71"/>
      <c r="F10" s="71"/>
      <c r="G10" s="71"/>
      <c r="H10" s="71"/>
    </row>
    <row r="11" spans="2:8" ht="15">
      <c r="B11" s="71"/>
      <c r="C11" s="71"/>
      <c r="D11" s="71"/>
      <c r="E11" s="71"/>
      <c r="F11" s="71"/>
      <c r="G11" s="71"/>
      <c r="H11" s="71"/>
    </row>
    <row r="12" spans="2:8" ht="15">
      <c r="B12" s="71"/>
      <c r="C12" s="71"/>
      <c r="D12" s="71"/>
      <c r="E12" s="71"/>
      <c r="F12" s="71"/>
      <c r="G12" s="71"/>
      <c r="H12" s="71"/>
    </row>
    <row r="13" spans="2:8" ht="15">
      <c r="B13" s="72"/>
      <c r="D13" s="104"/>
      <c r="E13" s="102" t="s">
        <v>118</v>
      </c>
      <c r="F13" s="104"/>
      <c r="G13" s="104"/>
      <c r="H13" s="72"/>
    </row>
    <row r="14" spans="2:8" ht="15">
      <c r="B14" s="71"/>
      <c r="D14" s="104"/>
      <c r="E14" s="102" t="s">
        <v>0</v>
      </c>
      <c r="F14" s="104"/>
      <c r="G14" s="104"/>
      <c r="H14" s="71"/>
    </row>
    <row r="15" spans="2:8" ht="15">
      <c r="B15" s="72"/>
      <c r="D15" s="105"/>
      <c r="E15" s="106" t="s">
        <v>1</v>
      </c>
      <c r="F15" s="105"/>
      <c r="G15" s="105"/>
      <c r="H15" s="72"/>
    </row>
    <row r="16" spans="2:8" ht="15">
      <c r="B16" s="72"/>
      <c r="C16" s="72"/>
      <c r="D16" s="72"/>
      <c r="E16" s="72"/>
      <c r="F16" s="72"/>
      <c r="G16" s="72"/>
      <c r="H16" s="72"/>
    </row>
    <row r="17" spans="2:8" ht="15">
      <c r="B17" s="72"/>
      <c r="E17" s="122" t="s">
        <v>155</v>
      </c>
      <c r="F17" s="122"/>
      <c r="G17" s="122"/>
      <c r="H17" s="101"/>
    </row>
    <row r="18" spans="2:8" ht="15">
      <c r="B18" s="72"/>
      <c r="E18" s="122" t="s">
        <v>141</v>
      </c>
      <c r="F18" s="122"/>
      <c r="G18" s="122"/>
      <c r="H18" s="101"/>
    </row>
    <row r="19" spans="2:8" ht="15">
      <c r="B19" s="72"/>
      <c r="C19" s="72"/>
      <c r="D19" s="72"/>
      <c r="E19" s="72"/>
      <c r="F19" s="72"/>
      <c r="G19" s="72"/>
      <c r="H19" s="72"/>
    </row>
    <row r="20" spans="2:8" ht="15">
      <c r="B20" s="72"/>
      <c r="C20" s="72"/>
      <c r="D20" s="71"/>
      <c r="E20" s="71"/>
      <c r="F20" s="71"/>
      <c r="G20" s="72"/>
      <c r="H20" s="72"/>
    </row>
    <row r="21" spans="2:8" ht="15">
      <c r="B21" s="72"/>
      <c r="C21" s="72"/>
      <c r="D21" s="71"/>
      <c r="E21" s="71"/>
      <c r="F21" s="71"/>
      <c r="G21" s="72"/>
      <c r="H21" s="72"/>
    </row>
    <row r="22" spans="2:8" ht="15">
      <c r="B22" s="72"/>
      <c r="C22" s="72"/>
      <c r="D22" s="72"/>
      <c r="E22" s="72"/>
      <c r="F22" s="72"/>
      <c r="G22" s="72"/>
      <c r="H22" s="72"/>
    </row>
    <row r="23" spans="2:8" ht="15">
      <c r="B23" s="71"/>
      <c r="C23" s="71"/>
      <c r="D23" s="71"/>
      <c r="E23" s="71"/>
      <c r="F23" s="71"/>
      <c r="G23" s="71"/>
      <c r="H23" s="71"/>
    </row>
    <row r="24" spans="2:8" ht="15">
      <c r="B24" s="71"/>
      <c r="C24" s="71"/>
      <c r="D24" s="71"/>
      <c r="E24" s="71"/>
      <c r="F24" s="71"/>
      <c r="G24" s="71"/>
      <c r="H24" s="71"/>
    </row>
    <row r="25" spans="4:8" ht="15">
      <c r="D25" s="107"/>
      <c r="E25" s="194" t="s">
        <v>106</v>
      </c>
      <c r="F25" s="107"/>
      <c r="G25" s="107"/>
      <c r="H25" s="101"/>
    </row>
    <row r="26" spans="2:8" ht="15">
      <c r="B26" s="71"/>
      <c r="C26" s="71"/>
      <c r="D26" s="71"/>
      <c r="E26" s="71"/>
      <c r="F26" s="71"/>
      <c r="G26" s="71"/>
      <c r="H26" s="71"/>
    </row>
  </sheetData>
  <sheetProtection/>
  <hyperlinks>
    <hyperlink ref="E15"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80" workbookViewId="0" topLeftCell="A1">
      <selection activeCell="A1" sqref="A1"/>
    </sheetView>
  </sheetViews>
  <sheetFormatPr defaultColWidth="10.8515625" defaultRowHeight="15"/>
  <cols>
    <col min="1" max="1" width="1.28515625" style="196" customWidth="1"/>
    <col min="2" max="9" width="11.00390625" style="196" customWidth="1"/>
    <col min="10" max="10" width="2.00390625" style="196" customWidth="1"/>
    <col min="11" max="26" width="10.8515625" style="196" customWidth="1"/>
    <col min="27" max="16384" width="10.8515625" style="196" customWidth="1"/>
  </cols>
  <sheetData>
    <row r="2" spans="2:11" ht="15">
      <c r="B2" s="361" t="s">
        <v>159</v>
      </c>
      <c r="C2" s="361"/>
      <c r="D2" s="361"/>
      <c r="E2" s="361"/>
      <c r="F2" s="361"/>
      <c r="G2" s="361"/>
      <c r="H2" s="361"/>
      <c r="I2" s="361"/>
      <c r="J2" s="195"/>
      <c r="K2" s="66" t="s">
        <v>148</v>
      </c>
    </row>
    <row r="3" spans="2:10" ht="14.25">
      <c r="B3" s="197"/>
      <c r="C3" s="197"/>
      <c r="D3" s="197"/>
      <c r="E3" s="197"/>
      <c r="F3" s="197"/>
      <c r="G3" s="197"/>
      <c r="H3" s="197"/>
      <c r="I3" s="197"/>
      <c r="J3" s="197"/>
    </row>
    <row r="4" spans="2:10" ht="34.5" customHeight="1">
      <c r="B4" s="362" t="s">
        <v>184</v>
      </c>
      <c r="C4" s="362"/>
      <c r="D4" s="362"/>
      <c r="E4" s="362"/>
      <c r="F4" s="362"/>
      <c r="G4" s="362"/>
      <c r="H4" s="362"/>
      <c r="I4" s="362"/>
      <c r="J4" s="198"/>
    </row>
    <row r="5" spans="2:10" ht="29.25" customHeight="1">
      <c r="B5" s="362" t="s">
        <v>161</v>
      </c>
      <c r="C5" s="362"/>
      <c r="D5" s="362"/>
      <c r="E5" s="362"/>
      <c r="F5" s="362"/>
      <c r="G5" s="362"/>
      <c r="H5" s="362"/>
      <c r="I5" s="362"/>
      <c r="J5" s="198"/>
    </row>
    <row r="6" spans="2:10" ht="18" customHeight="1">
      <c r="B6" s="360" t="s">
        <v>160</v>
      </c>
      <c r="C6" s="360"/>
      <c r="D6" s="360"/>
      <c r="E6" s="360"/>
      <c r="F6" s="360"/>
      <c r="G6" s="360"/>
      <c r="H6" s="360"/>
      <c r="I6" s="360"/>
      <c r="J6" s="198"/>
    </row>
    <row r="7" spans="2:10" ht="34.5" customHeight="1">
      <c r="B7" s="360" t="s">
        <v>162</v>
      </c>
      <c r="C7" s="360"/>
      <c r="D7" s="360"/>
      <c r="E7" s="360"/>
      <c r="F7" s="360"/>
      <c r="G7" s="360"/>
      <c r="H7" s="360"/>
      <c r="I7" s="360"/>
      <c r="J7" s="198"/>
    </row>
    <row r="8" spans="2:10" ht="34.5" customHeight="1">
      <c r="B8" s="360" t="s">
        <v>164</v>
      </c>
      <c r="C8" s="360"/>
      <c r="D8" s="360"/>
      <c r="E8" s="360"/>
      <c r="F8" s="360"/>
      <c r="G8" s="360"/>
      <c r="H8" s="360"/>
      <c r="I8" s="360"/>
      <c r="J8" s="198"/>
    </row>
    <row r="9" spans="2:9" ht="14.25">
      <c r="B9" s="360" t="s">
        <v>176</v>
      </c>
      <c r="C9" s="360"/>
      <c r="D9" s="360"/>
      <c r="E9" s="360"/>
      <c r="F9" s="360"/>
      <c r="G9" s="360"/>
      <c r="H9" s="360"/>
      <c r="I9" s="360"/>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80" workbookViewId="0" topLeftCell="A1">
      <selection activeCell="A1" sqref="A1"/>
    </sheetView>
  </sheetViews>
  <sheetFormatPr defaultColWidth="10.8515625" defaultRowHeight="15"/>
  <cols>
    <col min="1" max="1" width="1.421875" style="5" customWidth="1"/>
    <col min="2" max="2" width="14.421875" style="7" customWidth="1"/>
    <col min="3" max="3" width="84.1406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ht="4.5" customHeight="1"/>
    <row r="2" spans="2:4" ht="12.75">
      <c r="B2" s="363" t="s">
        <v>56</v>
      </c>
      <c r="C2" s="363"/>
      <c r="D2" s="363"/>
    </row>
    <row r="3" spans="2:3" ht="12.75">
      <c r="B3" s="6"/>
      <c r="C3" s="58"/>
    </row>
    <row r="4" spans="2:4" ht="12.75">
      <c r="B4" s="22" t="s">
        <v>55</v>
      </c>
      <c r="C4" s="22" t="s">
        <v>52</v>
      </c>
      <c r="D4" s="21" t="s">
        <v>51</v>
      </c>
    </row>
    <row r="5" spans="2:4" ht="8.25" customHeight="1">
      <c r="B5" s="34"/>
      <c r="C5" s="19"/>
      <c r="D5" s="18"/>
    </row>
    <row r="6" spans="2:4" ht="12.75">
      <c r="B6" s="9">
        <v>1</v>
      </c>
      <c r="C6" s="65" t="s">
        <v>102</v>
      </c>
      <c r="D6" s="27">
        <v>5</v>
      </c>
    </row>
    <row r="7" spans="2:4" ht="12.75">
      <c r="B7" s="9">
        <v>2</v>
      </c>
      <c r="C7" s="65" t="s">
        <v>103</v>
      </c>
      <c r="D7" s="27">
        <v>5</v>
      </c>
    </row>
    <row r="8" spans="2:4" ht="12.75">
      <c r="B8" s="9">
        <v>3</v>
      </c>
      <c r="C8" s="65" t="s">
        <v>126</v>
      </c>
      <c r="D8" s="27">
        <v>5</v>
      </c>
    </row>
    <row r="9" spans="2:4" ht="12.75">
      <c r="B9" s="9">
        <v>4</v>
      </c>
      <c r="C9" s="65" t="s">
        <v>222</v>
      </c>
      <c r="D9" s="27">
        <v>5</v>
      </c>
    </row>
    <row r="10" spans="2:4" ht="12.75">
      <c r="B10" s="9">
        <v>5</v>
      </c>
      <c r="C10" s="84" t="s">
        <v>187</v>
      </c>
      <c r="D10" s="27">
        <v>5</v>
      </c>
    </row>
    <row r="11" spans="2:4" ht="7.5" customHeight="1">
      <c r="B11" s="17"/>
      <c r="C11" s="16"/>
      <c r="D11" s="15"/>
    </row>
    <row r="12" spans="2:4" ht="12.75">
      <c r="B12" s="22" t="s">
        <v>54</v>
      </c>
      <c r="C12" s="22" t="s">
        <v>52</v>
      </c>
      <c r="D12" s="21" t="s">
        <v>51</v>
      </c>
    </row>
    <row r="13" spans="2:4" ht="8.25" customHeight="1">
      <c r="B13" s="10"/>
      <c r="C13" s="12"/>
      <c r="D13" s="14"/>
    </row>
    <row r="14" spans="2:4" ht="12.75">
      <c r="B14" s="10">
        <v>1</v>
      </c>
      <c r="C14" s="8" t="s">
        <v>220</v>
      </c>
      <c r="D14" s="28">
        <v>6</v>
      </c>
    </row>
    <row r="15" spans="2:4" ht="12.75">
      <c r="B15" s="10">
        <v>2</v>
      </c>
      <c r="C15" s="8" t="s">
        <v>138</v>
      </c>
      <c r="D15" s="29">
        <v>7</v>
      </c>
    </row>
    <row r="16" spans="2:4" ht="12.75">
      <c r="B16" s="10">
        <v>3</v>
      </c>
      <c r="C16" s="8" t="s">
        <v>137</v>
      </c>
      <c r="D16" s="29">
        <v>8</v>
      </c>
    </row>
    <row r="17" spans="2:4" ht="12.75">
      <c r="B17" s="10">
        <v>4</v>
      </c>
      <c r="C17" s="8" t="s">
        <v>104</v>
      </c>
      <c r="D17" s="29">
        <v>9</v>
      </c>
    </row>
    <row r="18" spans="2:4" ht="12.75">
      <c r="B18" s="10">
        <v>5</v>
      </c>
      <c r="C18" s="8" t="s">
        <v>145</v>
      </c>
      <c r="D18" s="29">
        <v>10</v>
      </c>
    </row>
    <row r="19" spans="2:4" ht="12.75">
      <c r="B19" s="10">
        <v>6</v>
      </c>
      <c r="C19" s="8" t="s">
        <v>121</v>
      </c>
      <c r="D19" s="29">
        <v>11</v>
      </c>
    </row>
    <row r="20" spans="2:4" ht="12.75">
      <c r="B20" s="10">
        <v>7</v>
      </c>
      <c r="C20" s="8" t="s">
        <v>49</v>
      </c>
      <c r="D20" s="28">
        <v>12</v>
      </c>
    </row>
    <row r="21" spans="2:4" ht="12.75">
      <c r="B21" s="10">
        <v>8</v>
      </c>
      <c r="C21" s="8" t="s">
        <v>48</v>
      </c>
      <c r="D21" s="28">
        <v>13</v>
      </c>
    </row>
    <row r="22" spans="2:4" ht="12.75">
      <c r="B22" s="10">
        <v>9</v>
      </c>
      <c r="C22" s="8" t="s">
        <v>47</v>
      </c>
      <c r="D22" s="28">
        <v>14</v>
      </c>
    </row>
    <row r="23" spans="2:4" ht="15">
      <c r="B23" s="10">
        <v>10</v>
      </c>
      <c r="C23" s="8" t="s">
        <v>204</v>
      </c>
      <c r="D23" s="176">
        <v>15</v>
      </c>
    </row>
    <row r="24" spans="2:4" ht="12.75">
      <c r="B24" s="10">
        <v>11</v>
      </c>
      <c r="C24" s="8" t="s">
        <v>188</v>
      </c>
      <c r="D24" s="28">
        <v>16</v>
      </c>
    </row>
    <row r="25" spans="2:4" ht="12.75">
      <c r="B25" s="10">
        <v>12</v>
      </c>
      <c r="C25" s="8" t="s">
        <v>189</v>
      </c>
      <c r="D25" s="28">
        <v>17</v>
      </c>
    </row>
    <row r="26" spans="2:4" ht="6.75" customHeight="1">
      <c r="B26" s="10"/>
      <c r="C26" s="12"/>
      <c r="D26" s="11"/>
    </row>
    <row r="27" spans="2:4" ht="12.75">
      <c r="B27" s="22" t="s">
        <v>53</v>
      </c>
      <c r="C27" s="23" t="s">
        <v>52</v>
      </c>
      <c r="D27" s="21" t="s">
        <v>51</v>
      </c>
    </row>
    <row r="28" spans="2:4" ht="7.5" customHeight="1">
      <c r="B28" s="13"/>
      <c r="C28" s="12"/>
      <c r="D28" s="11"/>
    </row>
    <row r="29" spans="2:4" ht="12.75">
      <c r="B29" s="10">
        <v>1</v>
      </c>
      <c r="C29" s="24" t="s">
        <v>134</v>
      </c>
      <c r="D29" s="28">
        <v>6</v>
      </c>
    </row>
    <row r="30" spans="2:4" ht="12.75">
      <c r="B30" s="10">
        <v>2</v>
      </c>
      <c r="C30" s="6" t="s">
        <v>221</v>
      </c>
      <c r="D30" s="28">
        <v>7</v>
      </c>
    </row>
    <row r="31" spans="2:4" ht="12.75">
      <c r="B31" s="10">
        <v>3</v>
      </c>
      <c r="C31" s="6" t="s">
        <v>140</v>
      </c>
      <c r="D31" s="28">
        <v>8</v>
      </c>
    </row>
    <row r="32" spans="2:4" ht="12.75">
      <c r="B32" s="10">
        <v>4</v>
      </c>
      <c r="C32" s="6" t="s">
        <v>254</v>
      </c>
      <c r="D32" s="29">
        <v>9</v>
      </c>
    </row>
    <row r="33" spans="2:4" ht="12.75">
      <c r="B33" s="10">
        <v>5</v>
      </c>
      <c r="C33" s="8" t="s">
        <v>146</v>
      </c>
      <c r="D33" s="29">
        <v>10</v>
      </c>
    </row>
    <row r="34" spans="2:4" ht="12.75">
      <c r="B34" s="10">
        <v>6</v>
      </c>
      <c r="C34" s="8" t="s">
        <v>147</v>
      </c>
      <c r="D34" s="29">
        <v>10</v>
      </c>
    </row>
    <row r="35" spans="2:4" ht="12.75">
      <c r="B35" s="10">
        <v>7</v>
      </c>
      <c r="C35" s="6" t="s">
        <v>50</v>
      </c>
      <c r="D35" s="29">
        <v>11</v>
      </c>
    </row>
    <row r="36" spans="2:4" ht="12.75">
      <c r="B36" s="10">
        <v>8</v>
      </c>
      <c r="C36" s="6" t="s">
        <v>49</v>
      </c>
      <c r="D36" s="28">
        <v>12</v>
      </c>
    </row>
    <row r="37" spans="2:4" ht="12.75">
      <c r="B37" s="10">
        <v>9</v>
      </c>
      <c r="C37" s="6" t="s">
        <v>48</v>
      </c>
      <c r="D37" s="28">
        <v>13</v>
      </c>
    </row>
    <row r="38" spans="2:4" ht="12.75">
      <c r="B38" s="10">
        <v>10</v>
      </c>
      <c r="C38" s="6" t="s">
        <v>47</v>
      </c>
      <c r="D38" s="28">
        <v>14</v>
      </c>
    </row>
    <row r="39" spans="2:4" ht="12.75">
      <c r="B39" s="10"/>
      <c r="C39" s="8"/>
      <c r="D39" s="30"/>
    </row>
    <row r="40" spans="2:4" ht="12.75">
      <c r="B40" s="10"/>
      <c r="C40" s="8"/>
      <c r="D40" s="30"/>
    </row>
    <row r="41" spans="2:4" ht="12.75">
      <c r="B41" s="10"/>
      <c r="C41" s="8"/>
      <c r="D41" s="30"/>
    </row>
    <row r="42" spans="2:4" ht="12.75">
      <c r="B42" s="10"/>
      <c r="C42" s="8"/>
      <c r="D42" s="30"/>
    </row>
    <row r="43" spans="2:4" ht="12.75">
      <c r="B43" s="10"/>
      <c r="C43" s="8"/>
      <c r="D43" s="30"/>
    </row>
    <row r="44" spans="2:4" ht="12.75">
      <c r="B44" s="10"/>
      <c r="C44" s="8"/>
      <c r="D44" s="30"/>
    </row>
    <row r="45" spans="2:4" ht="12.75">
      <c r="B45" s="10"/>
      <c r="C45" s="8"/>
      <c r="D45" s="30"/>
    </row>
    <row r="46" spans="2:4" ht="12.75">
      <c r="B46" s="10"/>
      <c r="C46" s="8"/>
      <c r="D46" s="30"/>
    </row>
    <row r="47" spans="2:4" ht="12.75">
      <c r="B47" s="10"/>
      <c r="C47" s="8"/>
      <c r="D47" s="30"/>
    </row>
    <row r="48" spans="2:4" ht="12.75">
      <c r="B48" s="10"/>
      <c r="C48" s="8"/>
      <c r="D48" s="30"/>
    </row>
    <row r="49" spans="2:4" ht="12.75">
      <c r="B49" s="10"/>
      <c r="C49" s="8"/>
      <c r="D49" s="30"/>
    </row>
    <row r="50" spans="2:4" ht="12.75">
      <c r="B50" s="10"/>
      <c r="C50" s="8"/>
      <c r="D50" s="30"/>
    </row>
    <row r="51" spans="2:4" ht="12.75">
      <c r="B51" s="10"/>
      <c r="C51" s="8"/>
      <c r="D51" s="30"/>
    </row>
    <row r="52" spans="2:3" ht="12.75">
      <c r="B52" s="5"/>
      <c r="C52" s="5"/>
    </row>
    <row r="53" spans="2:3" ht="12.75">
      <c r="B53" s="5"/>
      <c r="C53" s="5"/>
    </row>
    <row r="54" spans="2:3" ht="12.75">
      <c r="B54" s="5"/>
      <c r="C54" s="5"/>
    </row>
    <row r="55" spans="2:3" ht="12.75">
      <c r="B55" s="5"/>
      <c r="C55" s="5"/>
    </row>
    <row r="56" spans="2:3" ht="12.75">
      <c r="B56" s="5"/>
      <c r="C56" s="5"/>
    </row>
    <row r="57" spans="2:4" ht="12.75">
      <c r="B57" s="9"/>
      <c r="C57" s="8"/>
      <c r="D57" s="8"/>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79"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N16"/>
  <sheetViews>
    <sheetView zoomScale="80" zoomScaleNormal="80" zoomScaleSheetLayoutView="80" zoomScalePageLayoutView="80" workbookViewId="0" topLeftCell="A1">
      <selection activeCell="B9" sqref="B9"/>
    </sheetView>
  </sheetViews>
  <sheetFormatPr defaultColWidth="10.8515625" defaultRowHeight="15"/>
  <cols>
    <col min="1" max="1" width="1.28515625" style="20" customWidth="1"/>
    <col min="2" max="12" width="15.8515625" style="20" customWidth="1"/>
    <col min="13" max="13" width="2.00390625" style="20" customWidth="1"/>
    <col min="14" max="20" width="10.8515625" style="20" customWidth="1"/>
    <col min="21" max="16384" width="10.8515625" style="20" customWidth="1"/>
  </cols>
  <sheetData>
    <row r="1" ht="7.5" customHeight="1"/>
    <row r="2" spans="2:14" ht="16.5" customHeight="1">
      <c r="B2" s="364" t="s">
        <v>154</v>
      </c>
      <c r="C2" s="365"/>
      <c r="D2" s="365"/>
      <c r="E2" s="365"/>
      <c r="F2" s="365"/>
      <c r="G2" s="365"/>
      <c r="H2" s="365"/>
      <c r="I2" s="365"/>
      <c r="J2" s="365"/>
      <c r="K2" s="365"/>
      <c r="L2" s="366"/>
      <c r="M2" s="159"/>
      <c r="N2" s="66" t="s">
        <v>148</v>
      </c>
    </row>
    <row r="3" spans="2:13" ht="12.75">
      <c r="B3" s="315"/>
      <c r="C3" s="316"/>
      <c r="D3" s="316"/>
      <c r="E3" s="316"/>
      <c r="F3" s="316"/>
      <c r="G3" s="316"/>
      <c r="H3" s="316"/>
      <c r="I3" s="316"/>
      <c r="J3" s="316"/>
      <c r="K3" s="316"/>
      <c r="L3" s="317"/>
      <c r="M3" s="2"/>
    </row>
    <row r="4" spans="2:13" ht="235.5" customHeight="1">
      <c r="B4" s="367" t="s">
        <v>282</v>
      </c>
      <c r="C4" s="368"/>
      <c r="D4" s="368"/>
      <c r="E4" s="368"/>
      <c r="F4" s="368"/>
      <c r="G4" s="368"/>
      <c r="H4" s="368"/>
      <c r="I4" s="368"/>
      <c r="J4" s="368"/>
      <c r="K4" s="368"/>
      <c r="L4" s="369"/>
      <c r="M4" s="160"/>
    </row>
    <row r="5" spans="2:13" ht="208.5" customHeight="1">
      <c r="B5" s="367" t="s">
        <v>283</v>
      </c>
      <c r="C5" s="368"/>
      <c r="D5" s="368"/>
      <c r="E5" s="368"/>
      <c r="F5" s="368"/>
      <c r="G5" s="368"/>
      <c r="H5" s="368"/>
      <c r="I5" s="368"/>
      <c r="J5" s="368"/>
      <c r="K5" s="368"/>
      <c r="L5" s="369"/>
      <c r="M5" s="160"/>
    </row>
    <row r="6" spans="2:13" ht="300.75" customHeight="1">
      <c r="B6" s="367" t="s">
        <v>269</v>
      </c>
      <c r="C6" s="368"/>
      <c r="D6" s="368"/>
      <c r="E6" s="368"/>
      <c r="F6" s="368"/>
      <c r="G6" s="368"/>
      <c r="H6" s="368"/>
      <c r="I6" s="368"/>
      <c r="J6" s="368"/>
      <c r="K6" s="368"/>
      <c r="L6" s="369"/>
      <c r="M6" s="160"/>
    </row>
    <row r="7" spans="2:13" ht="114" customHeight="1">
      <c r="B7" s="367" t="s">
        <v>284</v>
      </c>
      <c r="C7" s="368"/>
      <c r="D7" s="368"/>
      <c r="E7" s="368"/>
      <c r="F7" s="368"/>
      <c r="G7" s="368"/>
      <c r="H7" s="368"/>
      <c r="I7" s="368"/>
      <c r="J7" s="368"/>
      <c r="K7" s="368"/>
      <c r="L7" s="369"/>
      <c r="M7" s="160"/>
    </row>
    <row r="8" spans="2:12" ht="183" customHeight="1">
      <c r="B8" s="370" t="s">
        <v>285</v>
      </c>
      <c r="C8" s="371"/>
      <c r="D8" s="371"/>
      <c r="E8" s="371"/>
      <c r="F8" s="371"/>
      <c r="G8" s="371"/>
      <c r="H8" s="371"/>
      <c r="I8" s="371"/>
      <c r="J8" s="371"/>
      <c r="K8" s="371"/>
      <c r="L8" s="372"/>
    </row>
    <row r="12" spans="3:4" ht="12.75">
      <c r="C12" s="304"/>
      <c r="D12" s="304"/>
    </row>
    <row r="15" spans="2:12" ht="12.75">
      <c r="B15" s="306"/>
      <c r="C15" s="306"/>
      <c r="D15" s="306"/>
      <c r="E15" s="306"/>
      <c r="F15" s="306"/>
      <c r="G15" s="306"/>
      <c r="H15" s="306"/>
      <c r="I15" s="306"/>
      <c r="J15" s="306"/>
      <c r="K15" s="306"/>
      <c r="L15" s="306"/>
    </row>
    <row r="16" spans="2:12" ht="12.75">
      <c r="B16" s="305"/>
      <c r="C16" s="305"/>
      <c r="D16" s="305"/>
      <c r="E16" s="305"/>
      <c r="F16" s="305"/>
      <c r="G16" s="305"/>
      <c r="H16" s="305"/>
      <c r="I16" s="305"/>
      <c r="J16" s="305"/>
      <c r="K16" s="305"/>
      <c r="L16" s="305"/>
    </row>
  </sheetData>
  <sheetProtection/>
  <mergeCells count="6">
    <mergeCell ref="B2:L2"/>
    <mergeCell ref="B4:L4"/>
    <mergeCell ref="B5:L5"/>
    <mergeCell ref="B6:L6"/>
    <mergeCell ref="B8:L8"/>
    <mergeCell ref="B7:L7"/>
  </mergeCells>
  <hyperlinks>
    <hyperlink ref="N2" location="Índice!A1" display="Volver al índice"/>
  </hyperlinks>
  <printOptions/>
  <pageMargins left="0.7086614173228347" right="0.7086614173228347" top="1.299212598425197" bottom="0.7480314960629921" header="0.31496062992125984" footer="0.31496062992125984"/>
  <pageSetup fitToHeight="0" horizontalDpi="600" verticalDpi="600" orientation="portrait" scale="51" r:id="rId1"/>
  <headerFooter differentFirst="1">
    <oddFooter>&amp;C&amp;P</oddFooter>
  </headerFooter>
  <colBreaks count="1" manualBreakCount="1">
    <brk id="12"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125" workbookViewId="0" topLeftCell="A1">
      <selection activeCell="A1" sqref="A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11" width="10.8515625" style="20" customWidth="1"/>
    <col min="12" max="16384" width="10.8515625" style="20" customWidth="1"/>
  </cols>
  <sheetData>
    <row r="1" ht="13.5" customHeight="1"/>
    <row r="2" spans="2:9" ht="12.75" customHeight="1">
      <c r="B2" s="377" t="s">
        <v>57</v>
      </c>
      <c r="C2" s="377"/>
      <c r="D2" s="377"/>
      <c r="E2" s="377"/>
      <c r="F2" s="377"/>
      <c r="G2" s="377"/>
      <c r="I2" s="45" t="s">
        <v>148</v>
      </c>
    </row>
    <row r="3" spans="2:7" ht="12.75" customHeight="1">
      <c r="B3" s="377" t="s">
        <v>133</v>
      </c>
      <c r="C3" s="377"/>
      <c r="D3" s="377"/>
      <c r="E3" s="377"/>
      <c r="F3" s="377"/>
      <c r="G3" s="377"/>
    </row>
    <row r="4" spans="2:7" ht="12.75">
      <c r="B4" s="377" t="s">
        <v>246</v>
      </c>
      <c r="C4" s="377"/>
      <c r="D4" s="377"/>
      <c r="E4" s="377"/>
      <c r="F4" s="377"/>
      <c r="G4" s="377"/>
    </row>
    <row r="5" spans="2:12" ht="12.75">
      <c r="B5" s="2"/>
      <c r="C5" s="2"/>
      <c r="D5" s="2"/>
      <c r="E5" s="2"/>
      <c r="F5" s="2"/>
      <c r="G5" s="2"/>
      <c r="I5" s="146"/>
      <c r="J5" s="146"/>
      <c r="K5" s="146"/>
      <c r="L5" s="146"/>
    </row>
    <row r="6" spans="2:12" ht="12.75">
      <c r="B6" s="375" t="s">
        <v>46</v>
      </c>
      <c r="C6" s="374" t="s">
        <v>45</v>
      </c>
      <c r="D6" s="374"/>
      <c r="E6" s="374"/>
      <c r="F6" s="374" t="s">
        <v>44</v>
      </c>
      <c r="G6" s="374"/>
      <c r="I6" s="146"/>
      <c r="J6" s="146"/>
      <c r="K6" s="146"/>
      <c r="L6" s="146"/>
    </row>
    <row r="7" spans="2:12" ht="12.75">
      <c r="B7" s="376"/>
      <c r="C7" s="233">
        <v>2015</v>
      </c>
      <c r="D7" s="232">
        <f>+C7+1</f>
        <v>2016</v>
      </c>
      <c r="E7" s="232">
        <f>+D7+1</f>
        <v>2017</v>
      </c>
      <c r="F7" s="260" t="s">
        <v>43</v>
      </c>
      <c r="G7" s="260" t="s">
        <v>42</v>
      </c>
      <c r="I7" s="146"/>
      <c r="J7" s="146"/>
      <c r="K7" s="146"/>
      <c r="L7" s="146"/>
    </row>
    <row r="8" spans="2:12" ht="12.75">
      <c r="B8" s="94" t="s">
        <v>41</v>
      </c>
      <c r="C8" s="148">
        <v>212.69</v>
      </c>
      <c r="D8" s="148">
        <v>196.24</v>
      </c>
      <c r="E8" s="148">
        <v>120.48</v>
      </c>
      <c r="F8" s="149">
        <f>(E8/D19-1)*100</f>
        <v>-12.626006236855458</v>
      </c>
      <c r="G8" s="149">
        <f>(E8/D8-1)*100</f>
        <v>-38.60578883000407</v>
      </c>
      <c r="I8" s="146"/>
      <c r="J8" s="146"/>
      <c r="K8" s="146"/>
      <c r="L8" s="146"/>
    </row>
    <row r="9" spans="2:12" ht="12.75">
      <c r="B9" s="95" t="s">
        <v>40</v>
      </c>
      <c r="C9" s="149">
        <v>200.61</v>
      </c>
      <c r="D9" s="149">
        <v>180.84</v>
      </c>
      <c r="E9" s="149">
        <v>137.6</v>
      </c>
      <c r="F9" s="149">
        <f aca="true" t="shared" si="0" ref="F9:F14">(E9/E8-1)*100</f>
        <v>14.209827357237703</v>
      </c>
      <c r="G9" s="149">
        <f>(E9/D9-1)*100</f>
        <v>-23.910639239106402</v>
      </c>
      <c r="I9" s="146"/>
      <c r="J9" s="146"/>
      <c r="K9" s="146"/>
      <c r="L9" s="146"/>
    </row>
    <row r="10" spans="2:12" ht="12.75">
      <c r="B10" s="95" t="s">
        <v>39</v>
      </c>
      <c r="C10" s="149">
        <v>210.48</v>
      </c>
      <c r="D10" s="149">
        <v>181.1</v>
      </c>
      <c r="E10" s="149">
        <v>143.95</v>
      </c>
      <c r="F10" s="149">
        <f t="shared" si="0"/>
        <v>4.614825581395343</v>
      </c>
      <c r="G10" s="149">
        <f>(E10/D10-1)*100</f>
        <v>-20.513528437327444</v>
      </c>
      <c r="I10" s="146"/>
      <c r="J10" s="146"/>
      <c r="K10" s="146"/>
      <c r="L10" s="146"/>
    </row>
    <row r="11" spans="2:12" ht="12.75">
      <c r="B11" s="95" t="s">
        <v>38</v>
      </c>
      <c r="C11" s="149">
        <v>252.76</v>
      </c>
      <c r="D11" s="149">
        <v>174.37</v>
      </c>
      <c r="E11" s="150">
        <v>139.89</v>
      </c>
      <c r="F11" s="149">
        <f t="shared" si="0"/>
        <v>-2.8204237582493907</v>
      </c>
      <c r="G11" s="149">
        <f>(E11/D11-1)*100</f>
        <v>-19.774043700177792</v>
      </c>
      <c r="I11" s="146"/>
      <c r="J11" s="146"/>
      <c r="K11" s="146"/>
      <c r="L11" s="146"/>
    </row>
    <row r="12" spans="2:12" ht="12.75">
      <c r="B12" s="95" t="s">
        <v>37</v>
      </c>
      <c r="C12" s="149">
        <v>235.08</v>
      </c>
      <c r="D12" s="149">
        <v>217.98</v>
      </c>
      <c r="E12" s="150">
        <v>140.08</v>
      </c>
      <c r="F12" s="149">
        <f t="shared" si="0"/>
        <v>0.1358210022160522</v>
      </c>
      <c r="G12" s="149">
        <f>(E12/D12-1)*100</f>
        <v>-35.73722359849527</v>
      </c>
      <c r="I12" s="146"/>
      <c r="J12" s="146"/>
      <c r="K12" s="146"/>
      <c r="L12" s="146"/>
    </row>
    <row r="13" spans="2:12" ht="12.75">
      <c r="B13" s="95" t="s">
        <v>36</v>
      </c>
      <c r="C13" s="149">
        <v>228.59</v>
      </c>
      <c r="D13" s="149">
        <v>243.56</v>
      </c>
      <c r="E13" s="149">
        <v>126.73</v>
      </c>
      <c r="F13" s="149">
        <f t="shared" si="0"/>
        <v>-9.53026841804684</v>
      </c>
      <c r="G13" s="149">
        <f>(E13/D13-1)*100</f>
        <v>-47.96764657579241</v>
      </c>
      <c r="I13" s="146"/>
      <c r="J13" s="146"/>
      <c r="K13" s="146"/>
      <c r="L13" s="146"/>
    </row>
    <row r="14" spans="2:12" ht="12.75">
      <c r="B14" s="95" t="s">
        <v>35</v>
      </c>
      <c r="C14" s="149">
        <v>268.59</v>
      </c>
      <c r="D14" s="149">
        <v>245.19</v>
      </c>
      <c r="E14" s="150">
        <v>129.41</v>
      </c>
      <c r="F14" s="149">
        <f t="shared" si="0"/>
        <v>2.1147321076303793</v>
      </c>
      <c r="G14" s="149">
        <f>(E14/D14-1)*100</f>
        <v>-47.220522859823</v>
      </c>
      <c r="I14" s="146"/>
      <c r="J14" s="146"/>
      <c r="K14" s="146"/>
      <c r="L14" s="146"/>
    </row>
    <row r="15" spans="2:12" ht="12.75">
      <c r="B15" s="95" t="s">
        <v>34</v>
      </c>
      <c r="C15" s="149">
        <v>374.35</v>
      </c>
      <c r="D15" s="149">
        <v>266.75</v>
      </c>
      <c r="E15" s="150">
        <v>125.43</v>
      </c>
      <c r="F15" s="149">
        <f>(E15/E14-1)*100</f>
        <v>-3.075496484042961</v>
      </c>
      <c r="G15" s="149">
        <f>(E15/D15-1)*100</f>
        <v>-52.978444236176195</v>
      </c>
      <c r="I15" s="146"/>
      <c r="J15" s="146"/>
      <c r="K15" s="146"/>
      <c r="L15" s="146"/>
    </row>
    <row r="16" spans="2:25" ht="12.75">
      <c r="B16" s="95" t="s">
        <v>33</v>
      </c>
      <c r="C16" s="149">
        <v>344.46</v>
      </c>
      <c r="D16" s="149">
        <v>232.53</v>
      </c>
      <c r="E16" s="149">
        <v>139.24</v>
      </c>
      <c r="F16" s="149">
        <f>(E16/E15-1)*100</f>
        <v>11.010125169417195</v>
      </c>
      <c r="G16" s="149">
        <f>(E16/D16-1)*100</f>
        <v>-40.11955446609039</v>
      </c>
      <c r="I16" s="146"/>
      <c r="J16" s="146"/>
      <c r="K16" s="146"/>
      <c r="L16" s="146"/>
      <c r="Q16" s="146"/>
      <c r="R16" s="146"/>
      <c r="S16" s="146"/>
      <c r="T16" s="146"/>
      <c r="U16" s="146"/>
      <c r="V16" s="146"/>
      <c r="W16" s="146"/>
      <c r="X16" s="146"/>
      <c r="Y16" s="146"/>
    </row>
    <row r="17" spans="2:25" ht="12.75">
      <c r="B17" s="95" t="s">
        <v>32</v>
      </c>
      <c r="C17" s="149">
        <v>386.05</v>
      </c>
      <c r="D17" s="149">
        <v>231.59</v>
      </c>
      <c r="E17" s="149">
        <v>149.24</v>
      </c>
      <c r="F17" s="149">
        <f>(E17/E16-1)*100</f>
        <v>7.181844297615636</v>
      </c>
      <c r="G17" s="149">
        <f>(E17/D17-1)*100</f>
        <v>-35.55853016106049</v>
      </c>
      <c r="I17" s="146"/>
      <c r="J17" s="146"/>
      <c r="K17" s="146"/>
      <c r="L17" s="146"/>
      <c r="Q17" s="146"/>
      <c r="R17" s="146"/>
      <c r="S17" s="146"/>
      <c r="T17" s="146"/>
      <c r="U17" s="146"/>
      <c r="V17" s="146"/>
      <c r="W17" s="146"/>
      <c r="X17" s="146"/>
      <c r="Y17" s="146"/>
    </row>
    <row r="18" spans="2:12" ht="12.75">
      <c r="B18" s="95" t="s">
        <v>31</v>
      </c>
      <c r="C18" s="149">
        <v>396.11</v>
      </c>
      <c r="D18" s="149">
        <v>210.93</v>
      </c>
      <c r="E18" s="149"/>
      <c r="F18" s="149"/>
      <c r="G18" s="149"/>
      <c r="I18" s="146"/>
      <c r="J18" s="146"/>
      <c r="L18" s="146"/>
    </row>
    <row r="19" spans="2:12" ht="12.75">
      <c r="B19" s="2" t="s">
        <v>30</v>
      </c>
      <c r="C19" s="151">
        <v>277.5</v>
      </c>
      <c r="D19" s="151">
        <v>137.89</v>
      </c>
      <c r="E19" s="151"/>
      <c r="F19" s="149"/>
      <c r="G19" s="149"/>
      <c r="I19" s="146"/>
      <c r="J19" s="146"/>
      <c r="L19" s="146"/>
    </row>
    <row r="20" spans="2:12" ht="12.75">
      <c r="B20" s="4" t="s">
        <v>247</v>
      </c>
      <c r="C20" s="152">
        <v>282.27</v>
      </c>
      <c r="D20" s="152">
        <v>209.91</v>
      </c>
      <c r="E20" s="327">
        <v>135.2</v>
      </c>
      <c r="F20" s="152"/>
      <c r="G20" s="152">
        <f>(E20/D20-1)*100</f>
        <v>-35.591443952169975</v>
      </c>
      <c r="I20" s="146"/>
      <c r="J20" s="146"/>
      <c r="L20" s="146"/>
    </row>
    <row r="21" spans="2:12" ht="12.75">
      <c r="B21" s="3" t="s">
        <v>248</v>
      </c>
      <c r="C21" s="153">
        <f>AVERAGE(C8:C17)</f>
        <v>271.366</v>
      </c>
      <c r="D21" s="153">
        <f>AVERAGE(D8:D17)</f>
        <v>217.01500000000001</v>
      </c>
      <c r="E21" s="153">
        <f>AVERAGE(E8:E17)</f>
        <v>135.20499999999998</v>
      </c>
      <c r="F21" s="153"/>
      <c r="G21" s="153">
        <f>(E21/D21-1)*100</f>
        <v>-37.697854986982485</v>
      </c>
      <c r="I21" s="146"/>
      <c r="J21" s="146"/>
      <c r="L21" s="146"/>
    </row>
    <row r="22" spans="2:12" ht="74.25" customHeight="1">
      <c r="B22" s="373" t="s">
        <v>249</v>
      </c>
      <c r="C22" s="373"/>
      <c r="D22" s="373"/>
      <c r="E22" s="373"/>
      <c r="F22" s="373"/>
      <c r="G22" s="373"/>
      <c r="H22" s="238"/>
      <c r="I22" s="146"/>
      <c r="J22" s="146"/>
      <c r="L22" s="146"/>
    </row>
    <row r="35" ht="12.75">
      <c r="N35" s="237"/>
    </row>
    <row r="36" ht="12.75">
      <c r="N36" s="237"/>
    </row>
    <row r="37" ht="12.75">
      <c r="N37" s="237"/>
    </row>
    <row r="38" ht="12.75">
      <c r="N38" s="237"/>
    </row>
    <row r="39" ht="12.75">
      <c r="N39" s="237"/>
    </row>
    <row r="40" spans="13:14" ht="12.75">
      <c r="M40" s="154"/>
      <c r="N40" s="237"/>
    </row>
    <row r="41" spans="13:14" ht="12.75">
      <c r="M41" s="154"/>
      <c r="N41" s="237"/>
    </row>
    <row r="42" spans="13:14" ht="12.75">
      <c r="M42" s="154"/>
      <c r="N42" s="237"/>
    </row>
    <row r="43" spans="13:14" ht="12.75">
      <c r="M43" s="154"/>
      <c r="N43" s="237"/>
    </row>
    <row r="44" spans="13:14" ht="12.75">
      <c r="M44" s="154"/>
      <c r="N44" s="237"/>
    </row>
    <row r="45" spans="13:14" ht="12.75">
      <c r="M45" s="154"/>
      <c r="N45" s="237"/>
    </row>
    <row r="46" spans="13:14" ht="12.75">
      <c r="M46" s="154"/>
      <c r="N46" s="237"/>
    </row>
    <row r="47" spans="13:14" ht="12.75">
      <c r="M47" s="154"/>
      <c r="N47" s="237"/>
    </row>
    <row r="48" spans="13:14" ht="12.75">
      <c r="M48" s="154"/>
      <c r="N48" s="237"/>
    </row>
    <row r="60" ht="12.75">
      <c r="E60" s="151"/>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1"/>
  <sheetViews>
    <sheetView zoomScale="80" zoomScaleNormal="80" zoomScalePageLayoutView="0" workbookViewId="0" topLeftCell="A1">
      <selection activeCell="A1" sqref="A1"/>
    </sheetView>
  </sheetViews>
  <sheetFormatPr defaultColWidth="10.8515625" defaultRowHeight="15"/>
  <cols>
    <col min="1" max="1" width="1.421875" style="212" customWidth="1"/>
    <col min="2" max="11" width="11.00390625" style="212" customWidth="1"/>
    <col min="12" max="12" width="12.28125" style="212" customWidth="1"/>
    <col min="13" max="13" width="3.421875" style="212" customWidth="1"/>
    <col min="14" max="14" width="14.140625" style="212" customWidth="1"/>
    <col min="15" max="15" width="10.8515625" style="143" customWidth="1"/>
    <col min="16" max="26" width="10.8515625" style="334" hidden="1" customWidth="1"/>
    <col min="27" max="27" width="10.8515625" style="143" customWidth="1"/>
    <col min="28" max="16384" width="10.8515625" style="212" customWidth="1"/>
  </cols>
  <sheetData>
    <row r="1" ht="6.75" customHeight="1"/>
    <row r="2" spans="2:15" ht="12.75">
      <c r="B2" s="381" t="s">
        <v>58</v>
      </c>
      <c r="C2" s="381"/>
      <c r="D2" s="381"/>
      <c r="E2" s="381"/>
      <c r="F2" s="381"/>
      <c r="G2" s="381"/>
      <c r="H2" s="381"/>
      <c r="I2" s="381"/>
      <c r="J2" s="381"/>
      <c r="K2" s="381"/>
      <c r="L2" s="381"/>
      <c r="M2" s="132"/>
      <c r="N2" s="45" t="s">
        <v>148</v>
      </c>
      <c r="O2" s="145"/>
    </row>
    <row r="3" spans="2:15" ht="12.75">
      <c r="B3" s="381" t="s">
        <v>138</v>
      </c>
      <c r="C3" s="381"/>
      <c r="D3" s="381"/>
      <c r="E3" s="381"/>
      <c r="F3" s="381"/>
      <c r="G3" s="381"/>
      <c r="H3" s="381"/>
      <c r="I3" s="381"/>
      <c r="J3" s="381"/>
      <c r="K3" s="381"/>
      <c r="L3" s="381"/>
      <c r="M3" s="233"/>
      <c r="N3" s="232"/>
      <c r="O3" s="228"/>
    </row>
    <row r="4" spans="2:15" ht="12.75">
      <c r="B4" s="381" t="s">
        <v>275</v>
      </c>
      <c r="C4" s="381"/>
      <c r="D4" s="381"/>
      <c r="E4" s="381"/>
      <c r="F4" s="381"/>
      <c r="G4" s="381"/>
      <c r="H4" s="381"/>
      <c r="I4" s="381"/>
      <c r="J4" s="381"/>
      <c r="K4" s="381"/>
      <c r="L4" s="381"/>
      <c r="M4" s="233"/>
      <c r="N4" s="232"/>
      <c r="O4" s="228"/>
    </row>
    <row r="5" spans="2:26" ht="25.5">
      <c r="B5" s="57" t="s">
        <v>63</v>
      </c>
      <c r="C5" s="85" t="s">
        <v>61</v>
      </c>
      <c r="D5" s="85" t="s">
        <v>122</v>
      </c>
      <c r="E5" s="85" t="s">
        <v>62</v>
      </c>
      <c r="F5" s="85" t="s">
        <v>272</v>
      </c>
      <c r="G5" s="85" t="s">
        <v>273</v>
      </c>
      <c r="H5" s="85" t="s">
        <v>128</v>
      </c>
      <c r="I5" s="85" t="s">
        <v>274</v>
      </c>
      <c r="J5" s="85" t="s">
        <v>157</v>
      </c>
      <c r="K5" s="85" t="s">
        <v>260</v>
      </c>
      <c r="L5" s="85" t="s">
        <v>68</v>
      </c>
      <c r="M5" s="219"/>
      <c r="Q5" s="335" t="str">
        <f>+C5</f>
        <v>Asterix</v>
      </c>
      <c r="R5" s="335" t="str">
        <f>+D5</f>
        <v>Cardinal</v>
      </c>
      <c r="S5" s="335" t="str">
        <f>+E5</f>
        <v>Désirée</v>
      </c>
      <c r="T5" s="335" t="str">
        <f>+F5</f>
        <v>Karú - Inia</v>
      </c>
      <c r="U5" s="335" t="str">
        <f>+G5</f>
        <v>Pukará - Inia</v>
      </c>
      <c r="V5" s="335" t="str">
        <f>+H5</f>
        <v>Rodeo</v>
      </c>
      <c r="W5" s="335" t="str">
        <f>+I5</f>
        <v>Patagonia - Inia</v>
      </c>
      <c r="X5" s="335" t="str">
        <f>+J5</f>
        <v>Rosara</v>
      </c>
      <c r="Y5" s="335" t="s">
        <v>260</v>
      </c>
      <c r="Z5" s="335" t="s">
        <v>265</v>
      </c>
    </row>
    <row r="6" spans="2:26" ht="12.75">
      <c r="B6" s="92">
        <v>42991</v>
      </c>
      <c r="C6" s="141"/>
      <c r="D6" s="141"/>
      <c r="E6" s="141"/>
      <c r="F6" s="141"/>
      <c r="G6" s="141"/>
      <c r="H6" s="141"/>
      <c r="I6" s="141">
        <v>3163.92</v>
      </c>
      <c r="J6" s="141"/>
      <c r="K6" s="281"/>
      <c r="L6" s="141">
        <v>3163.92</v>
      </c>
      <c r="Q6" s="336">
        <f aca="true" t="shared" si="0" ref="Q6:Q35">+IF(C6="","",((C6-$L6)/$L6))</f>
      </c>
      <c r="R6" s="336">
        <f aca="true" t="shared" si="1" ref="R6:R35">+IF(D6="","",((D6-$L6)/$L6))</f>
      </c>
      <c r="S6" s="336">
        <f aca="true" t="shared" si="2" ref="S6:S35">+IF(E6="","",((E6-$L6)/$L6))</f>
      </c>
      <c r="T6" s="336">
        <f aca="true" t="shared" si="3" ref="T6:T35">+IF(F6="","",((F6-$L6)/$L6))</f>
      </c>
      <c r="U6" s="336">
        <f aca="true" t="shared" si="4" ref="U6:U35">+IF(G6="","",((G6-$L6)/$L6))</f>
      </c>
      <c r="V6" s="336">
        <f aca="true" t="shared" si="5" ref="V6:V35">+IF(H6="","",((H6-$L6)/$L6))</f>
      </c>
      <c r="W6" s="336">
        <f aca="true" t="shared" si="6" ref="W6:W35">+IF(I6="","",((I6-$L6)/$L6))</f>
        <v>0</v>
      </c>
      <c r="X6" s="336">
        <f aca="true" t="shared" si="7" ref="X6:X35">+IF(J6="","",((J6-$L6)/$L6))</f>
      </c>
      <c r="Y6" s="336">
        <f aca="true" t="shared" si="8" ref="Y6:Y35">+IF(K6="","",((K6-$L6)/$L6))</f>
      </c>
      <c r="Z6" s="336"/>
    </row>
    <row r="7" spans="2:26" ht="12.75">
      <c r="B7" s="93">
        <v>42993</v>
      </c>
      <c r="C7" s="89">
        <v>3571.43</v>
      </c>
      <c r="D7" s="89"/>
      <c r="E7" s="89"/>
      <c r="F7" s="89"/>
      <c r="G7" s="89"/>
      <c r="H7" s="89"/>
      <c r="I7" s="89"/>
      <c r="J7" s="89"/>
      <c r="K7" s="89"/>
      <c r="L7" s="89">
        <v>3571.43</v>
      </c>
      <c r="Q7" s="336">
        <f t="shared" si="0"/>
        <v>0</v>
      </c>
      <c r="R7" s="336">
        <f t="shared" si="1"/>
      </c>
      <c r="S7" s="336">
        <f t="shared" si="2"/>
      </c>
      <c r="T7" s="336">
        <f t="shared" si="3"/>
      </c>
      <c r="U7" s="336">
        <f t="shared" si="4"/>
      </c>
      <c r="V7" s="336">
        <f t="shared" si="5"/>
      </c>
      <c r="W7" s="336">
        <f t="shared" si="6"/>
      </c>
      <c r="X7" s="336">
        <f t="shared" si="7"/>
      </c>
      <c r="Y7" s="336">
        <f t="shared" si="8"/>
      </c>
      <c r="Z7" s="336"/>
    </row>
    <row r="8" spans="2:26" ht="12.75">
      <c r="B8" s="93">
        <v>42998</v>
      </c>
      <c r="C8" s="89"/>
      <c r="D8" s="89"/>
      <c r="E8" s="89"/>
      <c r="F8" s="89"/>
      <c r="G8" s="89"/>
      <c r="H8" s="89"/>
      <c r="I8" s="89"/>
      <c r="J8" s="89">
        <v>3276.025</v>
      </c>
      <c r="K8" s="89"/>
      <c r="L8" s="89">
        <v>3276.025</v>
      </c>
      <c r="Q8" s="336">
        <f t="shared" si="0"/>
      </c>
      <c r="R8" s="336">
        <f t="shared" si="1"/>
      </c>
      <c r="S8" s="336">
        <f t="shared" si="2"/>
      </c>
      <c r="T8" s="336">
        <f t="shared" si="3"/>
      </c>
      <c r="U8" s="336">
        <f t="shared" si="4"/>
      </c>
      <c r="V8" s="336">
        <f t="shared" si="5"/>
      </c>
      <c r="W8" s="336">
        <f t="shared" si="6"/>
      </c>
      <c r="X8" s="336">
        <f t="shared" si="7"/>
        <v>0</v>
      </c>
      <c r="Y8" s="336">
        <f t="shared" si="8"/>
      </c>
      <c r="Z8" s="336"/>
    </row>
    <row r="9" spans="2:26" ht="12.75">
      <c r="B9" s="93">
        <v>42999</v>
      </c>
      <c r="C9" s="89">
        <v>5378.15</v>
      </c>
      <c r="D9" s="89">
        <v>5378.15</v>
      </c>
      <c r="E9" s="89"/>
      <c r="F9" s="89"/>
      <c r="G9" s="89"/>
      <c r="H9" s="89"/>
      <c r="I9" s="89">
        <v>3196.0833333333335</v>
      </c>
      <c r="J9" s="89">
        <v>3038.385</v>
      </c>
      <c r="K9" s="89"/>
      <c r="L9" s="89">
        <v>3610.898888888889</v>
      </c>
      <c r="Q9" s="336">
        <f t="shared" si="0"/>
        <v>0.4894213783025401</v>
      </c>
      <c r="R9" s="336">
        <f t="shared" si="1"/>
        <v>0.4894213783025401</v>
      </c>
      <c r="S9" s="336">
        <f t="shared" si="2"/>
      </c>
      <c r="T9" s="336">
        <f t="shared" si="3"/>
      </c>
      <c r="U9" s="336">
        <f t="shared" si="4"/>
      </c>
      <c r="V9" s="336">
        <f t="shared" si="5"/>
      </c>
      <c r="W9" s="336">
        <f t="shared" si="6"/>
        <v>-0.1148787513358477</v>
      </c>
      <c r="X9" s="336">
        <f t="shared" si="7"/>
        <v>-0.15855162564938427</v>
      </c>
      <c r="Y9" s="336">
        <f t="shared" si="8"/>
      </c>
      <c r="Z9" s="336"/>
    </row>
    <row r="10" spans="2:26" ht="12.75">
      <c r="B10" s="93">
        <v>43000</v>
      </c>
      <c r="C10" s="89">
        <v>4162.5</v>
      </c>
      <c r="D10" s="89">
        <v>5378.15</v>
      </c>
      <c r="E10" s="89"/>
      <c r="F10" s="89"/>
      <c r="G10" s="89"/>
      <c r="H10" s="89">
        <v>3137.335</v>
      </c>
      <c r="I10" s="89">
        <v>3492.2433333333333</v>
      </c>
      <c r="J10" s="89">
        <v>3045.73</v>
      </c>
      <c r="K10" s="89"/>
      <c r="L10" s="89">
        <v>3599.997692307693</v>
      </c>
      <c r="Q10" s="336">
        <f t="shared" si="0"/>
        <v>0.15625074118637236</v>
      </c>
      <c r="R10" s="336">
        <f t="shared" si="1"/>
        <v>0.4939315132039611</v>
      </c>
      <c r="S10" s="336">
        <f t="shared" si="2"/>
      </c>
      <c r="T10" s="336">
        <f t="shared" si="3"/>
      </c>
      <c r="U10" s="336">
        <f t="shared" si="4"/>
      </c>
      <c r="V10" s="336">
        <f t="shared" si="5"/>
        <v>-0.1285174969129255</v>
      </c>
      <c r="W10" s="336">
        <f t="shared" si="6"/>
        <v>-0.02993178556880857</v>
      </c>
      <c r="X10" s="336">
        <f t="shared" si="7"/>
        <v>-0.15396334655770091</v>
      </c>
      <c r="Y10" s="336">
        <f t="shared" si="8"/>
      </c>
      <c r="Z10" s="336"/>
    </row>
    <row r="11" spans="2:26" ht="12.75">
      <c r="B11" s="93">
        <v>43003</v>
      </c>
      <c r="C11" s="89">
        <v>4299.675</v>
      </c>
      <c r="D11" s="89">
        <v>4831.93</v>
      </c>
      <c r="E11" s="89"/>
      <c r="F11" s="89"/>
      <c r="G11" s="89"/>
      <c r="H11" s="89">
        <v>3987.565</v>
      </c>
      <c r="I11" s="89">
        <v>3568.4900000000002</v>
      </c>
      <c r="J11" s="89">
        <v>3244.635</v>
      </c>
      <c r="K11" s="89"/>
      <c r="L11" s="89">
        <v>3860.1149999999993</v>
      </c>
      <c r="Q11" s="336">
        <f t="shared" si="0"/>
        <v>0.11387225510120837</v>
      </c>
      <c r="R11" s="336">
        <f t="shared" si="1"/>
        <v>0.2517580434779796</v>
      </c>
      <c r="S11" s="336">
        <f t="shared" si="2"/>
      </c>
      <c r="T11" s="336">
        <f t="shared" si="3"/>
      </c>
      <c r="U11" s="336">
        <f t="shared" si="4"/>
      </c>
      <c r="V11" s="336">
        <f t="shared" si="5"/>
        <v>0.03301715104342766</v>
      </c>
      <c r="W11" s="336">
        <f t="shared" si="6"/>
        <v>-0.07554826734436645</v>
      </c>
      <c r="X11" s="336">
        <f t="shared" si="7"/>
        <v>-0.159446026867075</v>
      </c>
      <c r="Y11" s="336">
        <f t="shared" si="8"/>
      </c>
      <c r="Z11" s="336"/>
    </row>
    <row r="12" spans="2:26" ht="12.75">
      <c r="B12" s="93">
        <v>43004</v>
      </c>
      <c r="C12" s="89">
        <v>4303.7375</v>
      </c>
      <c r="D12" s="89">
        <v>4831.93</v>
      </c>
      <c r="E12" s="89"/>
      <c r="F12" s="89"/>
      <c r="G12" s="89">
        <v>3139.59</v>
      </c>
      <c r="H12" s="89">
        <v>3982.14</v>
      </c>
      <c r="I12" s="89">
        <v>3247.8125</v>
      </c>
      <c r="J12" s="89">
        <v>3032.6549999999997</v>
      </c>
      <c r="K12" s="89"/>
      <c r="L12" s="89">
        <v>3729.093571428571</v>
      </c>
      <c r="Q12" s="336">
        <f t="shared" si="0"/>
        <v>0.15409748175111893</v>
      </c>
      <c r="R12" s="336">
        <f t="shared" si="1"/>
        <v>0.29573847034064793</v>
      </c>
      <c r="S12" s="336">
        <f t="shared" si="2"/>
      </c>
      <c r="T12" s="336">
        <f t="shared" si="3"/>
      </c>
      <c r="U12" s="336">
        <f t="shared" si="4"/>
        <v>-0.15808226855587837</v>
      </c>
      <c r="V12" s="336">
        <f t="shared" si="5"/>
        <v>0.06785735560786418</v>
      </c>
      <c r="W12" s="336">
        <f t="shared" si="6"/>
        <v>-0.1290611410547679</v>
      </c>
      <c r="X12" s="336">
        <f t="shared" si="7"/>
        <v>-0.18675813789295023</v>
      </c>
      <c r="Y12" s="336">
        <f t="shared" si="8"/>
      </c>
      <c r="Z12" s="336"/>
    </row>
    <row r="13" spans="2:26" ht="12.75">
      <c r="B13" s="93">
        <v>43005</v>
      </c>
      <c r="C13" s="89">
        <v>3981.295</v>
      </c>
      <c r="D13" s="89">
        <v>4831.93</v>
      </c>
      <c r="E13" s="89"/>
      <c r="F13" s="89">
        <v>3098.74</v>
      </c>
      <c r="G13" s="89"/>
      <c r="H13" s="89"/>
      <c r="I13" s="89">
        <v>3327.2225000000003</v>
      </c>
      <c r="J13" s="89">
        <v>4193.233333333333</v>
      </c>
      <c r="K13" s="89"/>
      <c r="L13" s="89">
        <v>3798.3500000000004</v>
      </c>
      <c r="Q13" s="336">
        <f t="shared" si="0"/>
        <v>0.04816433451367033</v>
      </c>
      <c r="R13" s="336">
        <f t="shared" si="1"/>
        <v>0.2721128911237774</v>
      </c>
      <c r="S13" s="336">
        <f t="shared" si="2"/>
      </c>
      <c r="T13" s="336">
        <f t="shared" si="3"/>
        <v>-0.18418787104927153</v>
      </c>
      <c r="U13" s="336">
        <f t="shared" si="4"/>
      </c>
      <c r="V13" s="336">
        <f t="shared" si="5"/>
      </c>
      <c r="W13" s="336">
        <f t="shared" si="6"/>
        <v>-0.12403477825898088</v>
      </c>
      <c r="X13" s="336">
        <f t="shared" si="7"/>
        <v>0.10396180797802526</v>
      </c>
      <c r="Y13" s="336">
        <f t="shared" si="8"/>
      </c>
      <c r="Z13" s="336"/>
    </row>
    <row r="14" spans="2:26" ht="12.75">
      <c r="B14" s="93">
        <v>43006</v>
      </c>
      <c r="C14" s="89">
        <v>4512.356666666667</v>
      </c>
      <c r="D14" s="89">
        <v>4831.93</v>
      </c>
      <c r="E14" s="89"/>
      <c r="F14" s="89">
        <v>3109.24</v>
      </c>
      <c r="G14" s="89"/>
      <c r="H14" s="89">
        <v>3779.92</v>
      </c>
      <c r="I14" s="89">
        <v>3433.34</v>
      </c>
      <c r="J14" s="89">
        <v>3151.475</v>
      </c>
      <c r="K14" s="89"/>
      <c r="L14" s="89">
        <v>3731.5892307692297</v>
      </c>
      <c r="Q14" s="336">
        <f t="shared" si="0"/>
        <v>0.20923188154246267</v>
      </c>
      <c r="R14" s="336">
        <f t="shared" si="1"/>
        <v>0.29487189001345315</v>
      </c>
      <c r="S14" s="336">
        <f t="shared" si="2"/>
      </c>
      <c r="T14" s="336">
        <f t="shared" si="3"/>
        <v>-0.166778600827117</v>
      </c>
      <c r="U14" s="336">
        <f t="shared" si="4"/>
      </c>
      <c r="V14" s="336">
        <f t="shared" si="5"/>
        <v>0.012951792451391395</v>
      </c>
      <c r="W14" s="336">
        <f t="shared" si="6"/>
        <v>-0.07992552564735227</v>
      </c>
      <c r="X14" s="336">
        <f t="shared" si="7"/>
        <v>-0.1554603668554497</v>
      </c>
      <c r="Y14" s="336">
        <f t="shared" si="8"/>
      </c>
      <c r="Z14" s="336"/>
    </row>
    <row r="15" spans="2:26" ht="12.75">
      <c r="B15" s="93">
        <v>43007</v>
      </c>
      <c r="C15" s="89">
        <v>4338.682</v>
      </c>
      <c r="D15" s="89">
        <v>4831.93</v>
      </c>
      <c r="E15" s="89"/>
      <c r="F15" s="89">
        <v>3151.26</v>
      </c>
      <c r="G15" s="89"/>
      <c r="H15" s="89">
        <v>3897.19</v>
      </c>
      <c r="I15" s="89">
        <v>3305.3475000000003</v>
      </c>
      <c r="J15" s="89">
        <v>3283.943333333333</v>
      </c>
      <c r="K15" s="89"/>
      <c r="L15" s="89">
        <v>3784.0125</v>
      </c>
      <c r="Q15" s="336">
        <f t="shared" si="0"/>
        <v>0.1465823646195672</v>
      </c>
      <c r="R15" s="336">
        <f t="shared" si="1"/>
        <v>0.276932885396124</v>
      </c>
      <c r="S15" s="336">
        <f t="shared" si="2"/>
      </c>
      <c r="T15" s="336">
        <f t="shared" si="3"/>
        <v>-0.16721733873764943</v>
      </c>
      <c r="U15" s="336">
        <f t="shared" si="4"/>
      </c>
      <c r="V15" s="336">
        <f t="shared" si="5"/>
        <v>0.029909388512855135</v>
      </c>
      <c r="W15" s="336">
        <f t="shared" si="6"/>
        <v>-0.12649667515633195</v>
      </c>
      <c r="X15" s="336">
        <f t="shared" si="7"/>
        <v>-0.13215314871889738</v>
      </c>
      <c r="Y15" s="336">
        <f t="shared" si="8"/>
      </c>
      <c r="Z15" s="336"/>
    </row>
    <row r="16" spans="2:26" ht="12.75">
      <c r="B16" s="93">
        <v>43010</v>
      </c>
      <c r="C16" s="89">
        <v>4120.86</v>
      </c>
      <c r="D16" s="89">
        <v>4411.76</v>
      </c>
      <c r="E16" s="89"/>
      <c r="F16" s="89">
        <v>3151.26</v>
      </c>
      <c r="G16" s="89"/>
      <c r="H16" s="89">
        <v>3850.2033333333334</v>
      </c>
      <c r="I16" s="89">
        <v>3300.9375</v>
      </c>
      <c r="J16" s="89">
        <v>3362.2900000000004</v>
      </c>
      <c r="K16" s="89"/>
      <c r="L16" s="89">
        <v>3633.07</v>
      </c>
      <c r="Q16" s="336">
        <f t="shared" si="0"/>
        <v>0.13426385949073358</v>
      </c>
      <c r="R16" s="336">
        <f t="shared" si="1"/>
        <v>0.21433388291444977</v>
      </c>
      <c r="S16" s="336">
        <f t="shared" si="2"/>
      </c>
      <c r="T16" s="336">
        <f t="shared" si="3"/>
        <v>-0.1326178686345157</v>
      </c>
      <c r="U16" s="336">
        <f t="shared" si="4"/>
      </c>
      <c r="V16" s="336">
        <f t="shared" si="5"/>
        <v>0.05976579953959962</v>
      </c>
      <c r="W16" s="336">
        <f t="shared" si="6"/>
        <v>-0.09141924047706214</v>
      </c>
      <c r="X16" s="336">
        <f t="shared" si="7"/>
        <v>-0.07453200736567138</v>
      </c>
      <c r="Y16" s="336">
        <f t="shared" si="8"/>
      </c>
      <c r="Z16" s="336"/>
    </row>
    <row r="17" spans="2:26" ht="12.75">
      <c r="B17" s="93">
        <v>43011</v>
      </c>
      <c r="C17" s="89">
        <v>4326.616</v>
      </c>
      <c r="D17" s="89">
        <v>4411.76</v>
      </c>
      <c r="E17" s="89"/>
      <c r="F17" s="89">
        <v>3109.24</v>
      </c>
      <c r="G17" s="89"/>
      <c r="H17" s="89">
        <v>3801.0466666666666</v>
      </c>
      <c r="I17" s="89">
        <v>3560.1975</v>
      </c>
      <c r="J17" s="89">
        <v>3351.7475000000004</v>
      </c>
      <c r="K17" s="89"/>
      <c r="L17" s="89">
        <v>3789.1666666666665</v>
      </c>
      <c r="Q17" s="336">
        <f t="shared" si="0"/>
        <v>0.14183839894435896</v>
      </c>
      <c r="R17" s="336">
        <f t="shared" si="1"/>
        <v>0.1643087750164945</v>
      </c>
      <c r="S17" s="336">
        <f t="shared" si="2"/>
      </c>
      <c r="T17" s="336">
        <f t="shared" si="3"/>
        <v>-0.1794396305256213</v>
      </c>
      <c r="U17" s="336">
        <f t="shared" si="4"/>
      </c>
      <c r="V17" s="336">
        <f t="shared" si="5"/>
        <v>0.003135254013635393</v>
      </c>
      <c r="W17" s="336">
        <f t="shared" si="6"/>
        <v>-0.06042731471299748</v>
      </c>
      <c r="X17" s="336">
        <f t="shared" si="7"/>
        <v>-0.11543941060039573</v>
      </c>
      <c r="Y17" s="336">
        <f t="shared" si="8"/>
      </c>
      <c r="Z17" s="336"/>
    </row>
    <row r="18" spans="2:26" ht="12.75">
      <c r="B18" s="93">
        <v>43012</v>
      </c>
      <c r="C18" s="89">
        <v>4082.0733333333337</v>
      </c>
      <c r="D18" s="89">
        <v>4096.635</v>
      </c>
      <c r="E18" s="89"/>
      <c r="F18" s="89">
        <v>2941.18</v>
      </c>
      <c r="G18" s="89"/>
      <c r="H18" s="89">
        <v>3886.96</v>
      </c>
      <c r="I18" s="89">
        <v>3521.5739999999996</v>
      </c>
      <c r="J18" s="89">
        <v>3230.86</v>
      </c>
      <c r="K18" s="89"/>
      <c r="L18" s="89">
        <v>3653.4400000000005</v>
      </c>
      <c r="Q18" s="336">
        <f t="shared" si="0"/>
        <v>0.11732321684038417</v>
      </c>
      <c r="R18" s="336">
        <f t="shared" si="1"/>
        <v>0.12130895813260917</v>
      </c>
      <c r="S18" s="336">
        <f t="shared" si="2"/>
      </c>
      <c r="T18" s="336">
        <f t="shared" si="3"/>
        <v>-0.19495598668652026</v>
      </c>
      <c r="U18" s="336">
        <f t="shared" si="4"/>
      </c>
      <c r="V18" s="336">
        <f t="shared" si="5"/>
        <v>0.06391784181483738</v>
      </c>
      <c r="W18" s="336">
        <f t="shared" si="6"/>
        <v>-0.03609365419987762</v>
      </c>
      <c r="X18" s="336">
        <f t="shared" si="7"/>
        <v>-0.11566633091004651</v>
      </c>
      <c r="Y18" s="336">
        <f t="shared" si="8"/>
      </c>
      <c r="Z18" s="336"/>
    </row>
    <row r="19" spans="2:26" ht="12.75">
      <c r="B19" s="93">
        <v>43013</v>
      </c>
      <c r="C19" s="89">
        <v>4576.122</v>
      </c>
      <c r="D19" s="89">
        <v>4411.76</v>
      </c>
      <c r="E19" s="89"/>
      <c r="F19" s="89">
        <v>3151.26</v>
      </c>
      <c r="G19" s="89"/>
      <c r="H19" s="89">
        <v>3849.3566666666666</v>
      </c>
      <c r="I19" s="89">
        <v>3696.4233333333336</v>
      </c>
      <c r="J19" s="89">
        <v>3217.2533333333336</v>
      </c>
      <c r="K19" s="89"/>
      <c r="L19" s="89">
        <v>3920.7956250000007</v>
      </c>
      <c r="Q19" s="336">
        <f t="shared" si="0"/>
        <v>0.1671411717615349</v>
      </c>
      <c r="R19" s="336">
        <f t="shared" si="1"/>
        <v>0.1252205985615482</v>
      </c>
      <c r="S19" s="336">
        <f t="shared" si="2"/>
      </c>
      <c r="T19" s="336">
        <f t="shared" si="3"/>
        <v>-0.19627027231239585</v>
      </c>
      <c r="U19" s="336">
        <f t="shared" si="4"/>
      </c>
      <c r="V19" s="336">
        <f t="shared" si="5"/>
        <v>-0.018220525925355793</v>
      </c>
      <c r="W19" s="336">
        <f t="shared" si="6"/>
        <v>-0.057226214556048684</v>
      </c>
      <c r="X19" s="336">
        <f t="shared" si="7"/>
        <v>-0.1794386545375384</v>
      </c>
      <c r="Y19" s="336">
        <f t="shared" si="8"/>
      </c>
      <c r="Z19" s="336"/>
    </row>
    <row r="20" spans="2:26" ht="12.75">
      <c r="B20" s="93">
        <v>43014</v>
      </c>
      <c r="C20" s="89">
        <v>4497.320000000001</v>
      </c>
      <c r="D20" s="89">
        <v>4411.76</v>
      </c>
      <c r="E20" s="89"/>
      <c r="F20" s="89">
        <v>3151.26</v>
      </c>
      <c r="G20" s="89">
        <v>2727.08</v>
      </c>
      <c r="H20" s="89">
        <v>3791.5299999999997</v>
      </c>
      <c r="I20" s="89">
        <v>3527.2725</v>
      </c>
      <c r="J20" s="89">
        <v>2982.375</v>
      </c>
      <c r="K20" s="89"/>
      <c r="L20" s="89">
        <v>3731.3510526315795</v>
      </c>
      <c r="Q20" s="336">
        <f t="shared" si="0"/>
        <v>0.205279250481729</v>
      </c>
      <c r="R20" s="336">
        <f t="shared" si="1"/>
        <v>0.18234921822446973</v>
      </c>
      <c r="S20" s="336">
        <f t="shared" si="2"/>
      </c>
      <c r="T20" s="336">
        <f t="shared" si="3"/>
        <v>-0.15546407841268733</v>
      </c>
      <c r="U20" s="336">
        <f t="shared" si="4"/>
        <v>-0.2691440817189542</v>
      </c>
      <c r="V20" s="336">
        <f t="shared" si="5"/>
        <v>0.01612792431470053</v>
      </c>
      <c r="W20" s="336">
        <f t="shared" si="6"/>
        <v>-0.05469293822880874</v>
      </c>
      <c r="X20" s="336">
        <f t="shared" si="7"/>
        <v>-0.2007251641743425</v>
      </c>
      <c r="Y20" s="336">
        <f t="shared" si="8"/>
      </c>
      <c r="Z20" s="336"/>
    </row>
    <row r="21" spans="2:26" ht="12.75">
      <c r="B21" s="93">
        <v>43018</v>
      </c>
      <c r="C21" s="89">
        <v>4339.012</v>
      </c>
      <c r="D21" s="89">
        <v>3466.385</v>
      </c>
      <c r="E21" s="89"/>
      <c r="F21" s="89">
        <v>3151.26</v>
      </c>
      <c r="G21" s="89">
        <v>2100.84</v>
      </c>
      <c r="H21" s="89">
        <v>3499.2099999999996</v>
      </c>
      <c r="I21" s="89">
        <v>3258.891666666667</v>
      </c>
      <c r="J21" s="89">
        <v>2984.9125</v>
      </c>
      <c r="K21" s="89"/>
      <c r="L21" s="89">
        <v>3448.661818181819</v>
      </c>
      <c r="Q21" s="336">
        <f t="shared" si="0"/>
        <v>0.25817265616597496</v>
      </c>
      <c r="R21" s="336">
        <f t="shared" si="1"/>
        <v>0.0051391475165069025</v>
      </c>
      <c r="S21" s="336">
        <f t="shared" si="2"/>
      </c>
      <c r="T21" s="336">
        <f t="shared" si="3"/>
        <v>-0.08623687501449852</v>
      </c>
      <c r="U21" s="336">
        <f t="shared" si="4"/>
        <v>-0.390824583342999</v>
      </c>
      <c r="V21" s="336">
        <f t="shared" si="5"/>
        <v>0.014657332172056906</v>
      </c>
      <c r="W21" s="336">
        <f t="shared" si="6"/>
        <v>-0.055027184896662744</v>
      </c>
      <c r="X21" s="336">
        <f t="shared" si="7"/>
        <v>-0.1344722511603976</v>
      </c>
      <c r="Y21" s="336">
        <f t="shared" si="8"/>
      </c>
      <c r="Z21" s="336"/>
    </row>
    <row r="22" spans="2:26" ht="12.75">
      <c r="B22" s="93">
        <v>43019</v>
      </c>
      <c r="C22" s="89">
        <v>4122.843333333333</v>
      </c>
      <c r="D22" s="89">
        <v>4516.805</v>
      </c>
      <c r="E22" s="89"/>
      <c r="F22" s="89">
        <v>2761.1</v>
      </c>
      <c r="G22" s="89"/>
      <c r="H22" s="89">
        <v>3666.035</v>
      </c>
      <c r="I22" s="89">
        <v>3142.3775</v>
      </c>
      <c r="J22" s="89">
        <v>3072.883333333333</v>
      </c>
      <c r="K22" s="89"/>
      <c r="L22" s="89">
        <v>3552.231333333334</v>
      </c>
      <c r="Q22" s="336">
        <f t="shared" si="0"/>
        <v>0.16063480850627757</v>
      </c>
      <c r="R22" s="336">
        <f t="shared" si="1"/>
        <v>0.27154021688152047</v>
      </c>
      <c r="S22" s="336">
        <f t="shared" si="2"/>
      </c>
      <c r="T22" s="336">
        <f t="shared" si="3"/>
        <v>-0.22271391108724733</v>
      </c>
      <c r="U22" s="336">
        <f t="shared" si="4"/>
      </c>
      <c r="V22" s="336">
        <f t="shared" si="5"/>
        <v>0.032037234061520134</v>
      </c>
      <c r="W22" s="336">
        <f t="shared" si="6"/>
        <v>-0.11537926302472434</v>
      </c>
      <c r="X22" s="336">
        <f t="shared" si="7"/>
        <v>-0.13494278807292415</v>
      </c>
      <c r="Y22" s="336">
        <f t="shared" si="8"/>
      </c>
      <c r="Z22" s="336"/>
    </row>
    <row r="23" spans="2:26" ht="12.75">
      <c r="B23" s="93">
        <v>43020</v>
      </c>
      <c r="C23" s="89">
        <v>4203.612500000001</v>
      </c>
      <c r="D23" s="89">
        <v>5252.1</v>
      </c>
      <c r="E23" s="89"/>
      <c r="F23" s="89">
        <v>2689.08</v>
      </c>
      <c r="G23" s="89">
        <v>2521.01</v>
      </c>
      <c r="H23" s="89">
        <v>3270.376666666667</v>
      </c>
      <c r="I23" s="89">
        <v>3093.8999999999996</v>
      </c>
      <c r="J23" s="89">
        <v>2988.7525</v>
      </c>
      <c r="K23" s="89"/>
      <c r="L23" s="89">
        <v>3430.8517647058825</v>
      </c>
      <c r="Q23" s="336">
        <f t="shared" si="0"/>
        <v>0.22523874194849255</v>
      </c>
      <c r="R23" s="336">
        <f t="shared" si="1"/>
        <v>0.5308443384321644</v>
      </c>
      <c r="S23" s="336">
        <f t="shared" si="2"/>
      </c>
      <c r="T23" s="336">
        <f t="shared" si="3"/>
        <v>-0.21620629965325028</v>
      </c>
      <c r="U23" s="336">
        <f t="shared" si="4"/>
        <v>-0.26519413460694374</v>
      </c>
      <c r="V23" s="336">
        <f t="shared" si="5"/>
        <v>-0.04677412754758659</v>
      </c>
      <c r="W23" s="336">
        <f t="shared" si="6"/>
        <v>-0.09821227724619248</v>
      </c>
      <c r="X23" s="336">
        <f t="shared" si="7"/>
        <v>-0.12885991439615066</v>
      </c>
      <c r="Y23" s="336">
        <f t="shared" si="8"/>
      </c>
      <c r="Z23" s="336"/>
    </row>
    <row r="24" spans="2:26" ht="12.75">
      <c r="B24" s="93">
        <v>43021</v>
      </c>
      <c r="C24" s="89">
        <v>4649.18</v>
      </c>
      <c r="D24" s="89">
        <v>5252.1</v>
      </c>
      <c r="E24" s="89"/>
      <c r="F24" s="89">
        <v>2701.08</v>
      </c>
      <c r="G24" s="89">
        <v>3671.905</v>
      </c>
      <c r="H24" s="89">
        <v>3485.55</v>
      </c>
      <c r="I24" s="89">
        <v>3152.618</v>
      </c>
      <c r="J24" s="89">
        <v>3455.443333333333</v>
      </c>
      <c r="K24" s="89"/>
      <c r="L24" s="89">
        <v>3731.8209090909095</v>
      </c>
      <c r="Q24" s="336">
        <f t="shared" si="0"/>
        <v>0.24582077041112999</v>
      </c>
      <c r="R24" s="336">
        <f t="shared" si="1"/>
        <v>0.4073826499030573</v>
      </c>
      <c r="S24" s="336">
        <f t="shared" si="2"/>
      </c>
      <c r="T24" s="336">
        <f t="shared" si="3"/>
        <v>-0.2762032086212849</v>
      </c>
      <c r="U24" s="336">
        <f t="shared" si="4"/>
        <v>-0.016055408485694214</v>
      </c>
      <c r="V24" s="336">
        <f t="shared" si="5"/>
        <v>-0.06599215640037295</v>
      </c>
      <c r="W24" s="336">
        <f t="shared" si="6"/>
        <v>-0.15520651263835872</v>
      </c>
      <c r="X24" s="336">
        <f t="shared" si="7"/>
        <v>-0.07405971039079239</v>
      </c>
      <c r="Y24" s="336">
        <f t="shared" si="8"/>
      </c>
      <c r="Z24" s="336"/>
    </row>
    <row r="25" spans="2:26" ht="12.75">
      <c r="B25" s="93">
        <v>43024</v>
      </c>
      <c r="C25" s="89">
        <v>5567.225</v>
      </c>
      <c r="D25" s="89">
        <v>5672.27</v>
      </c>
      <c r="E25" s="89"/>
      <c r="F25" s="89">
        <v>2773.11</v>
      </c>
      <c r="G25" s="89">
        <v>3882.71</v>
      </c>
      <c r="H25" s="89">
        <v>3356.1800000000003</v>
      </c>
      <c r="I25" s="89">
        <v>3100.616</v>
      </c>
      <c r="J25" s="89">
        <v>3296.9875</v>
      </c>
      <c r="K25" s="89"/>
      <c r="L25" s="89">
        <v>3691.0964705882357</v>
      </c>
      <c r="Q25" s="336">
        <f t="shared" si="0"/>
        <v>0.5082848807559813</v>
      </c>
      <c r="R25" s="336">
        <f t="shared" si="1"/>
        <v>0.5367439039316231</v>
      </c>
      <c r="S25" s="336">
        <f t="shared" si="2"/>
      </c>
      <c r="T25" s="336">
        <f t="shared" si="3"/>
        <v>-0.24870292009516068</v>
      </c>
      <c r="U25" s="336">
        <f t="shared" si="4"/>
        <v>0.051912360172268184</v>
      </c>
      <c r="V25" s="336">
        <f t="shared" si="5"/>
        <v>-0.0907363091853465</v>
      </c>
      <c r="W25" s="336">
        <f t="shared" si="6"/>
        <v>-0.15997427195234837</v>
      </c>
      <c r="X25" s="336">
        <f t="shared" si="7"/>
        <v>-0.10677287189013183</v>
      </c>
      <c r="Y25" s="336">
        <f t="shared" si="8"/>
      </c>
      <c r="Z25" s="336"/>
    </row>
    <row r="26" spans="2:26" ht="12.75">
      <c r="B26" s="93">
        <v>43025</v>
      </c>
      <c r="C26" s="89">
        <v>4900.06</v>
      </c>
      <c r="D26" s="89">
        <v>5672.27</v>
      </c>
      <c r="E26" s="89"/>
      <c r="F26" s="89">
        <v>2701.08</v>
      </c>
      <c r="G26" s="89">
        <v>3569.08</v>
      </c>
      <c r="H26" s="89">
        <v>3354.46</v>
      </c>
      <c r="I26" s="89">
        <v>3173.468</v>
      </c>
      <c r="J26" s="89">
        <v>3356.6025</v>
      </c>
      <c r="K26" s="89"/>
      <c r="L26" s="89">
        <v>3742.8642105263166</v>
      </c>
      <c r="Q26" s="336">
        <f t="shared" si="0"/>
        <v>0.309173863753652</v>
      </c>
      <c r="R26" s="336">
        <f t="shared" si="1"/>
        <v>0.5154891230217442</v>
      </c>
      <c r="S26" s="336">
        <f t="shared" si="2"/>
      </c>
      <c r="T26" s="336">
        <f t="shared" si="3"/>
        <v>-0.2783387672992343</v>
      </c>
      <c r="U26" s="336">
        <f t="shared" si="4"/>
        <v>-0.04643080826645307</v>
      </c>
      <c r="V26" s="336">
        <f t="shared" si="5"/>
        <v>-0.10377192136278426</v>
      </c>
      <c r="W26" s="336">
        <f t="shared" si="6"/>
        <v>-0.15212847127207135</v>
      </c>
      <c r="X26" s="336">
        <f t="shared" si="7"/>
        <v>-0.10319949877957262</v>
      </c>
      <c r="Y26" s="336">
        <f t="shared" si="8"/>
      </c>
      <c r="Z26" s="336"/>
    </row>
    <row r="27" spans="2:26" ht="12.75">
      <c r="B27" s="93">
        <v>43026</v>
      </c>
      <c r="C27" s="89">
        <v>4946.639999999999</v>
      </c>
      <c r="D27" s="89">
        <v>5672.27</v>
      </c>
      <c r="E27" s="89"/>
      <c r="F27" s="89">
        <v>2731.09</v>
      </c>
      <c r="G27" s="89">
        <v>2521.01</v>
      </c>
      <c r="H27" s="89">
        <v>3859.7999999999997</v>
      </c>
      <c r="I27" s="89">
        <v>3432.36</v>
      </c>
      <c r="J27" s="89">
        <v>3478.1966666666667</v>
      </c>
      <c r="K27" s="89"/>
      <c r="L27" s="89">
        <v>3938.875</v>
      </c>
      <c r="Q27" s="336">
        <f t="shared" si="0"/>
        <v>0.25585097267620815</v>
      </c>
      <c r="R27" s="336">
        <f t="shared" si="1"/>
        <v>0.44007362508330433</v>
      </c>
      <c r="S27" s="336">
        <f t="shared" si="2"/>
      </c>
      <c r="T27" s="336">
        <f t="shared" si="3"/>
        <v>-0.30663196978832785</v>
      </c>
      <c r="U27" s="336">
        <f t="shared" si="4"/>
        <v>-0.3599669956523118</v>
      </c>
      <c r="V27" s="336">
        <f t="shared" si="5"/>
        <v>-0.02007552918028632</v>
      </c>
      <c r="W27" s="336">
        <f t="shared" si="6"/>
        <v>-0.12859382437878833</v>
      </c>
      <c r="X27" s="336">
        <f t="shared" si="7"/>
        <v>-0.11695682989009128</v>
      </c>
      <c r="Y27" s="336">
        <f t="shared" si="8"/>
      </c>
      <c r="Z27" s="336"/>
    </row>
    <row r="28" spans="2:26" ht="12.75">
      <c r="B28" s="93">
        <v>43027</v>
      </c>
      <c r="C28" s="89">
        <v>4956.5175</v>
      </c>
      <c r="D28" s="89">
        <v>5567.225</v>
      </c>
      <c r="E28" s="89"/>
      <c r="F28" s="89">
        <v>2689.08</v>
      </c>
      <c r="G28" s="89">
        <v>3557.58</v>
      </c>
      <c r="H28" s="89">
        <v>3151.26</v>
      </c>
      <c r="I28" s="89">
        <v>3358.8540000000003</v>
      </c>
      <c r="J28" s="89">
        <v>3270.77</v>
      </c>
      <c r="K28" s="89"/>
      <c r="L28" s="89">
        <v>3883.8615789473683</v>
      </c>
      <c r="Q28" s="336">
        <f t="shared" si="0"/>
        <v>0.276182840003106</v>
      </c>
      <c r="R28" s="336">
        <f t="shared" si="1"/>
        <v>0.4334251844034228</v>
      </c>
      <c r="S28" s="336">
        <f t="shared" si="2"/>
      </c>
      <c r="T28" s="336">
        <f t="shared" si="3"/>
        <v>-0.3076272299259405</v>
      </c>
      <c r="U28" s="336">
        <f t="shared" si="4"/>
        <v>-0.08400957972240596</v>
      </c>
      <c r="V28" s="336">
        <f t="shared" si="5"/>
        <v>-0.18862710837030475</v>
      </c>
      <c r="W28" s="336">
        <f t="shared" si="6"/>
        <v>-0.1351766967682868</v>
      </c>
      <c r="X28" s="336">
        <f t="shared" si="7"/>
        <v>-0.15785618680919436</v>
      </c>
      <c r="Y28" s="336">
        <f t="shared" si="8"/>
      </c>
      <c r="Z28" s="336"/>
    </row>
    <row r="29" spans="2:26" ht="12.75">
      <c r="B29" s="93">
        <v>43028</v>
      </c>
      <c r="C29" s="89">
        <v>4970.792</v>
      </c>
      <c r="D29" s="89">
        <v>5672.27</v>
      </c>
      <c r="E29" s="89"/>
      <c r="F29" s="89">
        <v>2689.08</v>
      </c>
      <c r="G29" s="89">
        <v>3412.646666666666</v>
      </c>
      <c r="H29" s="89">
        <v>3564.0550000000003</v>
      </c>
      <c r="I29" s="89">
        <v>3322.0500000000006</v>
      </c>
      <c r="J29" s="89">
        <v>3258.945</v>
      </c>
      <c r="K29" s="89"/>
      <c r="L29" s="89">
        <v>3797.701818181819</v>
      </c>
      <c r="Q29" s="336">
        <f t="shared" si="0"/>
        <v>0.30889475740352046</v>
      </c>
      <c r="R29" s="336">
        <f t="shared" si="1"/>
        <v>0.4936059415838094</v>
      </c>
      <c r="S29" s="336">
        <f t="shared" si="2"/>
      </c>
      <c r="T29" s="336">
        <f t="shared" si="3"/>
        <v>-0.2919191319534878</v>
      </c>
      <c r="U29" s="336">
        <f t="shared" si="4"/>
        <v>-0.1013916231315657</v>
      </c>
      <c r="V29" s="336">
        <f t="shared" si="5"/>
        <v>-0.06152321308197887</v>
      </c>
      <c r="W29" s="336">
        <f t="shared" si="6"/>
        <v>-0.12524727873699693</v>
      </c>
      <c r="X29" s="336">
        <f t="shared" si="7"/>
        <v>-0.14186390716682254</v>
      </c>
      <c r="Y29" s="336">
        <f t="shared" si="8"/>
      </c>
      <c r="Z29" s="336"/>
    </row>
    <row r="30" spans="2:26" ht="12.75">
      <c r="B30" s="93">
        <v>43031</v>
      </c>
      <c r="C30" s="89">
        <v>4058.0633333333335</v>
      </c>
      <c r="D30" s="89">
        <v>5672.27</v>
      </c>
      <c r="E30" s="89"/>
      <c r="F30" s="89">
        <v>2731.09</v>
      </c>
      <c r="G30" s="89">
        <v>3983.56</v>
      </c>
      <c r="H30" s="89">
        <v>4094.235</v>
      </c>
      <c r="I30" s="89">
        <v>3081.2333333333336</v>
      </c>
      <c r="J30" s="89">
        <v>3256.765</v>
      </c>
      <c r="K30" s="89"/>
      <c r="L30" s="89">
        <v>3668.022666666667</v>
      </c>
      <c r="Q30" s="336">
        <f t="shared" si="0"/>
        <v>0.10633540250750893</v>
      </c>
      <c r="R30" s="336">
        <f t="shared" si="1"/>
        <v>0.5464108364288551</v>
      </c>
      <c r="S30" s="336">
        <f t="shared" si="2"/>
      </c>
      <c r="T30" s="336">
        <f t="shared" si="3"/>
        <v>-0.2554326272792935</v>
      </c>
      <c r="U30" s="336">
        <f t="shared" si="4"/>
        <v>0.08602382318975112</v>
      </c>
      <c r="V30" s="336">
        <f t="shared" si="5"/>
        <v>0.11619675559983804</v>
      </c>
      <c r="W30" s="336">
        <f t="shared" si="6"/>
        <v>-0.15997429314322673</v>
      </c>
      <c r="X30" s="336">
        <f t="shared" si="7"/>
        <v>-0.11211971790795928</v>
      </c>
      <c r="Y30" s="336">
        <f t="shared" si="8"/>
      </c>
      <c r="Z30" s="336"/>
    </row>
    <row r="31" spans="2:26" ht="12.75">
      <c r="B31" s="93">
        <v>43032</v>
      </c>
      <c r="C31" s="89">
        <v>4500.660000000001</v>
      </c>
      <c r="D31" s="89">
        <v>5672.27</v>
      </c>
      <c r="E31" s="89">
        <v>2521.01</v>
      </c>
      <c r="F31" s="89">
        <v>2701.08</v>
      </c>
      <c r="G31" s="89">
        <v>3254.07</v>
      </c>
      <c r="H31" s="89">
        <v>3355.24</v>
      </c>
      <c r="I31" s="89">
        <v>3216.6299999999997</v>
      </c>
      <c r="J31" s="89">
        <v>3229.4375</v>
      </c>
      <c r="K31" s="89"/>
      <c r="L31" s="89">
        <v>3583.355</v>
      </c>
      <c r="Q31" s="336">
        <f t="shared" si="0"/>
        <v>0.255990545173448</v>
      </c>
      <c r="R31" s="336">
        <f t="shared" si="1"/>
        <v>0.5829494984448932</v>
      </c>
      <c r="S31" s="336">
        <f t="shared" si="2"/>
        <v>-0.2964665795044029</v>
      </c>
      <c r="T31" s="336">
        <f t="shared" si="3"/>
        <v>-0.2462147903291748</v>
      </c>
      <c r="U31" s="336">
        <f t="shared" si="4"/>
        <v>-0.09189293274040665</v>
      </c>
      <c r="V31" s="336">
        <f t="shared" si="5"/>
        <v>-0.06365961508139725</v>
      </c>
      <c r="W31" s="336">
        <f t="shared" si="6"/>
        <v>-0.10234124165760869</v>
      </c>
      <c r="X31" s="336">
        <f t="shared" si="7"/>
        <v>-0.09876707722232378</v>
      </c>
      <c r="Y31" s="336">
        <f t="shared" si="8"/>
      </c>
      <c r="Z31" s="336"/>
    </row>
    <row r="32" spans="2:26" ht="12.75">
      <c r="B32" s="93">
        <v>43033</v>
      </c>
      <c r="C32" s="89">
        <v>4071.4466666666667</v>
      </c>
      <c r="D32" s="89">
        <v>5672.27</v>
      </c>
      <c r="E32" s="89"/>
      <c r="F32" s="89"/>
      <c r="G32" s="89">
        <v>3267.85</v>
      </c>
      <c r="H32" s="89">
        <v>3676.4700000000003</v>
      </c>
      <c r="I32" s="89">
        <v>2941.18</v>
      </c>
      <c r="J32" s="89">
        <v>3458.4799999999996</v>
      </c>
      <c r="K32" s="89"/>
      <c r="L32" s="89">
        <v>3757.6558333333337</v>
      </c>
      <c r="Q32" s="336">
        <f t="shared" si="0"/>
        <v>0.08350707123035696</v>
      </c>
      <c r="R32" s="336">
        <f t="shared" si="1"/>
        <v>0.5095235571290345</v>
      </c>
      <c r="S32" s="336">
        <f t="shared" si="2"/>
      </c>
      <c r="T32" s="336">
        <f t="shared" si="3"/>
      </c>
      <c r="U32" s="336">
        <f t="shared" si="4"/>
        <v>-0.1303487746238957</v>
      </c>
      <c r="V32" s="336">
        <f t="shared" si="5"/>
        <v>-0.02160544683553823</v>
      </c>
      <c r="W32" s="336">
        <f t="shared" si="6"/>
        <v>-0.21728329297498652</v>
      </c>
      <c r="X32" s="336">
        <f t="shared" si="7"/>
        <v>-0.07961767830875076</v>
      </c>
      <c r="Y32" s="336">
        <f t="shared" si="8"/>
      </c>
      <c r="Z32" s="336"/>
    </row>
    <row r="33" spans="2:26" ht="12.75">
      <c r="B33" s="93">
        <v>43034</v>
      </c>
      <c r="C33" s="89">
        <v>4545.575999999999</v>
      </c>
      <c r="D33" s="89">
        <v>5672.27</v>
      </c>
      <c r="E33" s="89"/>
      <c r="F33" s="89">
        <v>3151.26</v>
      </c>
      <c r="G33" s="89">
        <v>3589.65</v>
      </c>
      <c r="H33" s="89">
        <v>4089.9700000000003</v>
      </c>
      <c r="I33" s="89">
        <v>3075.443333333333</v>
      </c>
      <c r="J33" s="89">
        <v>3411.11</v>
      </c>
      <c r="K33" s="89"/>
      <c r="L33" s="89">
        <v>3893.633529411765</v>
      </c>
      <c r="Q33" s="336">
        <f t="shared" si="0"/>
        <v>0.16743806669620684</v>
      </c>
      <c r="R33" s="336">
        <f t="shared" si="1"/>
        <v>0.4568063371020295</v>
      </c>
      <c r="S33" s="336">
        <f t="shared" si="2"/>
      </c>
      <c r="T33" s="336">
        <f t="shared" si="3"/>
        <v>-0.1906634314205527</v>
      </c>
      <c r="U33" s="336">
        <f t="shared" si="4"/>
        <v>-0.07807194157219244</v>
      </c>
      <c r="V33" s="336">
        <f t="shared" si="5"/>
        <v>0.0504249999660079</v>
      </c>
      <c r="W33" s="336">
        <f t="shared" si="6"/>
        <v>-0.21013538893631847</v>
      </c>
      <c r="X33" s="336">
        <f t="shared" si="7"/>
        <v>-0.12392628267834505</v>
      </c>
      <c r="Y33" s="336">
        <f t="shared" si="8"/>
      </c>
      <c r="Z33" s="336"/>
    </row>
    <row r="34" spans="2:26" ht="14.25" customHeight="1">
      <c r="B34" s="93">
        <v>43038</v>
      </c>
      <c r="C34" s="89">
        <v>4038.8575</v>
      </c>
      <c r="D34" s="89">
        <v>5672.27</v>
      </c>
      <c r="E34" s="89"/>
      <c r="F34" s="89">
        <v>2701.08</v>
      </c>
      <c r="G34" s="89">
        <v>3779.11</v>
      </c>
      <c r="H34" s="89">
        <v>3681.04</v>
      </c>
      <c r="I34" s="89">
        <v>3041.0775</v>
      </c>
      <c r="J34" s="89">
        <v>3668.766666666667</v>
      </c>
      <c r="K34" s="89"/>
      <c r="L34" s="89">
        <v>3677.53625</v>
      </c>
      <c r="Q34" s="336">
        <f t="shared" si="0"/>
        <v>0.09825090099383792</v>
      </c>
      <c r="R34" s="336">
        <f t="shared" si="1"/>
        <v>0.5424103569339392</v>
      </c>
      <c r="S34" s="336">
        <f t="shared" si="2"/>
      </c>
      <c r="T34" s="336">
        <f t="shared" si="3"/>
        <v>-0.2655191366230585</v>
      </c>
      <c r="U34" s="336">
        <f t="shared" si="4"/>
        <v>0.027620054051132742</v>
      </c>
      <c r="V34" s="336">
        <f t="shared" si="5"/>
        <v>0.000952743837671173</v>
      </c>
      <c r="W34" s="336">
        <f t="shared" si="6"/>
        <v>-0.17306661491100195</v>
      </c>
      <c r="X34" s="336">
        <f t="shared" si="7"/>
        <v>-0.0023846354562332946</v>
      </c>
      <c r="Y34" s="336">
        <f t="shared" si="8"/>
      </c>
      <c r="Z34" s="336"/>
    </row>
    <row r="35" spans="2:26" ht="12.75">
      <c r="B35" s="87">
        <v>43039</v>
      </c>
      <c r="C35" s="142">
        <v>4497.324285714286</v>
      </c>
      <c r="D35" s="142">
        <v>5672.27</v>
      </c>
      <c r="E35" s="142"/>
      <c r="F35" s="142">
        <v>2701.08</v>
      </c>
      <c r="G35" s="142">
        <v>3356.5150000000003</v>
      </c>
      <c r="H35" s="142">
        <v>2941.18</v>
      </c>
      <c r="I35" s="142">
        <v>3204.985</v>
      </c>
      <c r="J35" s="142">
        <v>3753.7475000000004</v>
      </c>
      <c r="K35" s="142"/>
      <c r="L35" s="142">
        <v>3867.1880000000006</v>
      </c>
      <c r="M35" s="219"/>
      <c r="Q35" s="336">
        <f t="shared" si="0"/>
        <v>0.16294431139998503</v>
      </c>
      <c r="R35" s="336">
        <f t="shared" si="1"/>
        <v>0.4667686184379967</v>
      </c>
      <c r="S35" s="336">
        <f t="shared" si="2"/>
      </c>
      <c r="T35" s="336">
        <f t="shared" si="3"/>
        <v>-0.301538999396978</v>
      </c>
      <c r="U35" s="336">
        <f t="shared" si="4"/>
        <v>-0.13205279908812298</v>
      </c>
      <c r="V35" s="336">
        <f t="shared" si="5"/>
        <v>-0.23945254277785322</v>
      </c>
      <c r="W35" s="336">
        <f t="shared" si="6"/>
        <v>-0.1712363091734874</v>
      </c>
      <c r="X35" s="336">
        <f t="shared" si="7"/>
        <v>-0.029334105298216725</v>
      </c>
      <c r="Y35" s="336">
        <f t="shared" si="8"/>
      </c>
      <c r="Z35" s="336"/>
    </row>
    <row r="36" spans="2:15" ht="69" customHeight="1">
      <c r="B36" s="378" t="s">
        <v>252</v>
      </c>
      <c r="C36" s="378"/>
      <c r="D36" s="378"/>
      <c r="E36" s="378"/>
      <c r="F36" s="378"/>
      <c r="G36" s="378"/>
      <c r="H36" s="378"/>
      <c r="I36" s="378"/>
      <c r="J36" s="378"/>
      <c r="K36" s="379"/>
      <c r="L36" s="378"/>
      <c r="M36" s="380"/>
      <c r="N36" s="239"/>
      <c r="O36" s="240"/>
    </row>
    <row r="37" spans="16:26" ht="12.75">
      <c r="P37" s="337" t="s">
        <v>213</v>
      </c>
      <c r="Q37" s="338">
        <f>+AVERAGE(C16:C35)</f>
        <v>4498.540072619048</v>
      </c>
      <c r="R37" s="338">
        <f aca="true" t="shared" si="9" ref="R37:Y37">+AVERAGE(D16:D35)</f>
        <v>5126.049500000002</v>
      </c>
      <c r="S37" s="338">
        <f t="shared" si="9"/>
        <v>2521.01</v>
      </c>
      <c r="T37" s="338">
        <f t="shared" si="9"/>
        <v>2861.881578947369</v>
      </c>
      <c r="U37" s="338">
        <f t="shared" si="9"/>
        <v>3279.6411111111115</v>
      </c>
      <c r="V37" s="338">
        <f t="shared" si="9"/>
        <v>3611.2079166666663</v>
      </c>
      <c r="W37" s="338">
        <f t="shared" si="9"/>
        <v>3260.1044583333332</v>
      </c>
      <c r="X37" s="338">
        <f t="shared" si="9"/>
        <v>3304.316291666667</v>
      </c>
      <c r="Y37" s="338" t="e">
        <f t="shared" si="9"/>
        <v>#DIV/0!</v>
      </c>
      <c r="Z37" s="338">
        <f>+AVERAGE(L16:L35)</f>
        <v>3719.6589763632846</v>
      </c>
    </row>
    <row r="38" spans="17:25" ht="12.75">
      <c r="Q38" s="339">
        <f>+(Q37-$Z$37)/$Z$37</f>
        <v>0.20939583472710627</v>
      </c>
      <c r="R38" s="339">
        <f>+(R37-$Z$37)/$Z$37</f>
        <v>0.37809662997970506</v>
      </c>
      <c r="S38" s="339">
        <f aca="true" t="shared" si="10" ref="S38:Y38">+(S37-$Z$37)/$Z$37</f>
        <v>-0.32224700812094476</v>
      </c>
      <c r="T38" s="339">
        <f t="shared" si="10"/>
        <v>-0.23060646227697087</v>
      </c>
      <c r="U38" s="339">
        <f t="shared" si="10"/>
        <v>-0.11829521685947113</v>
      </c>
      <c r="V38" s="339">
        <f t="shared" si="10"/>
        <v>-0.029156183506545835</v>
      </c>
      <c r="W38" s="339">
        <f t="shared" si="10"/>
        <v>-0.12354748673203865</v>
      </c>
      <c r="X38" s="339">
        <f t="shared" si="10"/>
        <v>-0.11166149567364338</v>
      </c>
      <c r="Y38" s="339" t="e">
        <f t="shared" si="10"/>
        <v>#DIV/0!</v>
      </c>
    </row>
    <row r="40" spans="16:25" ht="12.75">
      <c r="P40" s="337"/>
      <c r="Q40" s="340"/>
      <c r="R40" s="340"/>
      <c r="S40" s="340"/>
      <c r="T40" s="340"/>
      <c r="U40" s="340"/>
      <c r="V40" s="340"/>
      <c r="W40" s="340"/>
      <c r="X40" s="340"/>
      <c r="Y40" s="340"/>
    </row>
    <row r="41" spans="16:25" ht="12.75">
      <c r="P41" s="337"/>
      <c r="Q41" s="340"/>
      <c r="R41" s="340"/>
      <c r="S41" s="340"/>
      <c r="T41" s="340"/>
      <c r="U41" s="340"/>
      <c r="V41" s="340"/>
      <c r="W41" s="340"/>
      <c r="X41" s="340"/>
      <c r="Y41" s="340"/>
    </row>
    <row r="55" ht="12.75"/>
    <row r="56" ht="12.75"/>
    <row r="59" spans="3:12" ht="12.75">
      <c r="C59" s="41"/>
      <c r="D59" s="41"/>
      <c r="E59" s="41"/>
      <c r="F59" s="41"/>
      <c r="G59" s="41"/>
      <c r="H59" s="41"/>
      <c r="I59" s="41"/>
      <c r="J59" s="41"/>
      <c r="K59" s="41"/>
      <c r="L59" s="41"/>
    </row>
    <row r="60" ht="12.75">
      <c r="B60" s="241"/>
    </row>
    <row r="70" ht="12.75">
      <c r="G70" s="199"/>
    </row>
    <row r="71" ht="12.75">
      <c r="G71" s="199"/>
    </row>
  </sheetData>
  <sheetProtection/>
  <mergeCells count="4">
    <mergeCell ref="B36:M36"/>
    <mergeCell ref="B2:L2"/>
    <mergeCell ref="B3:L3"/>
    <mergeCell ref="B4:L4"/>
  </mergeCells>
  <conditionalFormatting sqref="Q38:Y38">
    <cfRule type="top10" priority="1" dxfId="42" rank="1" bottom="1"/>
    <cfRule type="top10" priority="2" dxfId="43" rank="1"/>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91"/>
  <sheetViews>
    <sheetView zoomScale="80" zoomScaleNormal="80" zoomScalePageLayoutView="0" workbookViewId="0" topLeftCell="A1">
      <selection activeCell="A1" sqref="A1"/>
    </sheetView>
  </sheetViews>
  <sheetFormatPr defaultColWidth="10.8515625" defaultRowHeight="15"/>
  <cols>
    <col min="1" max="1" width="1.8515625" style="35" customWidth="1"/>
    <col min="2" max="2" width="12.28125" style="35" customWidth="1"/>
    <col min="3" max="3" width="10.421875" style="56" customWidth="1"/>
    <col min="4" max="4" width="12.421875" style="56" customWidth="1"/>
    <col min="5" max="5" width="10.00390625" style="56" customWidth="1"/>
    <col min="6" max="6" width="12.8515625" style="35" customWidth="1"/>
    <col min="7" max="7" width="15.7109375" style="35" customWidth="1"/>
    <col min="8" max="8" width="12.421875" style="35" customWidth="1"/>
    <col min="9" max="9" width="14.28125" style="35" customWidth="1"/>
    <col min="10" max="10" width="15.00390625" style="35" customWidth="1"/>
    <col min="11" max="11" width="12.421875" style="35" customWidth="1"/>
    <col min="12" max="12" width="14.140625" style="35" customWidth="1"/>
    <col min="13" max="13" width="12.28125" style="35" customWidth="1"/>
    <col min="14" max="14" width="1.8515625" style="35" customWidth="1"/>
    <col min="15" max="15" width="10.8515625" style="35" customWidth="1"/>
    <col min="16" max="16" width="10.8515625" style="143" customWidth="1"/>
    <col min="17" max="17" width="8.57421875" style="334" hidden="1" customWidth="1"/>
    <col min="18" max="18" width="8.421875" style="334" hidden="1" customWidth="1"/>
    <col min="19" max="19" width="10.28125" style="334" hidden="1" customWidth="1"/>
    <col min="20" max="20" width="9.28125" style="334" hidden="1" customWidth="1"/>
    <col min="21" max="21" width="11.421875" style="334" hidden="1" customWidth="1"/>
    <col min="22" max="22" width="10.28125" style="334" hidden="1" customWidth="1"/>
    <col min="23" max="24" width="7.421875" style="334" hidden="1" customWidth="1"/>
    <col min="25" max="25" width="12.421875" style="334" hidden="1" customWidth="1"/>
    <col min="26" max="26" width="9.421875" style="334" hidden="1" customWidth="1"/>
    <col min="27" max="28" width="10.8515625" style="334" hidden="1" customWidth="1"/>
    <col min="29" max="29" width="10.8515625" style="143" customWidth="1"/>
    <col min="30" max="16384" width="10.8515625" style="35" customWidth="1"/>
  </cols>
  <sheetData>
    <row r="1" ht="4.5" customHeight="1"/>
    <row r="2" spans="2:17" ht="12.75">
      <c r="B2" s="377" t="s">
        <v>110</v>
      </c>
      <c r="C2" s="377"/>
      <c r="D2" s="377"/>
      <c r="E2" s="377"/>
      <c r="F2" s="377"/>
      <c r="G2" s="377"/>
      <c r="H2" s="377"/>
      <c r="I2" s="377"/>
      <c r="J2" s="377"/>
      <c r="K2" s="377"/>
      <c r="L2" s="377"/>
      <c r="M2" s="377"/>
      <c r="N2" s="98"/>
      <c r="O2" s="45" t="s">
        <v>148</v>
      </c>
      <c r="P2" s="145"/>
      <c r="Q2" s="341"/>
    </row>
    <row r="3" spans="2:14" ht="12.75">
      <c r="B3" s="377" t="s">
        <v>137</v>
      </c>
      <c r="C3" s="377"/>
      <c r="D3" s="377"/>
      <c r="E3" s="377"/>
      <c r="F3" s="377"/>
      <c r="G3" s="377"/>
      <c r="H3" s="377"/>
      <c r="I3" s="377"/>
      <c r="J3" s="377"/>
      <c r="K3" s="377"/>
      <c r="L3" s="377"/>
      <c r="M3" s="377"/>
      <c r="N3" s="98"/>
    </row>
    <row r="4" spans="2:14" ht="12.75">
      <c r="B4" s="377" t="s">
        <v>275</v>
      </c>
      <c r="C4" s="377"/>
      <c r="D4" s="377"/>
      <c r="E4" s="377"/>
      <c r="F4" s="377"/>
      <c r="G4" s="377"/>
      <c r="H4" s="377"/>
      <c r="I4" s="377"/>
      <c r="J4" s="377"/>
      <c r="K4" s="377"/>
      <c r="L4" s="377"/>
      <c r="M4" s="377"/>
      <c r="N4" s="98"/>
    </row>
    <row r="5" spans="2:28" ht="39" customHeight="1">
      <c r="B5" s="31" t="s">
        <v>63</v>
      </c>
      <c r="C5" s="32" t="s">
        <v>165</v>
      </c>
      <c r="D5" s="32" t="s">
        <v>174</v>
      </c>
      <c r="E5" s="32" t="s">
        <v>166</v>
      </c>
      <c r="F5" s="32" t="s">
        <v>256</v>
      </c>
      <c r="G5" s="32" t="s">
        <v>257</v>
      </c>
      <c r="H5" s="32" t="s">
        <v>168</v>
      </c>
      <c r="I5" s="32" t="s">
        <v>169</v>
      </c>
      <c r="J5" s="32" t="s">
        <v>156</v>
      </c>
      <c r="K5" s="32" t="s">
        <v>170</v>
      </c>
      <c r="L5" s="32" t="s">
        <v>171</v>
      </c>
      <c r="M5" s="32" t="s">
        <v>68</v>
      </c>
      <c r="N5" s="113"/>
      <c r="R5" s="342" t="s">
        <v>158</v>
      </c>
      <c r="S5" s="342" t="s">
        <v>226</v>
      </c>
      <c r="T5" s="342" t="s">
        <v>227</v>
      </c>
      <c r="U5" s="342" t="s">
        <v>167</v>
      </c>
      <c r="V5" s="342" t="s">
        <v>228</v>
      </c>
      <c r="W5" s="342" t="s">
        <v>229</v>
      </c>
      <c r="X5" s="342" t="s">
        <v>230</v>
      </c>
      <c r="Y5" s="342" t="s">
        <v>231</v>
      </c>
      <c r="Z5" s="342" t="s">
        <v>233</v>
      </c>
      <c r="AA5" s="342" t="s">
        <v>232</v>
      </c>
      <c r="AB5" s="342" t="s">
        <v>266</v>
      </c>
    </row>
    <row r="6" spans="2:27" ht="12.75">
      <c r="B6" s="90">
        <v>42991</v>
      </c>
      <c r="C6" s="91"/>
      <c r="D6" s="91"/>
      <c r="E6" s="91"/>
      <c r="F6" s="91">
        <v>3163.92</v>
      </c>
      <c r="G6" s="91"/>
      <c r="H6" s="91"/>
      <c r="I6" s="91"/>
      <c r="J6" s="91"/>
      <c r="K6" s="91"/>
      <c r="L6" s="91"/>
      <c r="M6" s="91">
        <v>3163.92</v>
      </c>
      <c r="N6" s="114"/>
      <c r="R6" s="319">
        <f aca="true" t="shared" si="0" ref="R6:AA6">+IF(C6=0,"",(C6-$M6)/$M6)</f>
      </c>
      <c r="S6" s="319">
        <f t="shared" si="0"/>
      </c>
      <c r="T6" s="319">
        <f t="shared" si="0"/>
      </c>
      <c r="U6" s="319">
        <f t="shared" si="0"/>
        <v>0</v>
      </c>
      <c r="V6" s="319">
        <f t="shared" si="0"/>
      </c>
      <c r="W6" s="319">
        <f t="shared" si="0"/>
      </c>
      <c r="X6" s="319">
        <f t="shared" si="0"/>
      </c>
      <c r="Y6" s="319">
        <f t="shared" si="0"/>
      </c>
      <c r="Z6" s="319">
        <f t="shared" si="0"/>
      </c>
      <c r="AA6" s="319">
        <f t="shared" si="0"/>
      </c>
    </row>
    <row r="7" spans="2:27" ht="12.75">
      <c r="B7" s="90">
        <v>42993</v>
      </c>
      <c r="C7" s="91"/>
      <c r="D7" s="91"/>
      <c r="E7" s="91"/>
      <c r="F7" s="91"/>
      <c r="G7" s="91"/>
      <c r="H7" s="91"/>
      <c r="I7" s="91"/>
      <c r="J7" s="91">
        <v>3571.43</v>
      </c>
      <c r="K7" s="91"/>
      <c r="L7" s="91"/>
      <c r="M7" s="91">
        <v>3571.43</v>
      </c>
      <c r="N7" s="114"/>
      <c r="O7" s="212"/>
      <c r="R7" s="319">
        <f aca="true" t="shared" si="1" ref="R7:R35">+IF(C7=0,"",(C7-$M7)/$M7)</f>
      </c>
      <c r="S7" s="319">
        <f aca="true" t="shared" si="2" ref="S7:S35">+IF(D7=0,"",(D7-$M7)/$M7)</f>
      </c>
      <c r="T7" s="319">
        <f aca="true" t="shared" si="3" ref="T7:T35">+IF(E7=0,"",(E7-$M7)/$M7)</f>
      </c>
      <c r="U7" s="319">
        <f aca="true" t="shared" si="4" ref="U7:U35">+IF(F7=0,"",(F7-$M7)/$M7)</f>
      </c>
      <c r="V7" s="319">
        <f aca="true" t="shared" si="5" ref="V7:V35">+IF(G7=0,"",(G7-$M7)/$M7)</f>
      </c>
      <c r="W7" s="319">
        <f aca="true" t="shared" si="6" ref="W7:W35">+IF(H7=0,"",(H7-$M7)/$M7)</f>
      </c>
      <c r="X7" s="319">
        <f aca="true" t="shared" si="7" ref="X7:X35">+IF(I7=0,"",(I7-$M7)/$M7)</f>
      </c>
      <c r="Y7" s="319">
        <f aca="true" t="shared" si="8" ref="Y7:Y35">+IF(J7=0,"",(J7-$M7)/$M7)</f>
        <v>0</v>
      </c>
      <c r="Z7" s="319">
        <f aca="true" t="shared" si="9" ref="Z7:Z35">+IF(K7=0,"",(K7-$M7)/$M7)</f>
      </c>
      <c r="AA7" s="319">
        <f aca="true" t="shared" si="10" ref="AA7:AA35">+IF(L7=0,"",(L7-$M7)/$M7)</f>
      </c>
    </row>
    <row r="8" spans="2:27" ht="12.75">
      <c r="B8" s="90">
        <v>42998</v>
      </c>
      <c r="C8" s="91"/>
      <c r="D8" s="91"/>
      <c r="E8" s="91"/>
      <c r="F8" s="91">
        <v>3276.025</v>
      </c>
      <c r="G8" s="91"/>
      <c r="H8" s="91"/>
      <c r="I8" s="91"/>
      <c r="J8" s="91"/>
      <c r="K8" s="91"/>
      <c r="L8" s="91"/>
      <c r="M8" s="91">
        <v>3276.025</v>
      </c>
      <c r="N8" s="114"/>
      <c r="O8" s="212"/>
      <c r="R8" s="319">
        <f t="shared" si="1"/>
      </c>
      <c r="S8" s="319">
        <f t="shared" si="2"/>
      </c>
      <c r="T8" s="319">
        <f t="shared" si="3"/>
      </c>
      <c r="U8" s="319">
        <f t="shared" si="4"/>
        <v>0</v>
      </c>
      <c r="V8" s="319">
        <f t="shared" si="5"/>
      </c>
      <c r="W8" s="319">
        <f t="shared" si="6"/>
      </c>
      <c r="X8" s="319">
        <f t="shared" si="7"/>
      </c>
      <c r="Y8" s="319">
        <f t="shared" si="8"/>
      </c>
      <c r="Z8" s="319">
        <f t="shared" si="9"/>
      </c>
      <c r="AA8" s="319">
        <f t="shared" si="10"/>
      </c>
    </row>
    <row r="9" spans="2:27" ht="12.75">
      <c r="B9" s="90">
        <v>42999</v>
      </c>
      <c r="C9" s="91"/>
      <c r="D9" s="91">
        <v>5378.15</v>
      </c>
      <c r="E9" s="91">
        <v>3361.34</v>
      </c>
      <c r="F9" s="91">
        <v>3124.525</v>
      </c>
      <c r="G9" s="91"/>
      <c r="H9" s="91">
        <v>2941.175</v>
      </c>
      <c r="I9" s="91"/>
      <c r="J9" s="91"/>
      <c r="K9" s="91"/>
      <c r="L9" s="91"/>
      <c r="M9" s="91">
        <v>3610.89888888889</v>
      </c>
      <c r="N9" s="114"/>
      <c r="O9" s="212"/>
      <c r="R9" s="319">
        <f t="shared" si="1"/>
      </c>
      <c r="S9" s="319">
        <f t="shared" si="2"/>
        <v>0.48942137830253973</v>
      </c>
      <c r="T9" s="319">
        <f t="shared" si="3"/>
        <v>-0.06911267708348418</v>
      </c>
      <c r="U9" s="319">
        <f t="shared" si="4"/>
        <v>-0.13469606983056562</v>
      </c>
      <c r="V9" s="319">
        <f t="shared" si="5"/>
      </c>
      <c r="W9" s="319">
        <f t="shared" si="6"/>
        <v>-0.18547290009966755</v>
      </c>
      <c r="X9" s="319">
        <f t="shared" si="7"/>
      </c>
      <c r="Y9" s="319">
        <f t="shared" si="8"/>
      </c>
      <c r="Z9" s="319">
        <f t="shared" si="9"/>
      </c>
      <c r="AA9" s="319">
        <f t="shared" si="10"/>
      </c>
    </row>
    <row r="10" spans="2:27" ht="12.75">
      <c r="B10" s="90">
        <v>43000</v>
      </c>
      <c r="C10" s="91"/>
      <c r="D10" s="91">
        <v>5378.15</v>
      </c>
      <c r="E10" s="91">
        <v>3361.34</v>
      </c>
      <c r="F10" s="91">
        <v>3135.9383333333335</v>
      </c>
      <c r="G10" s="91"/>
      <c r="H10" s="91">
        <v>2941.175</v>
      </c>
      <c r="I10" s="91"/>
      <c r="J10" s="91">
        <v>3992.175</v>
      </c>
      <c r="K10" s="91"/>
      <c r="L10" s="91"/>
      <c r="M10" s="91">
        <v>3599.997692307692</v>
      </c>
      <c r="N10" s="114"/>
      <c r="O10" s="212"/>
      <c r="R10" s="319">
        <f t="shared" si="1"/>
      </c>
      <c r="S10" s="319">
        <f t="shared" si="2"/>
        <v>0.4939315132039615</v>
      </c>
      <c r="T10" s="319">
        <f t="shared" si="3"/>
        <v>-0.06629384591485836</v>
      </c>
      <c r="U10" s="319">
        <f t="shared" si="4"/>
        <v>-0.12890546012458257</v>
      </c>
      <c r="V10" s="319">
        <f t="shared" si="5"/>
      </c>
      <c r="W10" s="319">
        <f t="shared" si="6"/>
        <v>-0.18300642073061146</v>
      </c>
      <c r="X10" s="319">
        <f t="shared" si="7"/>
      </c>
      <c r="Y10" s="319">
        <f t="shared" si="8"/>
        <v>0.10893821085782762</v>
      </c>
      <c r="Z10" s="319">
        <f t="shared" si="9"/>
      </c>
      <c r="AA10" s="319">
        <f t="shared" si="10"/>
      </c>
    </row>
    <row r="11" spans="2:27" ht="12.75">
      <c r="B11" s="88">
        <v>43003</v>
      </c>
      <c r="C11" s="89"/>
      <c r="D11" s="89">
        <v>4831.93</v>
      </c>
      <c r="E11" s="89">
        <v>3552.33</v>
      </c>
      <c r="F11" s="89">
        <v>3858.504</v>
      </c>
      <c r="G11" s="89"/>
      <c r="H11" s="89">
        <v>2941.18</v>
      </c>
      <c r="I11" s="89"/>
      <c r="J11" s="89"/>
      <c r="K11" s="89"/>
      <c r="L11" s="89">
        <v>3151.26</v>
      </c>
      <c r="M11" s="89">
        <v>3860.1149999999993</v>
      </c>
      <c r="N11" s="114"/>
      <c r="O11" s="212"/>
      <c r="R11" s="319">
        <f t="shared" si="1"/>
      </c>
      <c r="S11" s="319">
        <f t="shared" si="2"/>
        <v>0.2517580434779796</v>
      </c>
      <c r="T11" s="319">
        <f t="shared" si="3"/>
        <v>-0.07973467111731113</v>
      </c>
      <c r="U11" s="319">
        <f t="shared" si="4"/>
        <v>-0.00041734507909723463</v>
      </c>
      <c r="V11" s="319">
        <f t="shared" si="5"/>
      </c>
      <c r="W11" s="319">
        <f t="shared" si="6"/>
        <v>-0.2380589697457199</v>
      </c>
      <c r="X11" s="319">
        <f t="shared" si="7"/>
      </c>
      <c r="Y11" s="319">
        <f t="shared" si="8"/>
      </c>
      <c r="Z11" s="319">
        <f t="shared" si="9"/>
      </c>
      <c r="AA11" s="319">
        <f t="shared" si="10"/>
        <v>-0.18363572069744016</v>
      </c>
    </row>
    <row r="12" spans="2:27" ht="12.75">
      <c r="B12" s="88">
        <v>43004</v>
      </c>
      <c r="C12" s="89"/>
      <c r="D12" s="89">
        <v>4834.075000000001</v>
      </c>
      <c r="E12" s="89"/>
      <c r="F12" s="89">
        <v>3492.074285714286</v>
      </c>
      <c r="G12" s="89">
        <v>4859.34</v>
      </c>
      <c r="H12" s="89">
        <v>2941.18</v>
      </c>
      <c r="I12" s="89"/>
      <c r="J12" s="89">
        <v>3571.43</v>
      </c>
      <c r="K12" s="89"/>
      <c r="L12" s="89">
        <v>3151.26</v>
      </c>
      <c r="M12" s="89">
        <v>3729.093571428571</v>
      </c>
      <c r="N12" s="114"/>
      <c r="O12" s="212"/>
      <c r="R12" s="319">
        <f t="shared" si="1"/>
      </c>
      <c r="S12" s="319">
        <f t="shared" si="2"/>
        <v>0.29631367714597856</v>
      </c>
      <c r="T12" s="319">
        <f t="shared" si="3"/>
      </c>
      <c r="U12" s="319">
        <f t="shared" si="4"/>
        <v>-0.06355949004076235</v>
      </c>
      <c r="V12" s="319">
        <f t="shared" si="5"/>
        <v>0.30308878201156136</v>
      </c>
      <c r="W12" s="319">
        <f t="shared" si="6"/>
        <v>-0.21128822764474933</v>
      </c>
      <c r="X12" s="319">
        <f t="shared" si="7"/>
      </c>
      <c r="Y12" s="319">
        <f t="shared" si="8"/>
        <v>-0.04227932831628363</v>
      </c>
      <c r="Z12" s="319">
        <f t="shared" si="9"/>
      </c>
      <c r="AA12" s="319">
        <f t="shared" si="10"/>
        <v>-0.15495282174086336</v>
      </c>
    </row>
    <row r="13" spans="2:27" ht="12.75">
      <c r="B13" s="88">
        <v>43005</v>
      </c>
      <c r="C13" s="89"/>
      <c r="D13" s="89">
        <v>4831.93</v>
      </c>
      <c r="E13" s="89">
        <v>4936.975</v>
      </c>
      <c r="F13" s="89">
        <v>3263.2149999999997</v>
      </c>
      <c r="G13" s="89"/>
      <c r="H13" s="89">
        <v>2941.18</v>
      </c>
      <c r="I13" s="89">
        <v>3098.74</v>
      </c>
      <c r="J13" s="89"/>
      <c r="K13" s="89"/>
      <c r="L13" s="89">
        <v>3151.26</v>
      </c>
      <c r="M13" s="89">
        <v>3798.35</v>
      </c>
      <c r="N13" s="114"/>
      <c r="O13" s="212"/>
      <c r="R13" s="319">
        <f t="shared" si="1"/>
      </c>
      <c r="S13" s="319">
        <f t="shared" si="2"/>
        <v>0.2721128911237775</v>
      </c>
      <c r="T13" s="319">
        <f t="shared" si="3"/>
        <v>0.2997683204549345</v>
      </c>
      <c r="U13" s="319">
        <f t="shared" si="4"/>
        <v>-0.14088617425987607</v>
      </c>
      <c r="V13" s="319">
        <f t="shared" si="5"/>
      </c>
      <c r="W13" s="319">
        <f t="shared" si="6"/>
        <v>-0.22566904050442957</v>
      </c>
      <c r="X13" s="319">
        <f t="shared" si="7"/>
        <v>-0.18418787104927142</v>
      </c>
      <c r="Y13" s="319">
        <f t="shared" si="8"/>
      </c>
      <c r="Z13" s="319">
        <f t="shared" si="9"/>
      </c>
      <c r="AA13" s="319">
        <f t="shared" si="10"/>
        <v>-0.1703608145642186</v>
      </c>
    </row>
    <row r="14" spans="2:27" ht="12.75">
      <c r="B14" s="88">
        <v>43006</v>
      </c>
      <c r="C14" s="89"/>
      <c r="D14" s="89">
        <v>4831.93</v>
      </c>
      <c r="E14" s="89">
        <v>3377.505</v>
      </c>
      <c r="F14" s="89">
        <v>3495.648333333333</v>
      </c>
      <c r="G14" s="89">
        <v>5067.48</v>
      </c>
      <c r="H14" s="89">
        <v>2941.18</v>
      </c>
      <c r="I14" s="89">
        <v>3109.24</v>
      </c>
      <c r="J14" s="89"/>
      <c r="K14" s="89"/>
      <c r="L14" s="89"/>
      <c r="M14" s="89">
        <v>3731.589230769231</v>
      </c>
      <c r="N14" s="114"/>
      <c r="O14" s="212"/>
      <c r="R14" s="319">
        <f t="shared" si="1"/>
      </c>
      <c r="S14" s="319">
        <f t="shared" si="2"/>
        <v>0.29487189001345265</v>
      </c>
      <c r="T14" s="319">
        <f t="shared" si="3"/>
        <v>-0.0948883193920677</v>
      </c>
      <c r="U14" s="319">
        <f t="shared" si="4"/>
        <v>-0.06322799291262321</v>
      </c>
      <c r="V14" s="319">
        <f t="shared" si="5"/>
        <v>0.35799512931796823</v>
      </c>
      <c r="W14" s="319">
        <f t="shared" si="6"/>
        <v>-0.21181571225788323</v>
      </c>
      <c r="X14" s="319">
        <f t="shared" si="7"/>
        <v>-0.16677860082711732</v>
      </c>
      <c r="Y14" s="319">
        <f t="shared" si="8"/>
      </c>
      <c r="Z14" s="319">
        <f t="shared" si="9"/>
      </c>
      <c r="AA14" s="319">
        <f t="shared" si="10"/>
      </c>
    </row>
    <row r="15" spans="2:27" ht="12.75">
      <c r="B15" s="88">
        <v>43007</v>
      </c>
      <c r="C15" s="89"/>
      <c r="D15" s="89">
        <v>4831.93</v>
      </c>
      <c r="E15" s="89">
        <v>3466.385</v>
      </c>
      <c r="F15" s="89">
        <v>3774.5916666666667</v>
      </c>
      <c r="G15" s="89">
        <v>5543.71</v>
      </c>
      <c r="H15" s="89">
        <v>2941.18</v>
      </c>
      <c r="I15" s="89">
        <v>3151.26</v>
      </c>
      <c r="J15" s="89">
        <v>3361.3450000000003</v>
      </c>
      <c r="K15" s="89"/>
      <c r="L15" s="89">
        <v>2941.18</v>
      </c>
      <c r="M15" s="89">
        <v>3784.0125000000007</v>
      </c>
      <c r="N15" s="114"/>
      <c r="O15" s="212"/>
      <c r="R15" s="319">
        <f t="shared" si="1"/>
      </c>
      <c r="S15" s="319">
        <f t="shared" si="2"/>
        <v>0.27693288539612365</v>
      </c>
      <c r="T15" s="319">
        <f t="shared" si="3"/>
        <v>-0.08393933688115471</v>
      </c>
      <c r="U15" s="319">
        <f t="shared" si="4"/>
        <v>-0.0024896411767492918</v>
      </c>
      <c r="V15" s="319">
        <f t="shared" si="5"/>
        <v>0.46503480102140227</v>
      </c>
      <c r="W15" s="319">
        <f t="shared" si="6"/>
        <v>-0.2227351257428459</v>
      </c>
      <c r="X15" s="319">
        <f t="shared" si="7"/>
        <v>-0.16721733873764963</v>
      </c>
      <c r="Y15" s="319">
        <f t="shared" si="8"/>
        <v>-0.1116982303837528</v>
      </c>
      <c r="Z15" s="319">
        <f t="shared" si="9"/>
      </c>
      <c r="AA15" s="319">
        <f t="shared" si="10"/>
        <v>-0.2227351257428459</v>
      </c>
    </row>
    <row r="16" spans="2:27" ht="12.75">
      <c r="B16" s="88">
        <v>43010</v>
      </c>
      <c r="C16" s="89"/>
      <c r="D16" s="89">
        <v>4411.76</v>
      </c>
      <c r="E16" s="89">
        <v>3589.91</v>
      </c>
      <c r="F16" s="89">
        <v>3687.7812500000005</v>
      </c>
      <c r="G16" s="89"/>
      <c r="H16" s="89">
        <v>2941.18</v>
      </c>
      <c r="I16" s="89">
        <v>3151.26</v>
      </c>
      <c r="J16" s="89"/>
      <c r="K16" s="89"/>
      <c r="L16" s="89">
        <v>2941.18</v>
      </c>
      <c r="M16" s="89">
        <v>3633.07</v>
      </c>
      <c r="N16" s="114"/>
      <c r="O16" s="212"/>
      <c r="R16" s="319">
        <f t="shared" si="1"/>
      </c>
      <c r="S16" s="319">
        <f t="shared" si="2"/>
        <v>0.21433388291444977</v>
      </c>
      <c r="T16" s="319">
        <f t="shared" si="3"/>
        <v>-0.01187976009270405</v>
      </c>
      <c r="U16" s="319">
        <f t="shared" si="4"/>
        <v>0.015059233650879363</v>
      </c>
      <c r="V16" s="319">
        <f t="shared" si="5"/>
      </c>
      <c r="W16" s="319">
        <f t="shared" si="6"/>
        <v>-0.19044224306165317</v>
      </c>
      <c r="X16" s="319">
        <f t="shared" si="7"/>
        <v>-0.1326178686345157</v>
      </c>
      <c r="Y16" s="319">
        <f t="shared" si="8"/>
      </c>
      <c r="Z16" s="319">
        <f t="shared" si="9"/>
      </c>
      <c r="AA16" s="319">
        <f t="shared" si="10"/>
        <v>-0.19044224306165317</v>
      </c>
    </row>
    <row r="17" spans="2:27" ht="12.75">
      <c r="B17" s="88">
        <v>43011</v>
      </c>
      <c r="C17" s="89"/>
      <c r="D17" s="89">
        <v>4411.76</v>
      </c>
      <c r="E17" s="89">
        <v>3671.9</v>
      </c>
      <c r="F17" s="89">
        <v>3725.05625</v>
      </c>
      <c r="G17" s="89">
        <v>5500.38</v>
      </c>
      <c r="H17" s="89">
        <v>2521.01</v>
      </c>
      <c r="I17" s="89">
        <v>3109.24</v>
      </c>
      <c r="J17" s="89">
        <v>3977.67</v>
      </c>
      <c r="K17" s="89"/>
      <c r="L17" s="89">
        <v>3151.26</v>
      </c>
      <c r="M17" s="89">
        <v>3789.1666666666665</v>
      </c>
      <c r="N17" s="114"/>
      <c r="O17" s="212"/>
      <c r="R17" s="319">
        <f t="shared" si="1"/>
      </c>
      <c r="S17" s="319">
        <f t="shared" si="2"/>
        <v>0.1643087750164945</v>
      </c>
      <c r="T17" s="319">
        <f t="shared" si="3"/>
        <v>-0.0309478777215746</v>
      </c>
      <c r="U17" s="319">
        <f t="shared" si="4"/>
        <v>-0.016919397404882276</v>
      </c>
      <c r="V17" s="319">
        <f t="shared" si="5"/>
        <v>0.45160677369694313</v>
      </c>
      <c r="W17" s="319">
        <f t="shared" si="6"/>
        <v>-0.3346795689465581</v>
      </c>
      <c r="X17" s="319">
        <f t="shared" si="7"/>
        <v>-0.1794396305256213</v>
      </c>
      <c r="Y17" s="319">
        <f t="shared" si="8"/>
        <v>0.0497479656916649</v>
      </c>
      <c r="Z17" s="319">
        <f t="shared" si="9"/>
      </c>
      <c r="AA17" s="319">
        <f t="shared" si="10"/>
        <v>-0.1683501209588739</v>
      </c>
    </row>
    <row r="18" spans="2:27" ht="12.75">
      <c r="B18" s="88">
        <v>43012</v>
      </c>
      <c r="C18" s="89"/>
      <c r="D18" s="89">
        <v>4411.76</v>
      </c>
      <c r="E18" s="89">
        <v>3655.463333333333</v>
      </c>
      <c r="F18" s="89">
        <v>3752.8799999999997</v>
      </c>
      <c r="G18" s="89"/>
      <c r="H18" s="89">
        <v>2521.01</v>
      </c>
      <c r="I18" s="89">
        <v>2941.18</v>
      </c>
      <c r="J18" s="89"/>
      <c r="K18" s="89">
        <v>3991.6</v>
      </c>
      <c r="L18" s="89">
        <v>2941.18</v>
      </c>
      <c r="M18" s="89">
        <v>3653.4400000000005</v>
      </c>
      <c r="N18" s="114"/>
      <c r="O18" s="212"/>
      <c r="R18" s="319">
        <f t="shared" si="1"/>
      </c>
      <c r="S18" s="319">
        <f t="shared" si="2"/>
        <v>0.20756328282385905</v>
      </c>
      <c r="T18" s="319">
        <f t="shared" si="3"/>
        <v>0.0005538159469794577</v>
      </c>
      <c r="U18" s="319">
        <f t="shared" si="4"/>
        <v>0.0272181834107031</v>
      </c>
      <c r="V18" s="319">
        <f t="shared" si="5"/>
      </c>
      <c r="W18" s="319">
        <f t="shared" si="6"/>
        <v>-0.3099626653236402</v>
      </c>
      <c r="X18" s="319">
        <f t="shared" si="7"/>
        <v>-0.19495598668652026</v>
      </c>
      <c r="Y18" s="319">
        <f t="shared" si="8"/>
      </c>
      <c r="Z18" s="319">
        <f t="shared" si="9"/>
        <v>0.09255934133309959</v>
      </c>
      <c r="AA18" s="319">
        <f t="shared" si="10"/>
        <v>-0.19495598668652026</v>
      </c>
    </row>
    <row r="19" spans="2:27" ht="12.75">
      <c r="B19" s="88">
        <v>43013</v>
      </c>
      <c r="C19" s="89">
        <v>5423.99</v>
      </c>
      <c r="D19" s="89">
        <v>4411.76</v>
      </c>
      <c r="E19" s="89">
        <v>3682.65</v>
      </c>
      <c r="F19" s="89">
        <v>3701.641428571428</v>
      </c>
      <c r="G19" s="89">
        <v>5532.21</v>
      </c>
      <c r="H19" s="89">
        <v>2521.01</v>
      </c>
      <c r="I19" s="89">
        <v>3151.26</v>
      </c>
      <c r="J19" s="89"/>
      <c r="K19" s="89">
        <v>4003.95</v>
      </c>
      <c r="L19" s="89"/>
      <c r="M19" s="89">
        <v>3920.7956249999997</v>
      </c>
      <c r="N19" s="114"/>
      <c r="O19" s="212"/>
      <c r="R19" s="319">
        <f t="shared" si="1"/>
        <v>0.3833901378116336</v>
      </c>
      <c r="S19" s="319">
        <f t="shared" si="2"/>
        <v>0.12522059856154846</v>
      </c>
      <c r="T19" s="319">
        <f t="shared" si="3"/>
        <v>-0.060739107002038564</v>
      </c>
      <c r="U19" s="319">
        <f t="shared" si="4"/>
        <v>-0.05589533793375716</v>
      </c>
      <c r="V19" s="319">
        <f t="shared" si="5"/>
        <v>0.41099167850657875</v>
      </c>
      <c r="W19" s="319">
        <f t="shared" si="6"/>
        <v>-0.35701570774936775</v>
      </c>
      <c r="X19" s="319">
        <f t="shared" si="7"/>
        <v>-0.19627027231239566</v>
      </c>
      <c r="Y19" s="319">
        <f t="shared" si="8"/>
      </c>
      <c r="Z19" s="319">
        <f t="shared" si="9"/>
        <v>0.021208546160831853</v>
      </c>
      <c r="AA19" s="319">
        <f t="shared" si="10"/>
      </c>
    </row>
    <row r="20" spans="2:27" ht="12.75">
      <c r="B20" s="88">
        <v>43014</v>
      </c>
      <c r="C20" s="89">
        <v>5504.2</v>
      </c>
      <c r="D20" s="89">
        <v>4411.76</v>
      </c>
      <c r="E20" s="89">
        <v>3582.89</v>
      </c>
      <c r="F20" s="89">
        <v>3267.12125</v>
      </c>
      <c r="G20" s="89">
        <v>5576.78</v>
      </c>
      <c r="H20" s="89">
        <v>2521.01</v>
      </c>
      <c r="I20" s="89">
        <v>3151.26</v>
      </c>
      <c r="J20" s="89">
        <v>3977.2650000000003</v>
      </c>
      <c r="K20" s="89">
        <v>4061.62</v>
      </c>
      <c r="L20" s="89"/>
      <c r="M20" s="89">
        <v>3731.351052631579</v>
      </c>
      <c r="N20" s="114"/>
      <c r="O20" s="212"/>
      <c r="R20" s="319">
        <f t="shared" si="1"/>
        <v>0.47512252863961923</v>
      </c>
      <c r="S20" s="319">
        <f t="shared" si="2"/>
        <v>0.18234921822446987</v>
      </c>
      <c r="T20" s="319">
        <f t="shared" si="3"/>
        <v>-0.03978747926354323</v>
      </c>
      <c r="U20" s="319">
        <f t="shared" si="4"/>
        <v>-0.12441332806361796</v>
      </c>
      <c r="V20" s="319">
        <f t="shared" si="5"/>
        <v>0.4945739281397579</v>
      </c>
      <c r="W20" s="319">
        <f t="shared" si="6"/>
        <v>-0.32437072673126577</v>
      </c>
      <c r="X20" s="319">
        <f t="shared" si="7"/>
        <v>-0.15546407841268722</v>
      </c>
      <c r="Y20" s="319">
        <f t="shared" si="8"/>
        <v>0.06590480067400456</v>
      </c>
      <c r="Z20" s="319">
        <f t="shared" si="9"/>
        <v>0.08851189360365727</v>
      </c>
      <c r="AA20" s="319">
        <f t="shared" si="10"/>
      </c>
    </row>
    <row r="21" spans="2:27" ht="12.75">
      <c r="B21" s="88">
        <v>43018</v>
      </c>
      <c r="C21" s="89">
        <v>5402.16</v>
      </c>
      <c r="D21" s="89">
        <v>4411.76</v>
      </c>
      <c r="E21" s="89">
        <v>3576.4049999999997</v>
      </c>
      <c r="F21" s="89">
        <v>3234.0728571428576</v>
      </c>
      <c r="G21" s="89">
        <v>4752.72</v>
      </c>
      <c r="H21" s="89">
        <v>2380.9533333333334</v>
      </c>
      <c r="I21" s="89">
        <v>3151.26</v>
      </c>
      <c r="J21" s="89">
        <v>3571.43</v>
      </c>
      <c r="K21" s="89">
        <v>2941.18</v>
      </c>
      <c r="L21" s="89">
        <v>3361.34</v>
      </c>
      <c r="M21" s="89">
        <v>3448.6618181818176</v>
      </c>
      <c r="N21" s="114"/>
      <c r="O21" s="212"/>
      <c r="R21" s="319">
        <f t="shared" si="1"/>
        <v>0.5664510714037173</v>
      </c>
      <c r="S21" s="319">
        <f t="shared" si="2"/>
        <v>0.2792672151095237</v>
      </c>
      <c r="T21" s="319">
        <f t="shared" si="3"/>
        <v>0.037041376786991</v>
      </c>
      <c r="U21" s="319">
        <f t="shared" si="4"/>
        <v>-0.062223834157242544</v>
      </c>
      <c r="V21" s="319">
        <f t="shared" si="5"/>
        <v>0.3781345491584618</v>
      </c>
      <c r="W21" s="319">
        <f t="shared" si="6"/>
        <v>-0.30960080783200566</v>
      </c>
      <c r="X21" s="319">
        <f t="shared" si="7"/>
        <v>-0.08623687501449816</v>
      </c>
      <c r="Y21" s="319">
        <f t="shared" si="8"/>
        <v>0.03559878825199142</v>
      </c>
      <c r="Z21" s="319">
        <f t="shared" si="9"/>
        <v>-0.14715325681001948</v>
      </c>
      <c r="AA21" s="319">
        <f t="shared" si="10"/>
        <v>-0.02532049321897695</v>
      </c>
    </row>
    <row r="22" spans="2:27" ht="12.75">
      <c r="B22" s="88">
        <v>43019</v>
      </c>
      <c r="C22" s="89"/>
      <c r="D22" s="89">
        <v>5252.1</v>
      </c>
      <c r="E22" s="89">
        <v>3705.116666666667</v>
      </c>
      <c r="F22" s="89">
        <v>3346.5483333333336</v>
      </c>
      <c r="G22" s="89"/>
      <c r="H22" s="89">
        <v>2521.01</v>
      </c>
      <c r="I22" s="89">
        <v>2761.1</v>
      </c>
      <c r="J22" s="89"/>
      <c r="K22" s="89">
        <v>2941.18</v>
      </c>
      <c r="L22" s="89">
        <v>3361.34</v>
      </c>
      <c r="M22" s="89">
        <v>3552.2313333333336</v>
      </c>
      <c r="N22" s="114"/>
      <c r="O22" s="212"/>
      <c r="R22" s="319">
        <f t="shared" si="1"/>
      </c>
      <c r="S22" s="319">
        <f t="shared" si="2"/>
        <v>0.478535463249672</v>
      </c>
      <c r="T22" s="319">
        <f t="shared" si="3"/>
        <v>0.04303923899851112</v>
      </c>
      <c r="U22" s="319">
        <f t="shared" si="4"/>
        <v>-0.05790247894891229</v>
      </c>
      <c r="V22" s="319">
        <f t="shared" si="5"/>
      </c>
      <c r="W22" s="319">
        <f t="shared" si="6"/>
        <v>-0.29030241461376294</v>
      </c>
      <c r="X22" s="319">
        <f t="shared" si="7"/>
        <v>-0.22271391108724722</v>
      </c>
      <c r="Y22" s="319">
        <f t="shared" si="8"/>
      </c>
      <c r="Z22" s="319">
        <f t="shared" si="9"/>
        <v>-0.17201901452739482</v>
      </c>
      <c r="AA22" s="319">
        <f t="shared" si="10"/>
        <v>-0.053738429572998944</v>
      </c>
    </row>
    <row r="23" spans="2:27" ht="12.75">
      <c r="B23" s="88">
        <v>43020</v>
      </c>
      <c r="C23" s="89"/>
      <c r="D23" s="89">
        <v>5252.1</v>
      </c>
      <c r="E23" s="89">
        <v>3587.435</v>
      </c>
      <c r="F23" s="89">
        <v>3055.7466666666664</v>
      </c>
      <c r="G23" s="89">
        <v>5126.05</v>
      </c>
      <c r="H23" s="89">
        <v>2521.01</v>
      </c>
      <c r="I23" s="89">
        <v>2920.17</v>
      </c>
      <c r="J23" s="89"/>
      <c r="K23" s="89">
        <v>2941.18</v>
      </c>
      <c r="L23" s="89">
        <v>3361.34</v>
      </c>
      <c r="M23" s="89">
        <v>3430.851764705883</v>
      </c>
      <c r="N23" s="114"/>
      <c r="O23" s="212"/>
      <c r="R23" s="319">
        <f t="shared" si="1"/>
      </c>
      <c r="S23" s="319">
        <f t="shared" si="2"/>
        <v>0.5308443384321642</v>
      </c>
      <c r="T23" s="319">
        <f t="shared" si="3"/>
        <v>0.045639755382302395</v>
      </c>
      <c r="U23" s="319">
        <f t="shared" si="4"/>
        <v>-0.10933293647310151</v>
      </c>
      <c r="V23" s="319">
        <f t="shared" si="5"/>
        <v>0.49410419089891566</v>
      </c>
      <c r="W23" s="319">
        <f t="shared" si="6"/>
        <v>-0.26519413460694385</v>
      </c>
      <c r="X23" s="319">
        <f t="shared" si="7"/>
        <v>-0.14884984829697595</v>
      </c>
      <c r="Y23" s="319">
        <f t="shared" si="8"/>
      </c>
      <c r="Z23" s="319">
        <f t="shared" si="9"/>
        <v>-0.14272600458675347</v>
      </c>
      <c r="AA23" s="319">
        <f t="shared" si="10"/>
        <v>-0.020260789294649646</v>
      </c>
    </row>
    <row r="24" spans="2:27" ht="12.75">
      <c r="B24" s="88">
        <v>43021</v>
      </c>
      <c r="C24" s="89">
        <v>5710.465</v>
      </c>
      <c r="D24" s="89">
        <v>5252.1</v>
      </c>
      <c r="E24" s="89">
        <v>3570.25</v>
      </c>
      <c r="F24" s="89">
        <v>3685.3416666666667</v>
      </c>
      <c r="G24" s="89">
        <v>4691.88</v>
      </c>
      <c r="H24" s="89">
        <v>2521.01</v>
      </c>
      <c r="I24" s="89">
        <v>2701.08</v>
      </c>
      <c r="J24" s="89">
        <v>3151.26</v>
      </c>
      <c r="K24" s="89">
        <v>2941.18</v>
      </c>
      <c r="L24" s="89">
        <v>3151.26</v>
      </c>
      <c r="M24" s="89">
        <v>3731.8209090909077</v>
      </c>
      <c r="N24" s="114"/>
      <c r="O24" s="212"/>
      <c r="R24" s="319">
        <f t="shared" si="1"/>
        <v>0.5302087477158975</v>
      </c>
      <c r="S24" s="319">
        <f t="shared" si="2"/>
        <v>0.40738264990305795</v>
      </c>
      <c r="T24" s="319">
        <f t="shared" si="3"/>
        <v>-0.04329546165983277</v>
      </c>
      <c r="U24" s="319">
        <f t="shared" si="4"/>
        <v>-0.012454842704540066</v>
      </c>
      <c r="V24" s="319">
        <f t="shared" si="5"/>
        <v>0.25726290577619604</v>
      </c>
      <c r="W24" s="319">
        <f t="shared" si="6"/>
        <v>-0.3244557921151333</v>
      </c>
      <c r="X24" s="319">
        <f t="shared" si="7"/>
        <v>-0.27620320862128456</v>
      </c>
      <c r="Y24" s="319">
        <f t="shared" si="8"/>
        <v>-0.15557041005816521</v>
      </c>
      <c r="Z24" s="319">
        <f t="shared" si="9"/>
        <v>-0.21186464419148998</v>
      </c>
      <c r="AA24" s="319">
        <f t="shared" si="10"/>
        <v>-0.15557041005816521</v>
      </c>
    </row>
    <row r="25" spans="2:27" ht="12.75">
      <c r="B25" s="88">
        <v>43024</v>
      </c>
      <c r="C25" s="89">
        <v>5462.18</v>
      </c>
      <c r="D25" s="89">
        <v>5672.27</v>
      </c>
      <c r="E25" s="89">
        <v>3565.25</v>
      </c>
      <c r="F25" s="89">
        <v>3625.431666666666</v>
      </c>
      <c r="G25" s="89"/>
      <c r="H25" s="89">
        <v>2521.01</v>
      </c>
      <c r="I25" s="89">
        <v>2773.11</v>
      </c>
      <c r="J25" s="89"/>
      <c r="K25" s="89">
        <v>2941.18</v>
      </c>
      <c r="L25" s="89">
        <v>3151.26</v>
      </c>
      <c r="M25" s="89">
        <v>3691.096470588236</v>
      </c>
      <c r="N25" s="114"/>
      <c r="O25" s="212"/>
      <c r="R25" s="319">
        <f t="shared" si="1"/>
        <v>0.47982585758033935</v>
      </c>
      <c r="S25" s="319">
        <f t="shared" si="2"/>
        <v>0.5367439039316229</v>
      </c>
      <c r="T25" s="319">
        <f t="shared" si="3"/>
        <v>-0.03409460348463351</v>
      </c>
      <c r="U25" s="319">
        <f t="shared" si="4"/>
        <v>-0.01779005356397673</v>
      </c>
      <c r="V25" s="319">
        <f t="shared" si="5"/>
      </c>
      <c r="W25" s="319">
        <f t="shared" si="6"/>
        <v>-0.31700240833904936</v>
      </c>
      <c r="X25" s="319">
        <f t="shared" si="7"/>
        <v>-0.24870292009516076</v>
      </c>
      <c r="Y25" s="319">
        <f t="shared" si="8"/>
      </c>
      <c r="Z25" s="319">
        <f t="shared" si="9"/>
        <v>-0.20316902485854696</v>
      </c>
      <c r="AA25" s="319">
        <f t="shared" si="10"/>
        <v>-0.1462536877293278</v>
      </c>
    </row>
    <row r="26" spans="2:27" ht="12.75">
      <c r="B26" s="88">
        <v>43025</v>
      </c>
      <c r="C26" s="89"/>
      <c r="D26" s="89">
        <v>5672.27</v>
      </c>
      <c r="E26" s="89">
        <v>3575.72</v>
      </c>
      <c r="F26" s="89">
        <v>3967.21875</v>
      </c>
      <c r="G26" s="89">
        <v>4691.88</v>
      </c>
      <c r="H26" s="89">
        <v>2521.01</v>
      </c>
      <c r="I26" s="89">
        <v>2701.08</v>
      </c>
      <c r="J26" s="89">
        <v>3197.89</v>
      </c>
      <c r="K26" s="89">
        <v>2941.18</v>
      </c>
      <c r="L26" s="89">
        <v>2941.18</v>
      </c>
      <c r="M26" s="89">
        <v>3742.8642105263157</v>
      </c>
      <c r="N26" s="114"/>
      <c r="O26" s="212"/>
      <c r="R26" s="319">
        <f t="shared" si="1"/>
      </c>
      <c r="S26" s="319">
        <f t="shared" si="2"/>
        <v>0.5154891230217445</v>
      </c>
      <c r="T26" s="319">
        <f t="shared" si="3"/>
        <v>-0.044656765814865704</v>
      </c>
      <c r="U26" s="319">
        <f t="shared" si="4"/>
        <v>0.05994193934226001</v>
      </c>
      <c r="V26" s="319">
        <f t="shared" si="5"/>
        <v>0.2535533580953062</v>
      </c>
      <c r="W26" s="319">
        <f t="shared" si="6"/>
        <v>-0.3264489817958157</v>
      </c>
      <c r="X26" s="319">
        <f t="shared" si="7"/>
        <v>-0.2783387672992341</v>
      </c>
      <c r="Y26" s="319">
        <f t="shared" si="8"/>
        <v>-0.14560352176112806</v>
      </c>
      <c r="Z26" s="319">
        <f t="shared" si="9"/>
        <v>-0.21419003347000512</v>
      </c>
      <c r="AA26" s="319">
        <f t="shared" si="10"/>
        <v>-0.21419003347000512</v>
      </c>
    </row>
    <row r="27" spans="2:27" ht="12.75">
      <c r="B27" s="88">
        <v>43026</v>
      </c>
      <c r="C27" s="89"/>
      <c r="D27" s="89">
        <v>5672.27</v>
      </c>
      <c r="E27" s="89">
        <v>3580.77</v>
      </c>
      <c r="F27" s="89">
        <v>3923.20875</v>
      </c>
      <c r="G27" s="89">
        <v>4726.89</v>
      </c>
      <c r="H27" s="89">
        <v>2521.01</v>
      </c>
      <c r="I27" s="89">
        <v>2731.09</v>
      </c>
      <c r="J27" s="89"/>
      <c r="K27" s="89"/>
      <c r="L27" s="89">
        <v>3151.26</v>
      </c>
      <c r="M27" s="89">
        <v>3938.8749999999995</v>
      </c>
      <c r="N27" s="114"/>
      <c r="O27" s="212"/>
      <c r="R27" s="319">
        <f t="shared" si="1"/>
      </c>
      <c r="S27" s="319">
        <f t="shared" si="2"/>
        <v>0.4400736250833045</v>
      </c>
      <c r="T27" s="319">
        <f t="shared" si="3"/>
        <v>-0.09091555329884791</v>
      </c>
      <c r="U27" s="319">
        <f t="shared" si="4"/>
        <v>-0.003977341245914066</v>
      </c>
      <c r="V27" s="319">
        <f t="shared" si="5"/>
        <v>0.20006093110342443</v>
      </c>
      <c r="W27" s="319">
        <f t="shared" si="6"/>
        <v>-0.35996699565231177</v>
      </c>
      <c r="X27" s="319">
        <f t="shared" si="7"/>
        <v>-0.3066319697883278</v>
      </c>
      <c r="Y27" s="319">
        <f t="shared" si="8"/>
      </c>
      <c r="Z27" s="319">
        <f t="shared" si="9"/>
      </c>
      <c r="AA27" s="319">
        <f t="shared" si="10"/>
        <v>-0.19995937926438373</v>
      </c>
    </row>
    <row r="28" spans="2:27" ht="12.75">
      <c r="B28" s="88">
        <v>43027</v>
      </c>
      <c r="C28" s="89">
        <v>5474.54</v>
      </c>
      <c r="D28" s="89">
        <v>5672.27</v>
      </c>
      <c r="E28" s="89">
        <v>3691.4750000000004</v>
      </c>
      <c r="F28" s="89">
        <v>3743.3549999999996</v>
      </c>
      <c r="G28" s="89">
        <v>4681.87</v>
      </c>
      <c r="H28" s="89">
        <v>2521.01</v>
      </c>
      <c r="I28" s="89">
        <v>2689.08</v>
      </c>
      <c r="J28" s="89"/>
      <c r="K28" s="89">
        <v>2941.18</v>
      </c>
      <c r="L28" s="89">
        <v>3151.26</v>
      </c>
      <c r="M28" s="89">
        <v>3883.8615789473683</v>
      </c>
      <c r="N28" s="114"/>
      <c r="O28" s="212"/>
      <c r="R28" s="319">
        <f t="shared" si="1"/>
        <v>0.40956104864163273</v>
      </c>
      <c r="S28" s="319">
        <f t="shared" si="2"/>
        <v>0.4604717198848624</v>
      </c>
      <c r="T28" s="319">
        <f t="shared" si="3"/>
        <v>-0.049534870138062424</v>
      </c>
      <c r="U28" s="319">
        <f t="shared" si="4"/>
        <v>-0.03617703053810941</v>
      </c>
      <c r="V28" s="319">
        <f t="shared" si="5"/>
        <v>0.2054677811841362</v>
      </c>
      <c r="W28" s="319">
        <f t="shared" si="6"/>
        <v>-0.3509011717448328</v>
      </c>
      <c r="X28" s="319">
        <f t="shared" si="7"/>
        <v>-0.3076272299259405</v>
      </c>
      <c r="Y28" s="319">
        <f t="shared" si="8"/>
      </c>
      <c r="Z28" s="319">
        <f t="shared" si="9"/>
        <v>-0.2427176045761293</v>
      </c>
      <c r="AA28" s="319">
        <f t="shared" si="10"/>
        <v>-0.18862710837030475</v>
      </c>
    </row>
    <row r="29" spans="2:27" ht="12.75">
      <c r="B29" s="88">
        <v>43028</v>
      </c>
      <c r="C29" s="89">
        <v>6386.55</v>
      </c>
      <c r="D29" s="89">
        <v>5672.27</v>
      </c>
      <c r="E29" s="89">
        <v>3592.4399999999996</v>
      </c>
      <c r="F29" s="89">
        <v>3824.0725</v>
      </c>
      <c r="G29" s="89"/>
      <c r="H29" s="89">
        <v>2521.01</v>
      </c>
      <c r="I29" s="89">
        <v>2899.16</v>
      </c>
      <c r="J29" s="89">
        <v>3978.425</v>
      </c>
      <c r="K29" s="89">
        <v>2941.18</v>
      </c>
      <c r="L29" s="89">
        <v>3151.26</v>
      </c>
      <c r="M29" s="89">
        <v>3797.7018181818175</v>
      </c>
      <c r="N29" s="114"/>
      <c r="O29" s="212"/>
      <c r="R29" s="319">
        <f t="shared" si="1"/>
        <v>0.6816881118532935</v>
      </c>
      <c r="S29" s="319">
        <f t="shared" si="2"/>
        <v>0.4936059415838099</v>
      </c>
      <c r="T29" s="319">
        <f t="shared" si="3"/>
        <v>-0.054048955923582435</v>
      </c>
      <c r="U29" s="319">
        <f t="shared" si="4"/>
        <v>0.006943852645810899</v>
      </c>
      <c r="V29" s="319">
        <f t="shared" si="5"/>
      </c>
      <c r="W29" s="319">
        <f t="shared" si="6"/>
        <v>-0.3361748444992568</v>
      </c>
      <c r="X29" s="319">
        <f t="shared" si="7"/>
        <v>-0.2366014661498628</v>
      </c>
      <c r="Y29" s="319">
        <f t="shared" si="8"/>
        <v>0.04758751225621642</v>
      </c>
      <c r="Z29" s="319">
        <f t="shared" si="9"/>
        <v>-0.2255368797205582</v>
      </c>
      <c r="AA29" s="319">
        <f t="shared" si="10"/>
        <v>-0.1702192139169333</v>
      </c>
    </row>
    <row r="30" spans="2:27" ht="12.75">
      <c r="B30" s="88">
        <v>43031</v>
      </c>
      <c r="C30" s="89"/>
      <c r="D30" s="89">
        <v>5672.27</v>
      </c>
      <c r="E30" s="89">
        <v>4092.07</v>
      </c>
      <c r="F30" s="89">
        <v>3604.351666666667</v>
      </c>
      <c r="G30" s="89"/>
      <c r="H30" s="89">
        <v>2521.01</v>
      </c>
      <c r="I30" s="89">
        <v>2731.09</v>
      </c>
      <c r="J30" s="89"/>
      <c r="K30" s="89">
        <v>2941.18</v>
      </c>
      <c r="L30" s="89">
        <v>3151.26</v>
      </c>
      <c r="M30" s="89">
        <v>3668.022666666667</v>
      </c>
      <c r="N30" s="114"/>
      <c r="O30" s="212"/>
      <c r="R30" s="319">
        <f t="shared" si="1"/>
      </c>
      <c r="S30" s="319">
        <f t="shared" si="2"/>
        <v>0.5464108364288551</v>
      </c>
      <c r="T30" s="319">
        <f t="shared" si="3"/>
        <v>0.115606519334486</v>
      </c>
      <c r="U30" s="319">
        <f t="shared" si="4"/>
        <v>-0.01735839873036052</v>
      </c>
      <c r="V30" s="319">
        <f t="shared" si="5"/>
      </c>
      <c r="W30" s="319">
        <f t="shared" si="6"/>
        <v>-0.3127059920022305</v>
      </c>
      <c r="X30" s="319">
        <f t="shared" si="7"/>
        <v>-0.2554326272792935</v>
      </c>
      <c r="Y30" s="319">
        <f t="shared" si="8"/>
      </c>
      <c r="Z30" s="319">
        <f t="shared" si="9"/>
        <v>-0.1981565362918515</v>
      </c>
      <c r="AA30" s="319">
        <f t="shared" si="10"/>
        <v>-0.1408831715689144</v>
      </c>
    </row>
    <row r="31" spans="2:28" ht="12.75">
      <c r="B31" s="88">
        <v>43032</v>
      </c>
      <c r="C31" s="89"/>
      <c r="D31" s="89">
        <v>5672.27</v>
      </c>
      <c r="E31" s="89">
        <v>3874.88</v>
      </c>
      <c r="F31" s="89">
        <v>3602.36625</v>
      </c>
      <c r="G31" s="89">
        <v>4690.08</v>
      </c>
      <c r="H31" s="89">
        <v>2521.01</v>
      </c>
      <c r="I31" s="89">
        <v>2701.08</v>
      </c>
      <c r="J31" s="89">
        <v>3571.43</v>
      </c>
      <c r="K31" s="89">
        <v>2521.01</v>
      </c>
      <c r="L31" s="89">
        <v>3151.26</v>
      </c>
      <c r="M31" s="89">
        <v>3583.355</v>
      </c>
      <c r="N31" s="114"/>
      <c r="O31" s="212"/>
      <c r="R31" s="319">
        <f t="shared" si="1"/>
      </c>
      <c r="S31" s="319">
        <f t="shared" si="2"/>
        <v>0.5829494984448932</v>
      </c>
      <c r="T31" s="319">
        <f t="shared" si="3"/>
        <v>0.0813553220375877</v>
      </c>
      <c r="U31" s="319">
        <f t="shared" si="4"/>
        <v>0.005305433036916526</v>
      </c>
      <c r="V31" s="319">
        <f t="shared" si="5"/>
        <v>0.30885162089717594</v>
      </c>
      <c r="W31" s="319">
        <f t="shared" si="6"/>
        <v>-0.2964665795044029</v>
      </c>
      <c r="X31" s="319">
        <f t="shared" si="7"/>
        <v>-0.2462147903291748</v>
      </c>
      <c r="Y31" s="319">
        <f t="shared" si="8"/>
        <v>-0.003327886854637674</v>
      </c>
      <c r="Z31" s="319">
        <f t="shared" si="9"/>
        <v>-0.2964665795044029</v>
      </c>
      <c r="AA31" s="319">
        <f t="shared" si="10"/>
        <v>-0.12058392205070383</v>
      </c>
      <c r="AB31" s="343"/>
    </row>
    <row r="32" spans="2:27" ht="12.75">
      <c r="B32" s="88">
        <v>43033</v>
      </c>
      <c r="C32" s="89"/>
      <c r="D32" s="89">
        <v>5672.27</v>
      </c>
      <c r="E32" s="89">
        <v>4101.205</v>
      </c>
      <c r="F32" s="89">
        <v>3800.813333333333</v>
      </c>
      <c r="G32" s="89"/>
      <c r="H32" s="89">
        <v>2521.01</v>
      </c>
      <c r="I32" s="89">
        <v>3008.02</v>
      </c>
      <c r="J32" s="89"/>
      <c r="K32" s="89">
        <v>2941.18</v>
      </c>
      <c r="L32" s="89">
        <v>3151.26</v>
      </c>
      <c r="M32" s="89">
        <v>3757.6558333333337</v>
      </c>
      <c r="N32" s="114"/>
      <c r="O32" s="212"/>
      <c r="R32" s="319">
        <f t="shared" si="1"/>
      </c>
      <c r="S32" s="319">
        <f t="shared" si="2"/>
        <v>0.5095235571290345</v>
      </c>
      <c r="T32" s="319">
        <f t="shared" si="3"/>
        <v>0.09142645891598628</v>
      </c>
      <c r="U32" s="319">
        <f t="shared" si="4"/>
        <v>0.011485218954103968</v>
      </c>
      <c r="V32" s="319">
        <f t="shared" si="5"/>
      </c>
      <c r="W32" s="319">
        <f t="shared" si="6"/>
        <v>-0.32910034558336126</v>
      </c>
      <c r="X32" s="319">
        <f t="shared" si="7"/>
        <v>-0.19949560752304138</v>
      </c>
      <c r="Y32" s="319">
        <f t="shared" si="8"/>
      </c>
      <c r="Z32" s="319">
        <f t="shared" si="9"/>
        <v>-0.21728329297498652</v>
      </c>
      <c r="AA32" s="319">
        <f t="shared" si="10"/>
        <v>-0.1613760972876042</v>
      </c>
    </row>
    <row r="33" spans="2:27" ht="12.75">
      <c r="B33" s="88">
        <v>43034</v>
      </c>
      <c r="C33" s="89">
        <v>5882.35</v>
      </c>
      <c r="D33" s="89">
        <v>5672.27</v>
      </c>
      <c r="E33" s="89">
        <v>4513.185</v>
      </c>
      <c r="F33" s="89">
        <v>3497.376666666667</v>
      </c>
      <c r="G33" s="89">
        <v>4668.53</v>
      </c>
      <c r="H33" s="89">
        <v>2521.01</v>
      </c>
      <c r="I33" s="89">
        <v>3151.26</v>
      </c>
      <c r="J33" s="89"/>
      <c r="K33" s="89">
        <v>2941.18</v>
      </c>
      <c r="L33" s="89">
        <v>3151.26</v>
      </c>
      <c r="M33" s="89">
        <v>3893.633529411765</v>
      </c>
      <c r="N33" s="114"/>
      <c r="O33" s="212"/>
      <c r="R33" s="319">
        <f t="shared" si="1"/>
        <v>0.5107610810226105</v>
      </c>
      <c r="S33" s="319">
        <f t="shared" si="2"/>
        <v>0.4568063371020295</v>
      </c>
      <c r="T33" s="319">
        <f t="shared" si="3"/>
        <v>0.15911910196690623</v>
      </c>
      <c r="U33" s="319">
        <f t="shared" si="4"/>
        <v>-0.10177045676020845</v>
      </c>
      <c r="V33" s="319">
        <f t="shared" si="5"/>
        <v>0.19901628253784412</v>
      </c>
      <c r="W33" s="319">
        <f t="shared" si="6"/>
        <v>-0.3525302314774178</v>
      </c>
      <c r="X33" s="319">
        <f t="shared" si="7"/>
        <v>-0.1906634314205527</v>
      </c>
      <c r="Y33" s="319">
        <f t="shared" si="8"/>
      </c>
      <c r="Z33" s="319">
        <f t="shared" si="9"/>
        <v>-0.24461817534113386</v>
      </c>
      <c r="AA33" s="319">
        <f t="shared" si="10"/>
        <v>-0.1906634314205527</v>
      </c>
    </row>
    <row r="34" spans="2:27" ht="12.75">
      <c r="B34" s="88">
        <v>43038</v>
      </c>
      <c r="C34" s="89"/>
      <c r="D34" s="89">
        <v>5672.27</v>
      </c>
      <c r="E34" s="89">
        <v>4396.75</v>
      </c>
      <c r="F34" s="89">
        <v>3522.4157142857143</v>
      </c>
      <c r="G34" s="89"/>
      <c r="H34" s="89">
        <v>2521.01</v>
      </c>
      <c r="I34" s="89">
        <v>2701.08</v>
      </c>
      <c r="J34" s="89"/>
      <c r="K34" s="89">
        <v>2941.18</v>
      </c>
      <c r="L34" s="89">
        <v>2941.18</v>
      </c>
      <c r="M34" s="89">
        <v>3677.5362500000006</v>
      </c>
      <c r="N34" s="114"/>
      <c r="O34" s="212"/>
      <c r="R34" s="319">
        <f t="shared" si="1"/>
      </c>
      <c r="S34" s="319">
        <f t="shared" si="2"/>
        <v>0.542410356933939</v>
      </c>
      <c r="T34" s="319">
        <f t="shared" si="3"/>
        <v>0.19556945223857394</v>
      </c>
      <c r="U34" s="319">
        <f t="shared" si="4"/>
        <v>-0.042180559257379506</v>
      </c>
      <c r="V34" s="319">
        <f t="shared" si="5"/>
      </c>
      <c r="W34" s="319">
        <f t="shared" si="6"/>
        <v>-0.31448398367249275</v>
      </c>
      <c r="X34" s="319">
        <f t="shared" si="7"/>
        <v>-0.2655191366230586</v>
      </c>
      <c r="Y34" s="319">
        <f t="shared" si="8"/>
      </c>
      <c r="Z34" s="319">
        <f t="shared" si="9"/>
        <v>-0.20023086108260676</v>
      </c>
      <c r="AA34" s="319">
        <f t="shared" si="10"/>
        <v>-0.20023086108260676</v>
      </c>
    </row>
    <row r="35" spans="2:28" ht="12.75">
      <c r="B35" s="55">
        <v>43039</v>
      </c>
      <c r="C35" s="33">
        <v>6092.44</v>
      </c>
      <c r="D35" s="33">
        <v>5672.27</v>
      </c>
      <c r="E35" s="33">
        <v>4308.63</v>
      </c>
      <c r="F35" s="33">
        <v>3455.8480000000004</v>
      </c>
      <c r="G35" s="33">
        <v>4621.85</v>
      </c>
      <c r="H35" s="33">
        <v>2521.01</v>
      </c>
      <c r="I35" s="33">
        <v>2926.17</v>
      </c>
      <c r="J35" s="33">
        <v>3994.9300000000003</v>
      </c>
      <c r="K35" s="33">
        <v>2521.01</v>
      </c>
      <c r="L35" s="33">
        <v>2941.18</v>
      </c>
      <c r="M35" s="33">
        <v>3867.187999999999</v>
      </c>
      <c r="N35" s="114"/>
      <c r="O35" s="212"/>
      <c r="R35" s="319">
        <f t="shared" si="1"/>
        <v>0.5754186245923397</v>
      </c>
      <c r="S35" s="319">
        <f t="shared" si="2"/>
        <v>0.4667686184379972</v>
      </c>
      <c r="T35" s="319">
        <f t="shared" si="3"/>
        <v>0.11415064382698772</v>
      </c>
      <c r="U35" s="319">
        <f t="shared" si="4"/>
        <v>-0.10636669331824541</v>
      </c>
      <c r="V35" s="319">
        <f t="shared" si="5"/>
        <v>0.19514489598126633</v>
      </c>
      <c r="W35" s="319">
        <f t="shared" si="6"/>
        <v>-0.3481025489321955</v>
      </c>
      <c r="X35" s="319">
        <f t="shared" si="7"/>
        <v>-0.2433339160133925</v>
      </c>
      <c r="Y35" s="319">
        <f t="shared" si="8"/>
        <v>0.033032270476636025</v>
      </c>
      <c r="Z35" s="319">
        <f t="shared" si="9"/>
        <v>-0.3481025489321955</v>
      </c>
      <c r="AA35" s="319">
        <f t="shared" si="10"/>
        <v>-0.23945254277785294</v>
      </c>
      <c r="AB35" s="343"/>
    </row>
    <row r="36" spans="2:27" ht="12.75">
      <c r="B36" s="96" t="s">
        <v>180</v>
      </c>
      <c r="F36" s="56"/>
      <c r="G36" s="56"/>
      <c r="H36" s="56"/>
      <c r="I36" s="56"/>
      <c r="J36" s="56"/>
      <c r="K36" s="56"/>
      <c r="L36" s="56"/>
      <c r="R36" s="340"/>
      <c r="S36" s="340"/>
      <c r="T36" s="340"/>
      <c r="U36" s="340"/>
      <c r="V36" s="340"/>
      <c r="W36" s="340"/>
      <c r="X36" s="340"/>
      <c r="Y36" s="340"/>
      <c r="Z36" s="340"/>
      <c r="AA36" s="340"/>
    </row>
    <row r="37" spans="17:28" ht="12.75">
      <c r="Q37" s="337" t="s">
        <v>181</v>
      </c>
      <c r="R37" s="344">
        <f>+AVERAGE(C16:C35)</f>
        <v>5704.319444444444</v>
      </c>
      <c r="S37" s="344">
        <f aca="true" t="shared" si="11" ref="S37:AB37">+AVERAGE(D16:D35)</f>
        <v>5231.091500000002</v>
      </c>
      <c r="T37" s="344">
        <f t="shared" si="11"/>
        <v>3795.71975</v>
      </c>
      <c r="U37" s="344">
        <f t="shared" si="11"/>
        <v>3601.1324</v>
      </c>
      <c r="V37" s="344">
        <f t="shared" si="11"/>
        <v>4938.426666666667</v>
      </c>
      <c r="W37" s="344">
        <f t="shared" si="11"/>
        <v>2535.015666666668</v>
      </c>
      <c r="X37" s="344">
        <f t="shared" si="11"/>
        <v>2902.5015</v>
      </c>
      <c r="Y37" s="344">
        <f t="shared" si="11"/>
        <v>3677.5375</v>
      </c>
      <c r="Z37" s="344">
        <f t="shared" si="11"/>
        <v>3081.9617647058826</v>
      </c>
      <c r="AA37" s="344">
        <f t="shared" si="11"/>
        <v>3127.9177777777786</v>
      </c>
      <c r="AB37" s="344">
        <f t="shared" si="11"/>
        <v>3719.6589763632846</v>
      </c>
    </row>
    <row r="38" spans="18:28" ht="12.75">
      <c r="R38" s="339">
        <f>+(R37-$AB$37)/$AB$37</f>
        <v>0.5335597915542152</v>
      </c>
      <c r="S38" s="339">
        <f aca="true" t="shared" si="12" ref="S38:AA38">+(S37-$AB$37)/$AB$37</f>
        <v>0.4063363155711783</v>
      </c>
      <c r="T38" s="339">
        <f t="shared" si="12"/>
        <v>0.020448319085175998</v>
      </c>
      <c r="U38" s="339">
        <f t="shared" si="12"/>
        <v>-0.031864904045361776</v>
      </c>
      <c r="V38" s="339">
        <f t="shared" si="12"/>
        <v>0.3276557603931136</v>
      </c>
      <c r="W38" s="339">
        <f t="shared" si="12"/>
        <v>-0.31848169878595806</v>
      </c>
      <c r="X38" s="339">
        <f t="shared" si="12"/>
        <v>-0.21968612756060255</v>
      </c>
      <c r="Y38" s="339">
        <f t="shared" si="12"/>
        <v>-0.011324015623729826</v>
      </c>
      <c r="Z38" s="339">
        <f t="shared" si="12"/>
        <v>-0.17143969802330628</v>
      </c>
      <c r="AA38" s="339">
        <f t="shared" si="12"/>
        <v>-0.15908479845753284</v>
      </c>
      <c r="AB38" s="340"/>
    </row>
    <row r="40" spans="18:27" ht="12.75">
      <c r="R40" s="345"/>
      <c r="S40" s="345"/>
      <c r="T40" s="345"/>
      <c r="U40" s="345"/>
      <c r="V40" s="345"/>
      <c r="W40" s="345"/>
      <c r="X40" s="345"/>
      <c r="Y40" s="345"/>
      <c r="Z40" s="345"/>
      <c r="AA40" s="345"/>
    </row>
    <row r="41" spans="18:27" ht="12.75">
      <c r="R41" s="319"/>
      <c r="S41" s="319"/>
      <c r="T41" s="319"/>
      <c r="U41" s="319"/>
      <c r="V41" s="319"/>
      <c r="W41" s="319"/>
      <c r="X41" s="319"/>
      <c r="Y41" s="319"/>
      <c r="Z41" s="319"/>
      <c r="AA41" s="319"/>
    </row>
    <row r="42" spans="18:27" ht="12.75">
      <c r="R42" s="346"/>
      <c r="S42" s="346"/>
      <c r="T42" s="346"/>
      <c r="U42" s="346"/>
      <c r="V42" s="346"/>
      <c r="W42" s="346"/>
      <c r="X42" s="346"/>
      <c r="Y42" s="346"/>
      <c r="Z42" s="346"/>
      <c r="AA42" s="346"/>
    </row>
    <row r="58" ht="12.75">
      <c r="B58" s="54"/>
    </row>
    <row r="59" ht="12.75"/>
    <row r="62" spans="3:14" ht="12.75">
      <c r="C62" s="294"/>
      <c r="D62" s="294"/>
      <c r="E62" s="294"/>
      <c r="F62" s="294"/>
      <c r="G62" s="294"/>
      <c r="H62" s="294"/>
      <c r="I62" s="294"/>
      <c r="J62" s="294"/>
      <c r="K62" s="294"/>
      <c r="L62" s="294"/>
      <c r="M62" s="294"/>
      <c r="N62" s="294"/>
    </row>
    <row r="63" spans="3:14" ht="12.75">
      <c r="C63" s="294"/>
      <c r="D63" s="294"/>
      <c r="E63" s="294"/>
      <c r="F63" s="294"/>
      <c r="G63" s="294"/>
      <c r="H63" s="294"/>
      <c r="I63" s="294"/>
      <c r="J63" s="294"/>
      <c r="K63" s="294"/>
      <c r="L63" s="294"/>
      <c r="M63" s="294"/>
      <c r="N63" s="294"/>
    </row>
    <row r="64" spans="3:14" ht="12.75">
      <c r="C64" s="294"/>
      <c r="D64" s="294"/>
      <c r="E64" s="294"/>
      <c r="F64" s="294"/>
      <c r="G64" s="294"/>
      <c r="H64" s="294"/>
      <c r="I64" s="294"/>
      <c r="J64" s="294"/>
      <c r="K64" s="294"/>
      <c r="L64" s="294"/>
      <c r="M64" s="294"/>
      <c r="N64" s="294"/>
    </row>
    <row r="65" spans="3:14" ht="12.75">
      <c r="C65" s="294"/>
      <c r="D65" s="294"/>
      <c r="E65" s="294"/>
      <c r="F65" s="294"/>
      <c r="G65" s="294"/>
      <c r="H65" s="294"/>
      <c r="I65" s="294"/>
      <c r="J65" s="294"/>
      <c r="K65" s="294"/>
      <c r="L65" s="294"/>
      <c r="M65" s="294"/>
      <c r="N65" s="294"/>
    </row>
    <row r="66" spans="3:14" ht="12.75">
      <c r="C66" s="294"/>
      <c r="D66" s="294"/>
      <c r="E66" s="294"/>
      <c r="F66" s="294"/>
      <c r="G66" s="294"/>
      <c r="H66" s="294"/>
      <c r="I66" s="294"/>
      <c r="J66" s="294"/>
      <c r="K66" s="294"/>
      <c r="L66" s="294"/>
      <c r="M66" s="294"/>
      <c r="N66" s="294"/>
    </row>
    <row r="67" spans="3:14" ht="12.75">
      <c r="C67" s="294"/>
      <c r="D67" s="294"/>
      <c r="E67" s="294"/>
      <c r="F67" s="294"/>
      <c r="G67" s="294"/>
      <c r="H67" s="294"/>
      <c r="I67" s="294"/>
      <c r="J67" s="294"/>
      <c r="K67" s="294"/>
      <c r="L67" s="294"/>
      <c r="M67" s="294"/>
      <c r="N67" s="294"/>
    </row>
    <row r="68" spans="3:14" ht="12.75">
      <c r="C68" s="294"/>
      <c r="D68" s="294"/>
      <c r="E68" s="294"/>
      <c r="F68" s="294"/>
      <c r="G68" s="294"/>
      <c r="H68" s="294"/>
      <c r="I68" s="294"/>
      <c r="J68" s="294"/>
      <c r="K68" s="294"/>
      <c r="L68" s="294"/>
      <c r="M68" s="294"/>
      <c r="N68" s="294"/>
    </row>
    <row r="69" spans="3:14" ht="12.75">
      <c r="C69" s="294"/>
      <c r="D69" s="294"/>
      <c r="E69" s="294"/>
      <c r="F69" s="294"/>
      <c r="G69" s="294"/>
      <c r="H69" s="294"/>
      <c r="I69" s="294"/>
      <c r="J69" s="294"/>
      <c r="K69" s="294"/>
      <c r="L69" s="294"/>
      <c r="M69" s="294"/>
      <c r="N69" s="294"/>
    </row>
    <row r="70" spans="3:14" ht="12.75">
      <c r="C70" s="294"/>
      <c r="D70" s="294"/>
      <c r="E70" s="294"/>
      <c r="F70" s="294"/>
      <c r="G70" s="294"/>
      <c r="H70" s="294"/>
      <c r="I70" s="294"/>
      <c r="J70" s="294"/>
      <c r="K70" s="294"/>
      <c r="L70" s="294"/>
      <c r="M70" s="294"/>
      <c r="N70" s="294"/>
    </row>
    <row r="71" spans="3:14" ht="12.75">
      <c r="C71" s="294"/>
      <c r="D71" s="294"/>
      <c r="E71" s="294"/>
      <c r="F71" s="294"/>
      <c r="G71" s="294"/>
      <c r="H71" s="294"/>
      <c r="I71" s="294"/>
      <c r="J71" s="294"/>
      <c r="K71" s="294"/>
      <c r="L71" s="294"/>
      <c r="M71" s="294"/>
      <c r="N71" s="294"/>
    </row>
    <row r="72" spans="3:14" ht="12.75">
      <c r="C72" s="294"/>
      <c r="D72" s="294"/>
      <c r="E72" s="294"/>
      <c r="F72" s="294"/>
      <c r="G72" s="294"/>
      <c r="H72" s="294"/>
      <c r="I72" s="294"/>
      <c r="J72" s="294"/>
      <c r="K72" s="294"/>
      <c r="L72" s="294"/>
      <c r="M72" s="294"/>
      <c r="N72" s="294"/>
    </row>
    <row r="73" spans="3:14" ht="12.75">
      <c r="C73" s="294"/>
      <c r="D73" s="294"/>
      <c r="E73" s="294"/>
      <c r="F73" s="294"/>
      <c r="G73" s="294"/>
      <c r="H73" s="294"/>
      <c r="I73" s="294"/>
      <c r="J73" s="294"/>
      <c r="K73" s="294"/>
      <c r="L73" s="294"/>
      <c r="M73" s="294"/>
      <c r="N73" s="294"/>
    </row>
    <row r="74" spans="3:14" ht="12.75">
      <c r="C74" s="294"/>
      <c r="D74" s="294"/>
      <c r="E74" s="294"/>
      <c r="F74" s="294"/>
      <c r="G74" s="294"/>
      <c r="H74" s="294"/>
      <c r="I74" s="294"/>
      <c r="J74" s="294"/>
      <c r="K74" s="294"/>
      <c r="L74" s="294"/>
      <c r="M74" s="294"/>
      <c r="N74" s="294"/>
    </row>
    <row r="75" spans="3:14" ht="12.75">
      <c r="C75" s="294"/>
      <c r="D75" s="294"/>
      <c r="E75" s="294"/>
      <c r="F75" s="294"/>
      <c r="G75" s="294"/>
      <c r="H75" s="294"/>
      <c r="I75" s="294"/>
      <c r="J75" s="294"/>
      <c r="K75" s="294"/>
      <c r="L75" s="294"/>
      <c r="M75" s="294"/>
      <c r="N75" s="294"/>
    </row>
    <row r="76" spans="3:14" ht="12.75">
      <c r="C76" s="294"/>
      <c r="D76" s="294"/>
      <c r="E76" s="294"/>
      <c r="F76" s="294"/>
      <c r="G76" s="294"/>
      <c r="H76" s="294"/>
      <c r="I76" s="294"/>
      <c r="J76" s="294"/>
      <c r="K76" s="294"/>
      <c r="L76" s="294"/>
      <c r="M76" s="294"/>
      <c r="N76" s="294"/>
    </row>
    <row r="77" spans="3:14" ht="12.75">
      <c r="C77" s="294"/>
      <c r="D77" s="294"/>
      <c r="E77" s="294"/>
      <c r="F77" s="294"/>
      <c r="G77" s="294"/>
      <c r="H77" s="294"/>
      <c r="I77" s="294"/>
      <c r="J77" s="294"/>
      <c r="K77" s="294"/>
      <c r="L77" s="294"/>
      <c r="M77" s="294"/>
      <c r="N77" s="294"/>
    </row>
    <row r="78" spans="3:14" ht="12.75">
      <c r="C78" s="294"/>
      <c r="D78" s="294"/>
      <c r="E78" s="294"/>
      <c r="F78" s="294"/>
      <c r="G78" s="294"/>
      <c r="H78" s="294"/>
      <c r="I78" s="294"/>
      <c r="J78" s="294"/>
      <c r="K78" s="294"/>
      <c r="L78" s="294"/>
      <c r="M78" s="294"/>
      <c r="N78" s="294"/>
    </row>
    <row r="79" spans="3:14" ht="12.75">
      <c r="C79" s="294"/>
      <c r="D79" s="294"/>
      <c r="E79" s="294"/>
      <c r="F79" s="294"/>
      <c r="G79" s="294"/>
      <c r="H79" s="294"/>
      <c r="I79" s="294"/>
      <c r="J79" s="294"/>
      <c r="K79" s="294"/>
      <c r="L79" s="294"/>
      <c r="M79" s="294"/>
      <c r="N79" s="294"/>
    </row>
    <row r="80" spans="3:14" ht="12.75">
      <c r="C80" s="294"/>
      <c r="D80" s="294"/>
      <c r="E80" s="294"/>
      <c r="F80" s="294"/>
      <c r="G80" s="294"/>
      <c r="H80" s="294"/>
      <c r="I80" s="294"/>
      <c r="J80" s="294"/>
      <c r="K80" s="294"/>
      <c r="L80" s="294"/>
      <c r="M80" s="294"/>
      <c r="N80" s="294"/>
    </row>
    <row r="81" spans="3:14" ht="12.75">
      <c r="C81" s="294"/>
      <c r="D81" s="294"/>
      <c r="E81" s="294"/>
      <c r="F81" s="294"/>
      <c r="G81" s="294"/>
      <c r="H81" s="294"/>
      <c r="I81" s="294"/>
      <c r="J81" s="294"/>
      <c r="K81" s="294"/>
      <c r="L81" s="294"/>
      <c r="M81" s="294"/>
      <c r="N81" s="294"/>
    </row>
    <row r="82" spans="3:14" ht="12.75">
      <c r="C82" s="294"/>
      <c r="D82" s="294"/>
      <c r="E82" s="294"/>
      <c r="F82" s="294"/>
      <c r="G82" s="294"/>
      <c r="H82" s="294"/>
      <c r="I82" s="294"/>
      <c r="J82" s="294"/>
      <c r="K82" s="294"/>
      <c r="L82" s="294"/>
      <c r="M82" s="294"/>
      <c r="N82" s="294"/>
    </row>
    <row r="83" spans="3:14" ht="12.75">
      <c r="C83" s="294"/>
      <c r="D83" s="294"/>
      <c r="E83" s="294"/>
      <c r="F83" s="294"/>
      <c r="G83" s="294"/>
      <c r="H83" s="294"/>
      <c r="I83" s="294"/>
      <c r="J83" s="294"/>
      <c r="K83" s="294"/>
      <c r="L83" s="294"/>
      <c r="M83" s="294"/>
      <c r="N83" s="294"/>
    </row>
    <row r="84" spans="3:14" ht="12.75">
      <c r="C84" s="294"/>
      <c r="D84" s="294"/>
      <c r="E84" s="294"/>
      <c r="F84" s="294"/>
      <c r="G84" s="294"/>
      <c r="H84" s="294"/>
      <c r="I84" s="294"/>
      <c r="J84" s="294"/>
      <c r="K84" s="294"/>
      <c r="L84" s="294"/>
      <c r="M84" s="294"/>
      <c r="N84" s="294"/>
    </row>
    <row r="85" spans="3:14" ht="12.75">
      <c r="C85" s="294"/>
      <c r="D85" s="294"/>
      <c r="E85" s="294"/>
      <c r="F85" s="294"/>
      <c r="G85" s="294"/>
      <c r="H85" s="294"/>
      <c r="I85" s="294"/>
      <c r="J85" s="294"/>
      <c r="K85" s="294"/>
      <c r="L85" s="294"/>
      <c r="M85" s="294"/>
      <c r="N85" s="294"/>
    </row>
    <row r="86" spans="3:14" ht="12.75">
      <c r="C86" s="294"/>
      <c r="D86" s="294"/>
      <c r="E86" s="294"/>
      <c r="F86" s="294"/>
      <c r="G86" s="294"/>
      <c r="H86" s="294"/>
      <c r="I86" s="294"/>
      <c r="J86" s="294"/>
      <c r="K86" s="294"/>
      <c r="L86" s="294"/>
      <c r="M86" s="294"/>
      <c r="N86" s="294"/>
    </row>
    <row r="87" spans="3:14" ht="12.75">
      <c r="C87" s="294"/>
      <c r="D87" s="294"/>
      <c r="E87" s="294"/>
      <c r="F87" s="294"/>
      <c r="G87" s="294"/>
      <c r="H87" s="294"/>
      <c r="I87" s="294"/>
      <c r="J87" s="294"/>
      <c r="K87" s="294"/>
      <c r="L87" s="294"/>
      <c r="M87" s="294"/>
      <c r="N87" s="294"/>
    </row>
    <row r="88" spans="3:14" ht="12.75">
      <c r="C88" s="294"/>
      <c r="D88" s="294"/>
      <c r="E88" s="294"/>
      <c r="F88" s="294"/>
      <c r="G88" s="294"/>
      <c r="H88" s="294"/>
      <c r="I88" s="294"/>
      <c r="J88" s="294"/>
      <c r="K88" s="294"/>
      <c r="L88" s="294"/>
      <c r="M88" s="294"/>
      <c r="N88" s="294"/>
    </row>
    <row r="89" spans="3:14" ht="12.75">
      <c r="C89" s="294"/>
      <c r="D89" s="294"/>
      <c r="E89" s="294"/>
      <c r="F89" s="294"/>
      <c r="G89" s="294"/>
      <c r="H89" s="294"/>
      <c r="I89" s="294"/>
      <c r="J89" s="294"/>
      <c r="K89" s="294"/>
      <c r="L89" s="294"/>
      <c r="M89" s="294"/>
      <c r="N89" s="294"/>
    </row>
    <row r="90" spans="3:14" ht="12.75">
      <c r="C90" s="294"/>
      <c r="D90" s="294"/>
      <c r="E90" s="294"/>
      <c r="F90" s="294"/>
      <c r="G90" s="294"/>
      <c r="H90" s="294"/>
      <c r="I90" s="294"/>
      <c r="J90" s="294"/>
      <c r="K90" s="294"/>
      <c r="L90" s="294"/>
      <c r="M90" s="294"/>
      <c r="N90" s="294"/>
    </row>
    <row r="91" spans="3:14" ht="12.75">
      <c r="C91" s="294"/>
      <c r="D91" s="294"/>
      <c r="E91" s="294"/>
      <c r="F91" s="294"/>
      <c r="G91" s="294"/>
      <c r="H91" s="294"/>
      <c r="I91" s="294"/>
      <c r="J91" s="294"/>
      <c r="K91" s="294"/>
      <c r="L91" s="294"/>
      <c r="M91" s="294"/>
      <c r="N91" s="294"/>
    </row>
  </sheetData>
  <sheetProtection/>
  <mergeCells count="3">
    <mergeCell ref="B2:M2"/>
    <mergeCell ref="B3:M3"/>
    <mergeCell ref="B4:M4"/>
  </mergeCells>
  <conditionalFormatting sqref="R38:AA38">
    <cfRule type="top10" priority="1" dxfId="42" rank="1" bottom="1"/>
    <cfRule type="top10" priority="2" dxfId="43" rank="1"/>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Z45"/>
  <sheetViews>
    <sheetView zoomScale="80" zoomScaleNormal="80" zoomScalePageLayoutView="80" workbookViewId="0" topLeftCell="A1">
      <selection activeCell="A1" sqref="A1"/>
    </sheetView>
  </sheetViews>
  <sheetFormatPr defaultColWidth="10.8515625" defaultRowHeight="15"/>
  <cols>
    <col min="1" max="1" width="1.7109375" style="20" customWidth="1"/>
    <col min="2" max="2" width="38.00390625" style="20" customWidth="1"/>
    <col min="3" max="10" width="10.8515625" style="20" customWidth="1"/>
    <col min="11" max="11" width="2.421875" style="20" customWidth="1"/>
    <col min="12" max="12" width="10.8515625" style="20" customWidth="1"/>
    <col min="13" max="13" width="8.28125" style="146" customWidth="1"/>
    <col min="14" max="14" width="7.7109375" style="138" hidden="1" customWidth="1"/>
    <col min="15" max="15" width="10.8515625" style="146" customWidth="1"/>
    <col min="16" max="16384" width="10.8515625" style="20" customWidth="1"/>
  </cols>
  <sheetData>
    <row r="1" ht="6.75" customHeight="1"/>
    <row r="2" spans="2:15" ht="12.75">
      <c r="B2" s="377" t="s">
        <v>59</v>
      </c>
      <c r="C2" s="377"/>
      <c r="D2" s="377"/>
      <c r="E2" s="377"/>
      <c r="F2" s="377"/>
      <c r="G2" s="377"/>
      <c r="H2" s="377"/>
      <c r="I2" s="377"/>
      <c r="J2" s="377"/>
      <c r="K2" s="98"/>
      <c r="L2" s="45" t="s">
        <v>148</v>
      </c>
      <c r="O2" s="201"/>
    </row>
    <row r="3" spans="2:15" ht="12.75">
      <c r="B3" s="377" t="s">
        <v>104</v>
      </c>
      <c r="C3" s="377"/>
      <c r="D3" s="377"/>
      <c r="E3" s="377"/>
      <c r="F3" s="377"/>
      <c r="G3" s="377"/>
      <c r="H3" s="377"/>
      <c r="I3" s="377"/>
      <c r="J3" s="377"/>
      <c r="K3" s="98"/>
      <c r="O3" s="201"/>
    </row>
    <row r="4" spans="2:15" ht="12.75">
      <c r="B4" s="377" t="s">
        <v>261</v>
      </c>
      <c r="C4" s="377"/>
      <c r="D4" s="377"/>
      <c r="E4" s="377"/>
      <c r="F4" s="377"/>
      <c r="G4" s="377"/>
      <c r="H4" s="377"/>
      <c r="I4" s="377"/>
      <c r="J4" s="377"/>
      <c r="K4" s="98"/>
      <c r="O4" s="201"/>
    </row>
    <row r="5" spans="2:15" ht="15" customHeight="1">
      <c r="B5" s="383" t="s">
        <v>46</v>
      </c>
      <c r="C5" s="386" t="s">
        <v>65</v>
      </c>
      <c r="D5" s="387"/>
      <c r="E5" s="387"/>
      <c r="F5" s="388"/>
      <c r="G5" s="386" t="s">
        <v>66</v>
      </c>
      <c r="H5" s="387"/>
      <c r="I5" s="387"/>
      <c r="J5" s="388"/>
      <c r="K5" s="98"/>
      <c r="O5" s="201"/>
    </row>
    <row r="6" spans="2:15" ht="12.75" customHeight="1">
      <c r="B6" s="384"/>
      <c r="C6" s="386" t="s">
        <v>45</v>
      </c>
      <c r="D6" s="387"/>
      <c r="E6" s="387" t="s">
        <v>44</v>
      </c>
      <c r="F6" s="388"/>
      <c r="G6" s="386" t="s">
        <v>45</v>
      </c>
      <c r="H6" s="387"/>
      <c r="I6" s="387" t="s">
        <v>44</v>
      </c>
      <c r="J6" s="388"/>
      <c r="K6" s="98"/>
      <c r="O6" s="201"/>
    </row>
    <row r="7" spans="2:15" ht="12.75">
      <c r="B7" s="385"/>
      <c r="C7" s="263">
        <v>2016</v>
      </c>
      <c r="D7" s="264">
        <f>+C7+1</f>
        <v>2017</v>
      </c>
      <c r="E7" s="264" t="s">
        <v>43</v>
      </c>
      <c r="F7" s="265" t="s">
        <v>42</v>
      </c>
      <c r="G7" s="266">
        <f>+C7</f>
        <v>2016</v>
      </c>
      <c r="H7" s="267">
        <f>+D7</f>
        <v>2017</v>
      </c>
      <c r="I7" s="267" t="s">
        <v>43</v>
      </c>
      <c r="J7" s="268" t="s">
        <v>42</v>
      </c>
      <c r="K7" s="136"/>
      <c r="L7" s="138"/>
      <c r="O7" s="201"/>
    </row>
    <row r="8" spans="2:15" ht="12.75" customHeight="1">
      <c r="B8" s="289" t="s">
        <v>41</v>
      </c>
      <c r="C8" s="271">
        <v>1409</v>
      </c>
      <c r="D8" s="281">
        <v>1091</v>
      </c>
      <c r="E8" s="273">
        <f>+(D8/C19-1)*100</f>
        <v>0.8317929759704246</v>
      </c>
      <c r="F8" s="274">
        <f>(D8/C8-1)*100</f>
        <v>-22.569198012775015</v>
      </c>
      <c r="G8" s="281">
        <v>476</v>
      </c>
      <c r="H8" s="272">
        <v>394</v>
      </c>
      <c r="I8" s="273">
        <f>+(H8/G19-1)*100</f>
        <v>2.0725388601036343</v>
      </c>
      <c r="J8" s="274">
        <f>(H8/G8-1)*100</f>
        <v>-17.226890756302527</v>
      </c>
      <c r="K8" s="79"/>
      <c r="N8" s="333">
        <f>+D8/H8-1</f>
        <v>1.7690355329949239</v>
      </c>
      <c r="O8" s="201"/>
    </row>
    <row r="9" spans="2:15" ht="12.75" customHeight="1">
      <c r="B9" s="290" t="s">
        <v>40</v>
      </c>
      <c r="C9" s="275">
        <v>1396</v>
      </c>
      <c r="D9" s="89">
        <v>1091</v>
      </c>
      <c r="E9" s="270">
        <f aca="true" t="shared" si="0" ref="E9:E14">+(D9/D8-1)*100</f>
        <v>0</v>
      </c>
      <c r="F9" s="276">
        <f>(D9/C9-1)*100</f>
        <v>-21.848137535816615</v>
      </c>
      <c r="G9" s="89">
        <v>439</v>
      </c>
      <c r="H9" s="269">
        <v>388</v>
      </c>
      <c r="I9" s="270">
        <f aca="true" t="shared" si="1" ref="I9:I14">+(H9/H8-1)*100</f>
        <v>-1.5228426395939132</v>
      </c>
      <c r="J9" s="276">
        <f>(H9/G9-1)*100</f>
        <v>-11.617312072892938</v>
      </c>
      <c r="K9" s="79"/>
      <c r="N9" s="333">
        <f>+D9/H9-1</f>
        <v>1.8118556701030926</v>
      </c>
      <c r="O9" s="201"/>
    </row>
    <row r="10" spans="2:15" ht="12.75" customHeight="1">
      <c r="B10" s="290" t="s">
        <v>39</v>
      </c>
      <c r="C10" s="275">
        <v>1197</v>
      </c>
      <c r="D10" s="89">
        <v>1143</v>
      </c>
      <c r="E10" s="270">
        <f t="shared" si="0"/>
        <v>4.766269477543528</v>
      </c>
      <c r="F10" s="276">
        <f>(D10/C10-1)*100</f>
        <v>-4.511278195488721</v>
      </c>
      <c r="G10" s="89">
        <v>435</v>
      </c>
      <c r="H10" s="269">
        <v>393</v>
      </c>
      <c r="I10" s="270">
        <f t="shared" si="1"/>
        <v>1.2886597938144284</v>
      </c>
      <c r="J10" s="276">
        <f>(H10/G10-1)*100</f>
        <v>-9.6551724137931</v>
      </c>
      <c r="K10" s="79"/>
      <c r="N10" s="333">
        <f aca="true" t="shared" si="2" ref="N10:N17">+D10/H10-1</f>
        <v>1.9083969465648853</v>
      </c>
      <c r="O10" s="201"/>
    </row>
    <row r="11" spans="2:15" ht="12.75">
      <c r="B11" s="290" t="s">
        <v>38</v>
      </c>
      <c r="C11" s="275">
        <v>1117</v>
      </c>
      <c r="D11" s="89">
        <v>1090</v>
      </c>
      <c r="E11" s="270">
        <f t="shared" si="0"/>
        <v>-4.636920384951882</v>
      </c>
      <c r="F11" s="276">
        <f>(D11/C11-1)*100</f>
        <v>-2.4171888988361645</v>
      </c>
      <c r="G11" s="89">
        <v>470</v>
      </c>
      <c r="H11" s="269">
        <v>388</v>
      </c>
      <c r="I11" s="270">
        <f t="shared" si="1"/>
        <v>-1.2722646310432517</v>
      </c>
      <c r="J11" s="276">
        <f>(H11/G11-1)*100</f>
        <v>-17.446808510638302</v>
      </c>
      <c r="K11" s="79"/>
      <c r="N11" s="333">
        <f t="shared" si="2"/>
        <v>1.8092783505154637</v>
      </c>
      <c r="O11" s="201"/>
    </row>
    <row r="12" spans="2:26" ht="12.75" customHeight="1">
      <c r="B12" s="290" t="s">
        <v>37</v>
      </c>
      <c r="C12" s="275">
        <v>1090</v>
      </c>
      <c r="D12" s="89">
        <v>1068</v>
      </c>
      <c r="E12" s="270">
        <f t="shared" si="0"/>
        <v>-2.0183486238532056</v>
      </c>
      <c r="F12" s="276">
        <f>(D12/C12-1)*100</f>
        <v>-2.0183486238532056</v>
      </c>
      <c r="G12" s="89">
        <v>462</v>
      </c>
      <c r="H12" s="269">
        <v>364</v>
      </c>
      <c r="I12" s="270">
        <f t="shared" si="1"/>
        <v>-6.185567010309279</v>
      </c>
      <c r="J12" s="276">
        <f>(H12/G12-1)*100</f>
        <v>-21.212121212121215</v>
      </c>
      <c r="K12" s="79"/>
      <c r="N12" s="333">
        <f t="shared" si="2"/>
        <v>1.9340659340659339</v>
      </c>
      <c r="O12" s="201"/>
      <c r="Q12" s="201"/>
      <c r="R12" s="201"/>
      <c r="S12" s="201"/>
      <c r="T12" s="201"/>
      <c r="U12" s="201"/>
      <c r="V12" s="201"/>
      <c r="W12" s="201"/>
      <c r="X12" s="201"/>
      <c r="Y12" s="201"/>
      <c r="Z12" s="201"/>
    </row>
    <row r="13" spans="2:15" ht="12.75" customHeight="1">
      <c r="B13" s="290" t="s">
        <v>36</v>
      </c>
      <c r="C13" s="275">
        <v>1136</v>
      </c>
      <c r="D13" s="89">
        <v>973</v>
      </c>
      <c r="E13" s="270">
        <f t="shared" si="0"/>
        <v>-8.895131086142328</v>
      </c>
      <c r="F13" s="276">
        <f>(D13/C13-1)*100</f>
        <v>-14.348591549295776</v>
      </c>
      <c r="G13" s="89">
        <v>528</v>
      </c>
      <c r="H13" s="269">
        <v>382</v>
      </c>
      <c r="I13" s="270">
        <f t="shared" si="1"/>
        <v>4.94505494505495</v>
      </c>
      <c r="J13" s="276">
        <f>(H13/G13-1)*100</f>
        <v>-27.65151515151515</v>
      </c>
      <c r="K13" s="79"/>
      <c r="M13" s="230"/>
      <c r="N13" s="333">
        <f t="shared" si="2"/>
        <v>1.5471204188481678</v>
      </c>
      <c r="O13" s="201"/>
    </row>
    <row r="14" spans="2:15" ht="12.75">
      <c r="B14" s="290" t="s">
        <v>35</v>
      </c>
      <c r="C14" s="275">
        <v>1067</v>
      </c>
      <c r="D14" s="89">
        <v>914</v>
      </c>
      <c r="E14" s="270">
        <f t="shared" si="0"/>
        <v>-6.063720452209664</v>
      </c>
      <c r="F14" s="276">
        <f>(D14/C14-1)*100</f>
        <v>-14.339268978444231</v>
      </c>
      <c r="G14" s="89">
        <v>522</v>
      </c>
      <c r="H14" s="269">
        <v>373</v>
      </c>
      <c r="I14" s="270">
        <f t="shared" si="1"/>
        <v>-2.3560209424083767</v>
      </c>
      <c r="J14" s="276">
        <f>(H14/G14-1)*100</f>
        <v>-28.54406130268199</v>
      </c>
      <c r="K14" s="79"/>
      <c r="N14" s="333">
        <f t="shared" si="2"/>
        <v>1.4504021447721178</v>
      </c>
      <c r="O14" s="201"/>
    </row>
    <row r="15" spans="2:15" ht="13.5" customHeight="1">
      <c r="B15" s="290" t="s">
        <v>34</v>
      </c>
      <c r="C15" s="275">
        <v>1043</v>
      </c>
      <c r="D15" s="89">
        <v>914</v>
      </c>
      <c r="E15" s="270">
        <f>+(D15/D14-1)*100</f>
        <v>0</v>
      </c>
      <c r="F15" s="276">
        <f>(D15/C15-1)*100</f>
        <v>-12.368168744007669</v>
      </c>
      <c r="G15" s="89">
        <v>537</v>
      </c>
      <c r="H15" s="269">
        <v>369</v>
      </c>
      <c r="I15" s="270">
        <f>+(H15/H14-1)*100</f>
        <v>-1.072386058981234</v>
      </c>
      <c r="J15" s="276">
        <f>(H15/G15-1)*100</f>
        <v>-31.28491620111732</v>
      </c>
      <c r="K15" s="79"/>
      <c r="N15" s="333">
        <f t="shared" si="2"/>
        <v>1.4769647696476964</v>
      </c>
      <c r="O15" s="201"/>
    </row>
    <row r="16" spans="2:15" ht="12.75">
      <c r="B16" s="290" t="s">
        <v>33</v>
      </c>
      <c r="C16" s="275">
        <v>1035</v>
      </c>
      <c r="D16" s="89">
        <v>952</v>
      </c>
      <c r="E16" s="270">
        <f>+(D16/D15-1)*100</f>
        <v>4.157549234135671</v>
      </c>
      <c r="F16" s="276">
        <f>(D16/C16-1)*100</f>
        <v>-8.019323671497581</v>
      </c>
      <c r="G16" s="89">
        <v>502</v>
      </c>
      <c r="H16" s="269">
        <v>378</v>
      </c>
      <c r="I16" s="270">
        <f>+(H16/H15-1)*100</f>
        <v>2.4390243902439046</v>
      </c>
      <c r="J16" s="276">
        <f>(H16/G16-1)*100</f>
        <v>-24.701195219123505</v>
      </c>
      <c r="K16" s="79"/>
      <c r="N16" s="333">
        <f t="shared" si="2"/>
        <v>1.5185185185185186</v>
      </c>
      <c r="O16" s="201"/>
    </row>
    <row r="17" spans="2:15" ht="12.75" customHeight="1">
      <c r="B17" s="290" t="s">
        <v>32</v>
      </c>
      <c r="C17" s="275">
        <v>1042</v>
      </c>
      <c r="D17" s="89">
        <v>896</v>
      </c>
      <c r="E17" s="270">
        <f>+(D17/D16-1)*100</f>
        <v>-5.882352941176472</v>
      </c>
      <c r="F17" s="276">
        <f>(D17/C17-1)*100</f>
        <v>-14.011516314779271</v>
      </c>
      <c r="G17" s="89">
        <v>524</v>
      </c>
      <c r="H17" s="269">
        <v>397</v>
      </c>
      <c r="I17" s="270">
        <f>+(H17/H16-1)*100</f>
        <v>5.026455026455023</v>
      </c>
      <c r="J17" s="276">
        <f>(H17/G17-1)*100</f>
        <v>-24.236641221374043</v>
      </c>
      <c r="K17" s="79"/>
      <c r="N17" s="333">
        <f t="shared" si="2"/>
        <v>1.256926952141058</v>
      </c>
      <c r="O17" s="201"/>
    </row>
    <row r="18" spans="2:15" ht="12.75">
      <c r="B18" s="290" t="s">
        <v>31</v>
      </c>
      <c r="C18" s="275">
        <v>1130</v>
      </c>
      <c r="D18" s="89"/>
      <c r="E18" s="270"/>
      <c r="F18" s="276"/>
      <c r="G18" s="89">
        <v>477</v>
      </c>
      <c r="H18" s="269"/>
      <c r="I18" s="270"/>
      <c r="J18" s="276"/>
      <c r="K18" s="79"/>
      <c r="N18" s="333"/>
      <c r="O18" s="201"/>
    </row>
    <row r="19" spans="2:15" ht="12.75">
      <c r="B19" s="291" t="s">
        <v>30</v>
      </c>
      <c r="C19" s="277">
        <v>1082</v>
      </c>
      <c r="D19" s="282"/>
      <c r="E19" s="279"/>
      <c r="F19" s="280"/>
      <c r="G19" s="282">
        <v>386</v>
      </c>
      <c r="H19" s="278"/>
      <c r="I19" s="279"/>
      <c r="J19" s="280"/>
      <c r="K19" s="79"/>
      <c r="N19" s="333"/>
      <c r="O19" s="201"/>
    </row>
    <row r="20" spans="2:15" ht="12.75">
      <c r="B20" s="292" t="s">
        <v>67</v>
      </c>
      <c r="C20" s="283">
        <f>AVERAGE(C8:C19)</f>
        <v>1145.3333333333333</v>
      </c>
      <c r="D20" s="284">
        <f>AVERAGE(D8:D19)</f>
        <v>1013.2</v>
      </c>
      <c r="E20" s="284"/>
      <c r="F20" s="285"/>
      <c r="G20" s="283">
        <f>AVERAGE(G8:G19)</f>
        <v>479.8333333333333</v>
      </c>
      <c r="H20" s="284">
        <f>AVERAGE(H8:H19)</f>
        <v>382.6</v>
      </c>
      <c r="I20" s="284"/>
      <c r="J20" s="285"/>
      <c r="K20" s="79"/>
      <c r="O20" s="201"/>
    </row>
    <row r="21" spans="2:15" ht="12.75" customHeight="1">
      <c r="B21" s="293" t="str">
        <f>+'precio mayorista'!B21</f>
        <v>Promedio a la fecha</v>
      </c>
      <c r="C21" s="286">
        <f>AVERAGE(C8:C17)</f>
        <v>1153.2</v>
      </c>
      <c r="D21" s="287">
        <f>AVERAGE(D8:D19)</f>
        <v>1013.2</v>
      </c>
      <c r="E21" s="287"/>
      <c r="F21" s="288">
        <f>(D21/C21-1)*100</f>
        <v>-12.140131807145337</v>
      </c>
      <c r="G21" s="286">
        <f>AVERAGE(G8:G17)</f>
        <v>489.5</v>
      </c>
      <c r="H21" s="287">
        <f>AVERAGE(H8:H19)</f>
        <v>382.6</v>
      </c>
      <c r="I21" s="287"/>
      <c r="J21" s="288">
        <f>(H21/G21-1)*100</f>
        <v>-21.838610827374872</v>
      </c>
      <c r="K21" s="79"/>
      <c r="O21" s="201"/>
    </row>
    <row r="22" spans="2:15" ht="12.75">
      <c r="B22" s="382" t="s">
        <v>178</v>
      </c>
      <c r="C22" s="382"/>
      <c r="D22" s="382"/>
      <c r="E22" s="382"/>
      <c r="F22" s="382"/>
      <c r="G22" s="382"/>
      <c r="H22" s="382"/>
      <c r="I22" s="382"/>
      <c r="J22" s="382"/>
      <c r="K22" s="99"/>
      <c r="O22" s="201"/>
    </row>
    <row r="23" ht="12.75">
      <c r="O23" s="201"/>
    </row>
    <row r="24" spans="3:15" ht="12.75">
      <c r="C24" s="314"/>
      <c r="D24" s="296" t="s">
        <v>65</v>
      </c>
      <c r="E24" s="296" t="s">
        <v>66</v>
      </c>
      <c r="F24" s="296" t="s">
        <v>253</v>
      </c>
      <c r="O24" s="201"/>
    </row>
    <row r="25" spans="3:15" ht="12.75">
      <c r="C25" s="128">
        <v>42401</v>
      </c>
      <c r="D25" s="127">
        <f aca="true" t="shared" si="3" ref="D25:D35">+C9</f>
        <v>1396</v>
      </c>
      <c r="E25" s="127">
        <f aca="true" t="shared" si="4" ref="E25:E35">+G9</f>
        <v>439</v>
      </c>
      <c r="F25" s="127">
        <f>+'precio mayorista'!D9</f>
        <v>180.84</v>
      </c>
      <c r="O25" s="201"/>
    </row>
    <row r="26" spans="3:15" ht="12.75">
      <c r="C26" s="128">
        <v>42430</v>
      </c>
      <c r="D26" s="127">
        <f t="shared" si="3"/>
        <v>1197</v>
      </c>
      <c r="E26" s="127">
        <f t="shared" si="4"/>
        <v>435</v>
      </c>
      <c r="F26" s="127">
        <f>+'precio mayorista'!D10</f>
        <v>181.1</v>
      </c>
      <c r="O26" s="201"/>
    </row>
    <row r="27" spans="3:15" ht="12.75">
      <c r="C27" s="128">
        <v>42461</v>
      </c>
      <c r="D27" s="127">
        <f t="shared" si="3"/>
        <v>1117</v>
      </c>
      <c r="E27" s="127">
        <f t="shared" si="4"/>
        <v>470</v>
      </c>
      <c r="F27" s="127">
        <f>+'precio mayorista'!D11</f>
        <v>174.37</v>
      </c>
      <c r="O27" s="201"/>
    </row>
    <row r="28" spans="3:15" ht="12.75">
      <c r="C28" s="128">
        <v>42491</v>
      </c>
      <c r="D28" s="127">
        <f t="shared" si="3"/>
        <v>1090</v>
      </c>
      <c r="E28" s="127">
        <f t="shared" si="4"/>
        <v>462</v>
      </c>
      <c r="F28" s="127">
        <f>+'precio mayorista'!D12</f>
        <v>217.98</v>
      </c>
      <c r="O28" s="201"/>
    </row>
    <row r="29" spans="3:15" ht="12.75">
      <c r="C29" s="128">
        <v>42522</v>
      </c>
      <c r="D29" s="127">
        <f t="shared" si="3"/>
        <v>1136</v>
      </c>
      <c r="E29" s="127">
        <f t="shared" si="4"/>
        <v>528</v>
      </c>
      <c r="F29" s="127">
        <f>+'precio mayorista'!D13</f>
        <v>243.56</v>
      </c>
      <c r="O29" s="201"/>
    </row>
    <row r="30" spans="3:15" ht="12.75">
      <c r="C30" s="128">
        <v>42552</v>
      </c>
      <c r="D30" s="127">
        <f t="shared" si="3"/>
        <v>1067</v>
      </c>
      <c r="E30" s="127">
        <f t="shared" si="4"/>
        <v>522</v>
      </c>
      <c r="F30" s="127">
        <f>+'precio mayorista'!D14</f>
        <v>245.19</v>
      </c>
      <c r="O30" s="201"/>
    </row>
    <row r="31" spans="3:15" ht="12.75">
      <c r="C31" s="128">
        <v>42583</v>
      </c>
      <c r="D31" s="127">
        <f t="shared" si="3"/>
        <v>1043</v>
      </c>
      <c r="E31" s="127">
        <f t="shared" si="4"/>
        <v>537</v>
      </c>
      <c r="F31" s="127">
        <f>+'precio mayorista'!D15</f>
        <v>266.75</v>
      </c>
      <c r="O31" s="201"/>
    </row>
    <row r="32" spans="3:15" ht="12.75">
      <c r="C32" s="128">
        <v>42614</v>
      </c>
      <c r="D32" s="127">
        <f t="shared" si="3"/>
        <v>1035</v>
      </c>
      <c r="E32" s="127">
        <f t="shared" si="4"/>
        <v>502</v>
      </c>
      <c r="F32" s="127">
        <f>+'precio mayorista'!D16</f>
        <v>232.53</v>
      </c>
      <c r="O32" s="201"/>
    </row>
    <row r="33" spans="3:15" ht="12.75">
      <c r="C33" s="128">
        <v>42644</v>
      </c>
      <c r="D33" s="127">
        <f t="shared" si="3"/>
        <v>1042</v>
      </c>
      <c r="E33" s="127">
        <f t="shared" si="4"/>
        <v>524</v>
      </c>
      <c r="F33" s="127">
        <f>+'precio mayorista'!D17</f>
        <v>231.59</v>
      </c>
      <c r="O33" s="201"/>
    </row>
    <row r="34" spans="3:15" ht="12.75">
      <c r="C34" s="128">
        <v>42675</v>
      </c>
      <c r="D34" s="127">
        <f t="shared" si="3"/>
        <v>1130</v>
      </c>
      <c r="E34" s="127">
        <f t="shared" si="4"/>
        <v>477</v>
      </c>
      <c r="F34" s="127">
        <f>+'precio mayorista'!D18</f>
        <v>210.93</v>
      </c>
      <c r="O34" s="201"/>
    </row>
    <row r="35" spans="3:15" ht="12.75">
      <c r="C35" s="128">
        <v>42705</v>
      </c>
      <c r="D35" s="127">
        <f t="shared" si="3"/>
        <v>1082</v>
      </c>
      <c r="E35" s="127">
        <f t="shared" si="4"/>
        <v>386</v>
      </c>
      <c r="F35" s="127">
        <f>+'precio mayorista'!D19</f>
        <v>137.89</v>
      </c>
      <c r="O35" s="201"/>
    </row>
    <row r="36" spans="3:15" ht="12.75">
      <c r="C36" s="128">
        <v>42736</v>
      </c>
      <c r="D36" s="127">
        <f aca="true" t="shared" si="5" ref="D36:D45">+D8</f>
        <v>1091</v>
      </c>
      <c r="E36" s="127">
        <f aca="true" t="shared" si="6" ref="E36:E45">+H8</f>
        <v>394</v>
      </c>
      <c r="F36" s="127">
        <f>+'precio mayorista'!E8</f>
        <v>120.48</v>
      </c>
      <c r="O36" s="201"/>
    </row>
    <row r="37" spans="3:15" ht="12.75">
      <c r="C37" s="128">
        <v>42767</v>
      </c>
      <c r="D37" s="127">
        <f t="shared" si="5"/>
        <v>1091</v>
      </c>
      <c r="E37" s="127">
        <f t="shared" si="6"/>
        <v>388</v>
      </c>
      <c r="F37" s="127">
        <f>+'precio mayorista'!E9</f>
        <v>137.6</v>
      </c>
      <c r="O37" s="201"/>
    </row>
    <row r="38" spans="3:6" ht="12.75">
      <c r="C38" s="128">
        <v>42795</v>
      </c>
      <c r="D38" s="127">
        <f t="shared" si="5"/>
        <v>1143</v>
      </c>
      <c r="E38" s="127">
        <f t="shared" si="6"/>
        <v>393</v>
      </c>
      <c r="F38" s="127">
        <f>+'precio mayorista'!E10</f>
        <v>143.95</v>
      </c>
    </row>
    <row r="39" spans="3:6" ht="12.75">
      <c r="C39" s="128">
        <v>42826</v>
      </c>
      <c r="D39" s="127">
        <f t="shared" si="5"/>
        <v>1090</v>
      </c>
      <c r="E39" s="127">
        <f t="shared" si="6"/>
        <v>388</v>
      </c>
      <c r="F39" s="127">
        <f>+'precio mayorista'!E11</f>
        <v>139.89</v>
      </c>
    </row>
    <row r="40" spans="3:6" ht="12.75">
      <c r="C40" s="128">
        <v>42856</v>
      </c>
      <c r="D40" s="127">
        <f t="shared" si="5"/>
        <v>1068</v>
      </c>
      <c r="E40" s="127">
        <f t="shared" si="6"/>
        <v>364</v>
      </c>
      <c r="F40" s="127">
        <f>+'precio mayorista'!E12</f>
        <v>140.08</v>
      </c>
    </row>
    <row r="41" spans="3:6" ht="12.75">
      <c r="C41" s="128">
        <v>42887</v>
      </c>
      <c r="D41" s="127">
        <f t="shared" si="5"/>
        <v>973</v>
      </c>
      <c r="E41" s="127">
        <f t="shared" si="6"/>
        <v>382</v>
      </c>
      <c r="F41" s="127">
        <f>+'precio mayorista'!E13</f>
        <v>126.73</v>
      </c>
    </row>
    <row r="42" spans="3:6" ht="12.75">
      <c r="C42" s="128">
        <v>42917</v>
      </c>
      <c r="D42" s="127">
        <f t="shared" si="5"/>
        <v>914</v>
      </c>
      <c r="E42" s="127">
        <f t="shared" si="6"/>
        <v>373</v>
      </c>
      <c r="F42" s="127">
        <f>+'precio mayorista'!E14</f>
        <v>129.41</v>
      </c>
    </row>
    <row r="43" spans="3:6" ht="12.75">
      <c r="C43" s="128">
        <v>42948</v>
      </c>
      <c r="D43" s="127">
        <f t="shared" si="5"/>
        <v>914</v>
      </c>
      <c r="E43" s="127">
        <f t="shared" si="6"/>
        <v>369</v>
      </c>
      <c r="F43" s="127">
        <f>+'precio mayorista'!E15</f>
        <v>125.43</v>
      </c>
    </row>
    <row r="44" spans="2:6" ht="12.75">
      <c r="B44" s="48"/>
      <c r="C44" s="128">
        <v>42979</v>
      </c>
      <c r="D44" s="127">
        <f t="shared" si="5"/>
        <v>952</v>
      </c>
      <c r="E44" s="127">
        <f t="shared" si="6"/>
        <v>378</v>
      </c>
      <c r="F44" s="127">
        <f>+'precio mayorista'!E16</f>
        <v>139.24</v>
      </c>
    </row>
    <row r="45" spans="3:6" ht="12.75">
      <c r="C45" s="128">
        <v>43009</v>
      </c>
      <c r="D45" s="127">
        <f t="shared" si="5"/>
        <v>896</v>
      </c>
      <c r="E45" s="127">
        <f t="shared" si="6"/>
        <v>397</v>
      </c>
      <c r="F45" s="127">
        <f>+'precio mayorista'!E17</f>
        <v>149.24</v>
      </c>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2" r:id="rId2"/>
  <headerFooter differentFirst="1">
    <oddFooter>&amp;C&amp;P</oddFooter>
  </headerFooter>
  <ignoredErrors>
    <ignoredError sqref="C20 E20:G20 D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2017-04-17T18:14:40Z</cp:lastPrinted>
  <dcterms:created xsi:type="dcterms:W3CDTF">2011-10-13T14:46:36Z</dcterms:created>
  <dcterms:modified xsi:type="dcterms:W3CDTF">2017-11-17T19:41:35Z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