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5.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6.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2.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24.xml" ContentType="application/vnd.openxmlformats-officedocument.drawingml.chartshap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66925"/>
  <mc:AlternateContent xmlns:mc="http://schemas.openxmlformats.org/markup-compatibility/2006">
    <mc:Choice Requires="x15">
      <x15ac:absPath xmlns:x15ac="http://schemas.microsoft.com/office/spreadsheetml/2010/11/ac" url="https://odepa-my.sharepoint.com/personal/cbuzzetti_odepa_gob_cl/Documents/1 Vitivinicultura/Boletin/2023/"/>
    </mc:Choice>
  </mc:AlternateContent>
  <xr:revisionPtr revIDLastSave="1016" documentId="8_{59E6766B-E8A9-422B-8B69-B0B94A11C976}" xr6:coauthVersionLast="47" xr6:coauthVersionMax="47" xr10:uidLastSave="{C2E4D9D5-6AF1-4574-9626-ECE5C264BD86}"/>
  <bookViews>
    <workbookView xWindow="-120" yWindow="-120" windowWidth="20730" windowHeight="11160"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anual rango precios" sheetId="7" r:id="rId7"/>
    <sheet name="Expo var DO" sheetId="8" r:id="rId8"/>
    <sheet name="Graficos vinos DO" sheetId="10" r:id="rId9"/>
    <sheet name="Gráficos vino DO org" sheetId="31" r:id="rId10"/>
    <sheet name="Gráficos vino granel" sheetId="11" r:id="rId11"/>
    <sheet name="Gráficos vino granel org" sheetId="32" r:id="rId12"/>
    <sheet name="Gráfico vino entre 2 y 10 lts" sheetId="12" r:id="rId13"/>
    <sheet name="Gráficos vino espumoso" sheetId="13" r:id="rId14"/>
    <sheet name="Gráficos vino espum org" sheetId="33" r:id="rId15"/>
    <sheet name="Expo vinos por mercado" sheetId="9" r:id="rId16"/>
    <sheet name="Valor granel exp" sheetId="28" r:id="rId17"/>
    <sheet name="Precio uva" sheetId="30" r:id="rId18"/>
    <sheet name="Precio vino Nac." sheetId="29" r:id="rId19"/>
    <sheet name="Prod vino " sheetId="21" r:id="rId20"/>
    <sheet name="Evol. prod. vino DO por cepa" sheetId="27" r:id="rId21"/>
    <sheet name="Prod vino graf" sheetId="22" r:id="rId22"/>
    <sheet name="Existencias" sheetId="19" r:id="rId23"/>
    <sheet name="Sup plantada vides" sheetId="23" r:id="rId24"/>
    <sheet name="Sup plantada vides (2)" sheetId="24" r:id="rId25"/>
    <sheet name="Estadisticas" sheetId="14" r:id="rId26"/>
    <sheet name="Pisco x mercado" sheetId="20" r:id="rId27"/>
  </sheets>
  <definedNames>
    <definedName name="_xlnm.Print_Area" localSheetId="3">Comentarios!$A$1:$G$43</definedName>
    <definedName name="_xlnm.Print_Area" localSheetId="5">'Evol export'!$A$1:$G$110</definedName>
    <definedName name="_xlnm.Print_Area" localSheetId="22">Existencias!$A$1:$M$51</definedName>
    <definedName name="_xlnm.Print_Area" localSheetId="12">'Gráfico vino entre 2 y 10 lts'!$A$1:$G$47</definedName>
    <definedName name="_xlnm.Print_Area" localSheetId="9">'Gráficos vino DO org'!$A$1:$H$47</definedName>
    <definedName name="_xlnm.Print_Area" localSheetId="14">'Gráficos vino espum org'!$A$1:$G$47</definedName>
    <definedName name="_xlnm.Print_Area" localSheetId="13">'Gráficos vino espumoso'!$A$1:$G$47</definedName>
    <definedName name="_xlnm.Print_Area" localSheetId="10">'Gráficos vino granel'!$A$1:$G$47</definedName>
    <definedName name="_xlnm.Print_Area" localSheetId="11">'Gráficos vino granel org'!$A$1:$G$47</definedName>
    <definedName name="_xlnm.Print_Area" localSheetId="8">'Graficos vinos DO'!$A$1:$H$51</definedName>
    <definedName name="_xlnm.Print_Area" localSheetId="21">'Prod vino graf'!$A$1:$G$45</definedName>
    <definedName name="_xlnm.Print_Area" localSheetId="16">'Valor granel exp'!$A$1:$I$49</definedName>
    <definedName name="Print_Area" localSheetId="5">'Evol export'!$A$1:$G$141</definedName>
    <definedName name="Print_Area" localSheetId="22">Existencias!$A$1:$M$68</definedName>
    <definedName name="Print_Area" localSheetId="4">Exportaciones!$A$28:$H$29</definedName>
    <definedName name="Print_Area" localSheetId="12">'Gráfico vino entre 2 y 10 lts'!$A$1:$G$47</definedName>
    <definedName name="Print_Area" localSheetId="13">'Gráficos vino espumoso'!$A$1:$G$47</definedName>
    <definedName name="Print_Area" localSheetId="10">'Gráficos vino granel'!$A$1:$G$47</definedName>
    <definedName name="Print_Area" localSheetId="8">'Graficos vinos DO'!$A$1:$I$52</definedName>
    <definedName name="Print_Area" localSheetId="21">'Prod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20" l="1"/>
  <c r="G16" i="20" s="1"/>
  <c r="H15" i="20"/>
  <c r="F15" i="20"/>
  <c r="F16" i="20" s="1"/>
  <c r="B15" i="20"/>
  <c r="B16" i="20" s="1"/>
  <c r="C15" i="20"/>
  <c r="C16" i="20" s="1"/>
  <c r="D15" i="20"/>
  <c r="D16" i="20" s="1"/>
  <c r="I10" i="20"/>
  <c r="J10" i="20"/>
  <c r="I11" i="20"/>
  <c r="J11" i="20"/>
  <c r="I12" i="20"/>
  <c r="J12" i="20"/>
  <c r="I13" i="20"/>
  <c r="J13" i="20"/>
  <c r="I14" i="20"/>
  <c r="J14" i="20"/>
  <c r="I17" i="20"/>
  <c r="J17" i="20"/>
  <c r="E10" i="20"/>
  <c r="E11" i="20"/>
  <c r="E12" i="20"/>
  <c r="E13" i="20"/>
  <c r="E14" i="20"/>
  <c r="E17" i="20"/>
  <c r="J9" i="20"/>
  <c r="I9" i="20"/>
  <c r="E9" i="20"/>
  <c r="J8" i="20"/>
  <c r="I8" i="20"/>
  <c r="E8" i="20"/>
  <c r="J7" i="20"/>
  <c r="I7" i="20"/>
  <c r="E7" i="20"/>
  <c r="J6" i="20"/>
  <c r="I6" i="20"/>
  <c r="E6" i="20"/>
  <c r="J5" i="20"/>
  <c r="I5" i="20"/>
  <c r="E5" i="20"/>
  <c r="H16" i="20"/>
  <c r="J16" i="20" s="1"/>
  <c r="E16" i="20" l="1"/>
  <c r="I16" i="20"/>
  <c r="J15" i="20"/>
  <c r="E15" i="20"/>
  <c r="I15" i="20"/>
  <c r="P15" i="24"/>
  <c r="O16" i="24" l="1"/>
  <c r="J16" i="24"/>
  <c r="I16" i="24"/>
  <c r="H16" i="24"/>
  <c r="D16" i="24"/>
  <c r="C16" i="24"/>
  <c r="B16" i="24"/>
  <c r="N15" i="24"/>
  <c r="N16" i="24" s="1"/>
  <c r="M15" i="24"/>
  <c r="M16" i="24" s="1"/>
  <c r="L15" i="24"/>
  <c r="L16" i="24" s="1"/>
  <c r="K15" i="24"/>
  <c r="K16" i="24" s="1"/>
  <c r="J15" i="24"/>
  <c r="I15" i="24"/>
  <c r="H15" i="24"/>
  <c r="G15" i="24"/>
  <c r="G16" i="24" s="1"/>
  <c r="F15" i="24"/>
  <c r="F16" i="24" s="1"/>
  <c r="E15" i="24"/>
  <c r="E16" i="24" s="1"/>
  <c r="D15" i="24"/>
  <c r="C15" i="24"/>
  <c r="B15" i="24"/>
  <c r="N34" i="23"/>
  <c r="N35" i="23" s="1"/>
  <c r="M35" i="23"/>
  <c r="L35" i="23"/>
  <c r="J35" i="23" l="1"/>
  <c r="I35" i="23"/>
  <c r="K33" i="23"/>
  <c r="K32" i="23"/>
  <c r="K31" i="23"/>
  <c r="K30" i="23"/>
  <c r="K29" i="23"/>
  <c r="K28" i="23"/>
  <c r="K27" i="23"/>
  <c r="K26" i="23"/>
  <c r="K25" i="23"/>
  <c r="K24" i="23"/>
  <c r="K23" i="23"/>
  <c r="K22" i="23"/>
  <c r="K21" i="23"/>
  <c r="K20" i="23"/>
  <c r="K35" i="23" s="1"/>
  <c r="G35" i="23"/>
  <c r="F35" i="23"/>
  <c r="H33" i="23"/>
  <c r="H32" i="23"/>
  <c r="H31" i="23"/>
  <c r="H30" i="23"/>
  <c r="H29" i="23"/>
  <c r="H28" i="23"/>
  <c r="H27" i="23"/>
  <c r="H26" i="23"/>
  <c r="H25" i="23"/>
  <c r="H24" i="23"/>
  <c r="H23" i="23"/>
  <c r="H22" i="23"/>
  <c r="H21" i="23"/>
  <c r="H20" i="23"/>
  <c r="H35" i="23" s="1"/>
  <c r="D35" i="23"/>
  <c r="C35" i="23"/>
  <c r="E33" i="23"/>
  <c r="E32" i="23"/>
  <c r="E31" i="23"/>
  <c r="E30" i="23"/>
  <c r="E29" i="23"/>
  <c r="E28" i="23"/>
  <c r="E27" i="23"/>
  <c r="E26" i="23"/>
  <c r="E25" i="23"/>
  <c r="E24" i="23"/>
  <c r="E23" i="23"/>
  <c r="E22" i="23"/>
  <c r="E21" i="23"/>
  <c r="E20" i="23"/>
  <c r="E35" i="23" s="1"/>
  <c r="N7" i="23"/>
  <c r="M7" i="23"/>
  <c r="L7" i="23"/>
  <c r="K7" i="23"/>
  <c r="J7" i="23"/>
  <c r="I7" i="23"/>
  <c r="H7" i="23"/>
  <c r="G7" i="23"/>
  <c r="F7" i="23"/>
  <c r="E7" i="23"/>
  <c r="D7" i="23"/>
  <c r="C7" i="23"/>
  <c r="B7" i="23"/>
  <c r="J4" i="7" l="1"/>
  <c r="G4" i="7"/>
  <c r="D4" i="7"/>
  <c r="J36" i="7"/>
  <c r="G37" i="7"/>
  <c r="G38" i="7"/>
  <c r="G39" i="7"/>
  <c r="G40" i="7"/>
  <c r="G41" i="7"/>
  <c r="G36" i="7"/>
  <c r="D37" i="7"/>
  <c r="D38" i="7"/>
  <c r="D39" i="7"/>
  <c r="D40" i="7"/>
  <c r="D41" i="7"/>
  <c r="D36" i="7"/>
  <c r="M9" i="14"/>
  <c r="AI27" i="28"/>
  <c r="AJ27" i="28"/>
  <c r="AK27" i="28"/>
  <c r="AL27" i="28"/>
  <c r="AI5" i="28"/>
  <c r="AJ5" i="28"/>
  <c r="AK5" i="28"/>
  <c r="AL5" i="28"/>
  <c r="AI6" i="28"/>
  <c r="AJ6" i="28"/>
  <c r="AK6" i="28"/>
  <c r="AL6" i="28"/>
  <c r="AI7" i="28"/>
  <c r="AJ7" i="28"/>
  <c r="AK7" i="28"/>
  <c r="AL7" i="28"/>
  <c r="AI8" i="28"/>
  <c r="AJ8" i="28"/>
  <c r="AK8" i="28"/>
  <c r="AL8" i="28"/>
  <c r="AI9" i="28"/>
  <c r="AJ9" i="28"/>
  <c r="AK9" i="28"/>
  <c r="AL9" i="28"/>
  <c r="AI10" i="28"/>
  <c r="AJ10" i="28"/>
  <c r="AK10" i="28"/>
  <c r="AL10" i="28"/>
  <c r="AI11" i="28"/>
  <c r="AJ11" i="28"/>
  <c r="AK11" i="28"/>
  <c r="AL11" i="28"/>
  <c r="AI12" i="28"/>
  <c r="AJ12" i="28"/>
  <c r="AK12" i="28"/>
  <c r="AL12" i="28"/>
  <c r="AI13" i="28"/>
  <c r="AJ13" i="28"/>
  <c r="AK13" i="28"/>
  <c r="AL13" i="28"/>
  <c r="AI14" i="28"/>
  <c r="AJ14" i="28"/>
  <c r="AK14" i="28"/>
  <c r="AL14" i="28"/>
  <c r="AI15" i="28"/>
  <c r="AJ15" i="28"/>
  <c r="AK15" i="28"/>
  <c r="AL15" i="28"/>
  <c r="AI16" i="28"/>
  <c r="AJ16" i="28"/>
  <c r="AK16" i="28"/>
  <c r="AL16" i="28"/>
  <c r="AI17" i="28"/>
  <c r="AJ17" i="28"/>
  <c r="AK17" i="28"/>
  <c r="AL17" i="28"/>
  <c r="AI18" i="28"/>
  <c r="AJ18" i="28"/>
  <c r="AK18" i="28"/>
  <c r="AL18" i="28"/>
  <c r="AI19" i="28"/>
  <c r="AJ19" i="28"/>
  <c r="AK19" i="28"/>
  <c r="AL19" i="28"/>
  <c r="AI20" i="28"/>
  <c r="AJ20" i="28"/>
  <c r="AK20" i="28"/>
  <c r="AL20" i="28"/>
  <c r="AI21" i="28"/>
  <c r="AJ21" i="28"/>
  <c r="AK21" i="28"/>
  <c r="AL21" i="28"/>
  <c r="AI22" i="28"/>
  <c r="AJ22" i="28"/>
  <c r="AK22" i="28"/>
  <c r="AL22" i="28"/>
  <c r="AI23" i="28"/>
  <c r="AJ23" i="28"/>
  <c r="AK23" i="28"/>
  <c r="AL23" i="28"/>
  <c r="AI24" i="28"/>
  <c r="AJ24" i="28"/>
  <c r="AK24" i="28"/>
  <c r="AL24" i="28"/>
  <c r="AI25" i="28"/>
  <c r="AJ25" i="28"/>
  <c r="AK25" i="28"/>
  <c r="AL25" i="28"/>
  <c r="AI26" i="28"/>
  <c r="AJ26" i="28"/>
  <c r="AK26" i="28"/>
  <c r="AL26" i="28"/>
  <c r="AL4" i="28"/>
  <c r="AK4" i="28"/>
  <c r="AJ4" i="28"/>
  <c r="AI4" i="28"/>
  <c r="AF5" i="28"/>
  <c r="AF6" i="28"/>
  <c r="AF7" i="28"/>
  <c r="AF8" i="28"/>
  <c r="AF9" i="28"/>
  <c r="AF10" i="28"/>
  <c r="AF11" i="28"/>
  <c r="AF12" i="28"/>
  <c r="AF13" i="28"/>
  <c r="AF14" i="28"/>
  <c r="AF15" i="28"/>
  <c r="AF16" i="28"/>
  <c r="AF17" i="28"/>
  <c r="AF18" i="28"/>
  <c r="AF19" i="28"/>
  <c r="AF20" i="28"/>
  <c r="AF21" i="28"/>
  <c r="AF22" i="28"/>
  <c r="AF23" i="28"/>
  <c r="AF24" i="28"/>
  <c r="AF25" i="28"/>
  <c r="AF26" i="28"/>
  <c r="AF27" i="28"/>
  <c r="AF4" i="28"/>
  <c r="AE5" i="28"/>
  <c r="AG5" i="28" s="1"/>
  <c r="AE6" i="28"/>
  <c r="AG6" i="28" s="1"/>
  <c r="AE7" i="28"/>
  <c r="AG7" i="28" s="1"/>
  <c r="AE8" i="28"/>
  <c r="AG8" i="28" s="1"/>
  <c r="AE9" i="28"/>
  <c r="AG9" i="28" s="1"/>
  <c r="AE10" i="28"/>
  <c r="AG10" i="28" s="1"/>
  <c r="AE11" i="28"/>
  <c r="AG11" i="28" s="1"/>
  <c r="AE12" i="28"/>
  <c r="AG12" i="28" s="1"/>
  <c r="AE13" i="28"/>
  <c r="AG13" i="28" s="1"/>
  <c r="AE14" i="28"/>
  <c r="AG14" i="28" s="1"/>
  <c r="AE15" i="28"/>
  <c r="AG15" i="28" s="1"/>
  <c r="AE16" i="28"/>
  <c r="AG16" i="28" s="1"/>
  <c r="AE17" i="28"/>
  <c r="AG17" i="28" s="1"/>
  <c r="AE18" i="28"/>
  <c r="AG18" i="28" s="1"/>
  <c r="AE19" i="28"/>
  <c r="AG19" i="28" s="1"/>
  <c r="AE20" i="28"/>
  <c r="AG20" i="28" s="1"/>
  <c r="AE21" i="28"/>
  <c r="AG21" i="28" s="1"/>
  <c r="AE22" i="28"/>
  <c r="AG22" i="28" s="1"/>
  <c r="AE23" i="28"/>
  <c r="AG23" i="28" s="1"/>
  <c r="AE24" i="28"/>
  <c r="AG24" i="28" s="1"/>
  <c r="AE25" i="28"/>
  <c r="AG25" i="28" s="1"/>
  <c r="AE26" i="28"/>
  <c r="AG26" i="28" s="1"/>
  <c r="AE27" i="28"/>
  <c r="AG27" i="28" s="1"/>
  <c r="AE4" i="28"/>
  <c r="AG4" i="28" s="1"/>
  <c r="AD18" i="28"/>
  <c r="X15" i="28"/>
  <c r="X16" i="28"/>
  <c r="X17" i="28"/>
  <c r="X18" i="28"/>
  <c r="X19" i="28"/>
  <c r="X20" i="28"/>
  <c r="X21" i="28"/>
  <c r="X22" i="28"/>
  <c r="X23" i="28"/>
  <c r="X24" i="28"/>
  <c r="X25" i="28"/>
  <c r="X26" i="28"/>
  <c r="X27" i="28"/>
  <c r="AD19" i="28"/>
  <c r="AD20" i="28"/>
  <c r="AD21" i="28"/>
  <c r="AD22" i="28"/>
  <c r="AD23" i="28"/>
  <c r="AD24" i="28"/>
  <c r="AD25" i="28"/>
  <c r="AD26" i="28"/>
  <c r="AD27" i="28"/>
  <c r="AA27" i="28"/>
  <c r="AA21" i="28"/>
  <c r="AA22" i="28"/>
  <c r="AA23" i="28"/>
  <c r="AA24" i="28"/>
  <c r="AA25" i="28"/>
  <c r="AA26" i="28"/>
  <c r="L9" i="14" l="1"/>
  <c r="L15" i="14" s="1"/>
  <c r="K9" i="14"/>
  <c r="K15" i="14" s="1"/>
  <c r="J9" i="14"/>
  <c r="J4" i="14" s="1"/>
  <c r="I9" i="14"/>
  <c r="I15" i="14" s="1"/>
  <c r="H9" i="14"/>
  <c r="H15" i="14" s="1"/>
  <c r="G9" i="14"/>
  <c r="F9" i="14"/>
  <c r="E9" i="14"/>
  <c r="D9" i="14"/>
  <c r="D4" i="14" s="1"/>
  <c r="C9" i="14"/>
  <c r="B9" i="14"/>
  <c r="L5" i="14"/>
  <c r="K5" i="14"/>
  <c r="J5" i="14"/>
  <c r="I5" i="14"/>
  <c r="H5" i="14"/>
  <c r="H4" i="14" s="1"/>
  <c r="G5" i="14"/>
  <c r="F5" i="14"/>
  <c r="E5" i="14"/>
  <c r="D5" i="14"/>
  <c r="C5" i="14"/>
  <c r="B5" i="14"/>
  <c r="L4" i="14"/>
  <c r="K4" i="14"/>
  <c r="C4" i="14"/>
  <c r="B4" i="14"/>
  <c r="L3" i="14"/>
  <c r="K3" i="14"/>
  <c r="J3" i="14"/>
  <c r="I3" i="14"/>
  <c r="I4" i="14" s="1"/>
  <c r="H3" i="14"/>
  <c r="G3" i="14"/>
  <c r="G4" i="14" s="1"/>
  <c r="F3" i="14"/>
  <c r="F4" i="14" s="1"/>
  <c r="E3" i="14"/>
  <c r="E4" i="14" s="1"/>
  <c r="D3" i="14"/>
  <c r="X31" i="13"/>
  <c r="Y31" i="13"/>
  <c r="Z31" i="13"/>
  <c r="AA31" i="13"/>
  <c r="AB31" i="13"/>
  <c r="AC26" i="12"/>
  <c r="Y26" i="12"/>
  <c r="Z26" i="12"/>
  <c r="AA26" i="12"/>
  <c r="AB26" i="12"/>
  <c r="Y31" i="11"/>
  <c r="Z31" i="11"/>
  <c r="AA31" i="11"/>
  <c r="AB31" i="11"/>
  <c r="AC31" i="11"/>
  <c r="AA5" i="31"/>
  <c r="AB5" i="31"/>
  <c r="AC5" i="31"/>
  <c r="AD5" i="31"/>
  <c r="AE5" i="31"/>
  <c r="AF5" i="31"/>
  <c r="AG5" i="31"/>
  <c r="AH5" i="31"/>
  <c r="AI5" i="31"/>
  <c r="AJ5" i="31"/>
  <c r="AK5" i="31"/>
  <c r="AA6" i="31"/>
  <c r="AB6" i="31"/>
  <c r="AC6" i="31"/>
  <c r="AD6" i="31"/>
  <c r="AE6" i="31"/>
  <c r="AF6" i="31"/>
  <c r="AG6" i="31"/>
  <c r="AH6" i="31"/>
  <c r="AI6" i="31"/>
  <c r="AJ6" i="31"/>
  <c r="AK6" i="31"/>
  <c r="Z6" i="31"/>
  <c r="AG29" i="10"/>
  <c r="AH29" i="10"/>
  <c r="AI29" i="10"/>
  <c r="AJ29" i="10"/>
  <c r="AK29" i="10"/>
  <c r="AM5" i="6"/>
  <c r="AM32" i="6"/>
  <c r="AM27" i="6"/>
  <c r="AM22" i="6"/>
  <c r="AM17" i="6"/>
  <c r="AM12" i="6"/>
  <c r="AM6" i="6"/>
  <c r="AM2" i="6" s="1"/>
  <c r="J15" i="14" l="1"/>
  <c r="AM7" i="6"/>
  <c r="T10" i="33" l="1"/>
  <c r="U10" i="33"/>
  <c r="V10" i="33"/>
  <c r="W10" i="33"/>
  <c r="X10" i="33"/>
  <c r="Z10" i="33"/>
  <c r="R10" i="33"/>
  <c r="Y10" i="33"/>
  <c r="S10" i="33"/>
  <c r="AC6" i="33"/>
  <c r="AC11" i="33" s="1"/>
  <c r="AB6" i="33"/>
  <c r="AB11" i="33" s="1"/>
  <c r="AA6" i="33"/>
  <c r="AA11" i="33" s="1"/>
  <c r="Z11" i="33"/>
  <c r="Y11" i="33"/>
  <c r="X11" i="33"/>
  <c r="W11" i="33"/>
  <c r="V11" i="33"/>
  <c r="U11" i="33"/>
  <c r="T11" i="33"/>
  <c r="S11" i="33"/>
  <c r="R11" i="33"/>
  <c r="AC10" i="33"/>
  <c r="AB10" i="33"/>
  <c r="AA10" i="33"/>
  <c r="AC3" i="33"/>
  <c r="AB3" i="33"/>
  <c r="AA3" i="33"/>
  <c r="R10" i="32"/>
  <c r="V10" i="32"/>
  <c r="Y10" i="32"/>
  <c r="AC6" i="32"/>
  <c r="AB6" i="32"/>
  <c r="AA6" i="32"/>
  <c r="Z6" i="32"/>
  <c r="Y6" i="32"/>
  <c r="X6" i="32"/>
  <c r="W6" i="32"/>
  <c r="V6" i="32"/>
  <c r="U6" i="32"/>
  <c r="T6" i="32"/>
  <c r="S6" i="32"/>
  <c r="R6" i="32"/>
  <c r="U10" i="32"/>
  <c r="T10" i="32"/>
  <c r="S10" i="32"/>
  <c r="AC3" i="32"/>
  <c r="AB3" i="32"/>
  <c r="AA3" i="32"/>
  <c r="Z3" i="32"/>
  <c r="Y3" i="32"/>
  <c r="X3" i="32"/>
  <c r="W3" i="32"/>
  <c r="V3" i="32"/>
  <c r="U3" i="32"/>
  <c r="T3" i="32"/>
  <c r="S3" i="32"/>
  <c r="R3" i="32"/>
  <c r="AA9" i="31"/>
  <c r="AB9" i="31"/>
  <c r="AC9" i="31"/>
  <c r="AD9" i="31"/>
  <c r="AE9" i="31"/>
  <c r="AF9" i="31"/>
  <c r="AF18" i="31" s="1"/>
  <c r="AG9" i="31"/>
  <c r="AH9" i="31"/>
  <c r="AI9" i="31"/>
  <c r="AJ9" i="31"/>
  <c r="AK9" i="31"/>
  <c r="AA10" i="31"/>
  <c r="AB10" i="31"/>
  <c r="AC10" i="31"/>
  <c r="AD10" i="31"/>
  <c r="AE10" i="31"/>
  <c r="AF10" i="31"/>
  <c r="AG10" i="31"/>
  <c r="AH10" i="31"/>
  <c r="AI10" i="31"/>
  <c r="AJ10" i="31"/>
  <c r="AK10" i="31"/>
  <c r="AA11" i="31"/>
  <c r="AB11" i="31"/>
  <c r="AC11" i="31"/>
  <c r="AD11" i="31"/>
  <c r="AE11" i="31"/>
  <c r="AF11" i="31"/>
  <c r="AG11" i="31"/>
  <c r="AH11" i="31"/>
  <c r="AI11" i="31"/>
  <c r="AJ11" i="31"/>
  <c r="AK11" i="31"/>
  <c r="AA12" i="31"/>
  <c r="AB12" i="31"/>
  <c r="AC12" i="31"/>
  <c r="AD12" i="31"/>
  <c r="AE12" i="31"/>
  <c r="AF12" i="31"/>
  <c r="AG12" i="31"/>
  <c r="AH12" i="31"/>
  <c r="AI12" i="31"/>
  <c r="AJ12" i="31"/>
  <c r="AK12" i="31"/>
  <c r="AA13" i="31"/>
  <c r="AB13" i="31"/>
  <c r="AC13" i="31"/>
  <c r="AD13" i="31"/>
  <c r="AE13" i="31"/>
  <c r="AF13" i="31"/>
  <c r="AG13" i="31"/>
  <c r="AH13" i="31"/>
  <c r="AI13" i="31"/>
  <c r="AJ13" i="31"/>
  <c r="AK13" i="31"/>
  <c r="AA14" i="31"/>
  <c r="AB14" i="31"/>
  <c r="AC14" i="31"/>
  <c r="AD14" i="31"/>
  <c r="AE14" i="31"/>
  <c r="AF14" i="31"/>
  <c r="AG14" i="31"/>
  <c r="AH14" i="31"/>
  <c r="AI14" i="31"/>
  <c r="AJ14" i="31"/>
  <c r="AK14" i="31"/>
  <c r="Z10" i="31"/>
  <c r="Z11" i="31"/>
  <c r="Z12" i="31"/>
  <c r="Z13" i="31"/>
  <c r="Z14" i="31"/>
  <c r="Z9" i="31"/>
  <c r="AA2" i="31"/>
  <c r="AB2" i="31"/>
  <c r="AC2" i="31"/>
  <c r="AD2" i="31"/>
  <c r="AE2" i="31"/>
  <c r="AF2" i="31"/>
  <c r="AG2" i="31"/>
  <c r="AH2" i="31"/>
  <c r="AI2" i="31"/>
  <c r="AJ2" i="31"/>
  <c r="AK2" i="31"/>
  <c r="AA3" i="31"/>
  <c r="AB3" i="31"/>
  <c r="AC3" i="31"/>
  <c r="AD3" i="31"/>
  <c r="AE3" i="31"/>
  <c r="AF3" i="31"/>
  <c r="AG3" i="31"/>
  <c r="AH3" i="31"/>
  <c r="AI3" i="31"/>
  <c r="AJ3" i="31"/>
  <c r="AK3" i="31"/>
  <c r="AK19" i="31" s="1"/>
  <c r="AA4" i="31"/>
  <c r="AB4" i="31"/>
  <c r="AC4" i="31"/>
  <c r="AD4" i="31"/>
  <c r="AE4" i="31"/>
  <c r="AF4" i="31"/>
  <c r="AG4" i="31"/>
  <c r="AH4" i="31"/>
  <c r="AI4" i="31"/>
  <c r="AJ4" i="31"/>
  <c r="AK4" i="31"/>
  <c r="AA7" i="31"/>
  <c r="AB7" i="31"/>
  <c r="AC7" i="31"/>
  <c r="AD7" i="31"/>
  <c r="AE7" i="31"/>
  <c r="AF7" i="31"/>
  <c r="AG7" i="31"/>
  <c r="AH7" i="31"/>
  <c r="AI7" i="31"/>
  <c r="AJ7" i="31"/>
  <c r="AK7" i="31"/>
  <c r="Z3" i="31"/>
  <c r="Z4" i="31"/>
  <c r="Z5" i="31"/>
  <c r="Z7" i="31"/>
  <c r="Z2" i="31"/>
  <c r="AG18" i="31"/>
  <c r="AK18" i="31"/>
  <c r="AD19" i="31"/>
  <c r="V11" i="32" l="1"/>
  <c r="AA10" i="32"/>
  <c r="W11" i="32"/>
  <c r="AB10" i="32"/>
  <c r="X11" i="32"/>
  <c r="Y11" i="32"/>
  <c r="S11" i="32"/>
  <c r="AA11" i="32"/>
  <c r="T11" i="32"/>
  <c r="AB11" i="32"/>
  <c r="AC10" i="32"/>
  <c r="R11" i="32"/>
  <c r="Z11" i="32"/>
  <c r="U11" i="32"/>
  <c r="AC11" i="32"/>
  <c r="W10" i="32"/>
  <c r="X10" i="32"/>
  <c r="Z10" i="32"/>
  <c r="AC19" i="31"/>
  <c r="Z18" i="31"/>
  <c r="AJ19" i="31"/>
  <c r="Z19" i="31"/>
  <c r="AH18" i="31"/>
  <c r="AB19" i="31"/>
  <c r="AE18" i="31"/>
  <c r="AH19" i="31"/>
  <c r="AG19" i="31"/>
  <c r="AI19" i="31"/>
  <c r="AA19" i="31"/>
  <c r="AB18" i="31"/>
  <c r="AA18" i="31"/>
  <c r="AJ18" i="31"/>
  <c r="AE19" i="31"/>
  <c r="AI18" i="31"/>
  <c r="AD18" i="31"/>
  <c r="AL10" i="31"/>
  <c r="AF19" i="31"/>
  <c r="AC18" i="31"/>
  <c r="AL9" i="31"/>
  <c r="AL7" i="31" l="1"/>
  <c r="AL11" i="31"/>
  <c r="AL12" i="31"/>
  <c r="AL13" i="31"/>
  <c r="AL14" i="31"/>
  <c r="Z20" i="31"/>
  <c r="AB20" i="31"/>
  <c r="AG20" i="31"/>
  <c r="AJ20" i="31"/>
  <c r="AA21" i="31"/>
  <c r="AD21" i="31"/>
  <c r="AI21" i="31"/>
  <c r="Z22" i="31"/>
  <c r="AE22" i="31"/>
  <c r="AH22" i="31"/>
  <c r="AJ22" i="31"/>
  <c r="AC20" i="31"/>
  <c r="AD20" i="31"/>
  <c r="AK20" i="31"/>
  <c r="Z21" i="31"/>
  <c r="AG21" i="31"/>
  <c r="AH21" i="31"/>
  <c r="AC22" i="31"/>
  <c r="AD22" i="31"/>
  <c r="AK22" i="31"/>
  <c r="AI22" i="31"/>
  <c r="AG22" i="31"/>
  <c r="AF22" i="31"/>
  <c r="AB22" i="31"/>
  <c r="AA22" i="31"/>
  <c r="AK21" i="31"/>
  <c r="AJ21" i="31"/>
  <c r="AF21" i="31"/>
  <c r="AE21" i="31"/>
  <c r="AC21" i="31"/>
  <c r="AB21" i="31"/>
  <c r="AI20" i="31"/>
  <c r="AH20" i="31"/>
  <c r="AF20" i="31"/>
  <c r="AE20" i="31"/>
  <c r="AA20" i="31"/>
  <c r="P12" i="22"/>
  <c r="P14" i="22"/>
  <c r="L15" i="27"/>
  <c r="L13" i="21" l="1"/>
  <c r="H17" i="21"/>
  <c r="E17" i="21"/>
  <c r="B17" i="21"/>
  <c r="W31" i="13"/>
  <c r="X26" i="12"/>
  <c r="X31" i="11"/>
  <c r="AF29" i="10"/>
  <c r="E108" i="9" l="1"/>
  <c r="E109" i="9"/>
  <c r="E110" i="9"/>
  <c r="E111" i="9"/>
  <c r="E112" i="9"/>
  <c r="E113" i="9"/>
  <c r="E102" i="9"/>
  <c r="E103" i="9"/>
  <c r="E104" i="9"/>
  <c r="E105" i="9"/>
  <c r="E106" i="9"/>
  <c r="E107" i="9"/>
  <c r="I109" i="9"/>
  <c r="I108" i="9"/>
  <c r="I107" i="9"/>
  <c r="I105" i="9"/>
  <c r="I106" i="9"/>
  <c r="I110" i="9"/>
  <c r="V31" i="13" l="1"/>
  <c r="W26" i="12"/>
  <c r="W31" i="11"/>
  <c r="AE29" i="10"/>
  <c r="AA20" i="28" l="1"/>
  <c r="M5" i="14" l="1"/>
  <c r="M3" i="14" l="1"/>
  <c r="M4" i="14" s="1"/>
  <c r="U31" i="13"/>
  <c r="V26" i="12"/>
  <c r="V31" i="11"/>
  <c r="AD29" i="10"/>
  <c r="J5" i="9" l="1"/>
  <c r="T31" i="13" l="1"/>
  <c r="U26" i="12"/>
  <c r="U31" i="11"/>
  <c r="AC29" i="10"/>
  <c r="E6" i="9"/>
  <c r="E7" i="9"/>
  <c r="E8" i="9"/>
  <c r="E9" i="9"/>
  <c r="E10" i="9"/>
  <c r="E11" i="9"/>
  <c r="E12" i="9"/>
  <c r="E13" i="9"/>
  <c r="E14" i="9"/>
  <c r="E15" i="9"/>
  <c r="E16" i="9"/>
  <c r="E17" i="9"/>
  <c r="E5" i="9"/>
  <c r="AA19" i="28" l="1"/>
  <c r="M15" i="14" l="1"/>
  <c r="N57" i="29" l="1"/>
  <c r="N58" i="29"/>
  <c r="N59" i="29"/>
  <c r="N60" i="29"/>
  <c r="N56" i="29"/>
  <c r="N40" i="29"/>
  <c r="N41" i="29"/>
  <c r="N42" i="29"/>
  <c r="N43" i="29"/>
  <c r="N39" i="29"/>
  <c r="N23" i="29"/>
  <c r="N24" i="29"/>
  <c r="N25" i="29"/>
  <c r="N26" i="29"/>
  <c r="N22" i="29"/>
  <c r="N6" i="29"/>
  <c r="N7" i="29"/>
  <c r="N8" i="29"/>
  <c r="N9" i="29"/>
  <c r="N5" i="29"/>
  <c r="AA16" i="28"/>
  <c r="AD5" i="28"/>
  <c r="AD6" i="28"/>
  <c r="AD7" i="28"/>
  <c r="AD8" i="28"/>
  <c r="AD9" i="28"/>
  <c r="AD10" i="28"/>
  <c r="AD11" i="28"/>
  <c r="AD12" i="28"/>
  <c r="AD13" i="28"/>
  <c r="AD14" i="28"/>
  <c r="AD15" i="28"/>
  <c r="AD16" i="28"/>
  <c r="AD17" i="28"/>
  <c r="AD4" i="28"/>
  <c r="AA5" i="28"/>
  <c r="X5" i="28"/>
  <c r="X6" i="28"/>
  <c r="X7" i="28"/>
  <c r="X8" i="28"/>
  <c r="X9" i="28"/>
  <c r="X10" i="28"/>
  <c r="X11" i="28"/>
  <c r="X12" i="28"/>
  <c r="X13" i="28"/>
  <c r="X14" i="28"/>
  <c r="X4" i="28"/>
  <c r="AA6" i="28"/>
  <c r="AA7" i="28"/>
  <c r="AA8" i="28"/>
  <c r="AA9" i="28"/>
  <c r="AA10" i="28"/>
  <c r="AA11" i="28"/>
  <c r="AA12" i="28"/>
  <c r="AA13" i="28"/>
  <c r="AA14" i="28"/>
  <c r="AA15" i="28"/>
  <c r="AA17" i="28"/>
  <c r="AA18" i="28"/>
  <c r="AA4" i="28"/>
  <c r="G3" i="20" l="1"/>
  <c r="S31" i="13"/>
  <c r="T26" i="12"/>
  <c r="T31" i="11"/>
  <c r="AB29" i="10"/>
  <c r="G67" i="9"/>
  <c r="G99" i="9"/>
  <c r="G3" i="9"/>
  <c r="J49" i="19" l="1"/>
  <c r="G50" i="19"/>
  <c r="D49" i="19"/>
  <c r="D50" i="19" s="1"/>
  <c r="C50" i="19"/>
  <c r="C49" i="19"/>
  <c r="C48" i="19"/>
  <c r="C47" i="19"/>
  <c r="C46" i="19"/>
  <c r="C45" i="19"/>
  <c r="C44" i="19"/>
  <c r="C43" i="19"/>
  <c r="C42" i="19"/>
  <c r="C41" i="19"/>
  <c r="C40" i="19"/>
  <c r="D17" i="19"/>
  <c r="V26" i="19"/>
  <c r="V25" i="19"/>
  <c r="I17" i="19"/>
  <c r="H17" i="19"/>
  <c r="F17" i="19"/>
  <c r="E17" i="19"/>
  <c r="C17" i="19"/>
  <c r="B17" i="19"/>
  <c r="R31" i="13"/>
  <c r="S26" i="12"/>
  <c r="S31" i="11"/>
  <c r="AA29" i="10"/>
  <c r="J111" i="9" l="1"/>
  <c r="I111" i="9"/>
  <c r="J101" i="9"/>
  <c r="I103" i="9"/>
  <c r="J69" i="9"/>
  <c r="J44" i="9"/>
  <c r="I44" i="9"/>
  <c r="E44" i="9"/>
  <c r="G3" i="8"/>
  <c r="Q31" i="13" l="1"/>
  <c r="R26" i="12"/>
  <c r="R31" i="11"/>
  <c r="Z29" i="10"/>
  <c r="J106" i="9" l="1"/>
  <c r="I113" i="9"/>
  <c r="E101" i="9"/>
  <c r="I70" i="9"/>
  <c r="J72" i="9"/>
  <c r="J75" i="9"/>
  <c r="I73" i="9"/>
  <c r="I78" i="9"/>
  <c r="I75" i="9"/>
  <c r="I69" i="9"/>
  <c r="G5" i="7" l="1"/>
  <c r="J5" i="7"/>
  <c r="P16" i="24" l="1"/>
  <c r="AB30" i="13" l="1"/>
  <c r="AC25" i="12"/>
  <c r="AC30" i="11"/>
  <c r="AK28" i="10"/>
  <c r="AJ28" i="10"/>
  <c r="J109" i="9" l="1"/>
  <c r="E71" i="9"/>
  <c r="J73" i="9"/>
  <c r="J70" i="9"/>
  <c r="I5" i="9" l="1"/>
  <c r="I47" i="9" l="1"/>
  <c r="J6" i="9" l="1"/>
  <c r="J8" i="9"/>
  <c r="J7" i="9"/>
  <c r="J9" i="9"/>
  <c r="J10" i="9"/>
  <c r="J11" i="9"/>
  <c r="J12" i="9"/>
  <c r="J13" i="9"/>
  <c r="J14" i="9"/>
  <c r="J15" i="9"/>
  <c r="J16" i="9"/>
  <c r="J17" i="9"/>
  <c r="I17" i="9"/>
  <c r="I16" i="9"/>
  <c r="I15" i="9"/>
  <c r="I14" i="9"/>
  <c r="I13" i="9"/>
  <c r="I12" i="9"/>
  <c r="I11" i="9"/>
  <c r="I10" i="9"/>
  <c r="I9" i="9"/>
  <c r="I8" i="9"/>
  <c r="I7" i="9"/>
  <c r="I6" i="9"/>
  <c r="AL12" i="6" l="1"/>
  <c r="J8" i="7" l="1"/>
  <c r="J7" i="7"/>
  <c r="G7" i="7"/>
  <c r="G9" i="7"/>
  <c r="G8" i="7"/>
  <c r="G6" i="7"/>
  <c r="D6" i="7"/>
  <c r="D9" i="7"/>
  <c r="D8" i="7"/>
  <c r="D7" i="7"/>
  <c r="D5" i="7"/>
  <c r="AK6" i="6" l="1"/>
  <c r="AL27" i="6"/>
  <c r="AL32" i="6"/>
  <c r="AL22" i="6"/>
  <c r="AL17" i="6"/>
  <c r="AL6" i="6"/>
  <c r="AL2" i="6" s="1"/>
  <c r="AL5" i="6"/>
  <c r="AK5" i="6"/>
  <c r="AL7" i="6" l="1"/>
  <c r="AA30" i="13" l="1"/>
  <c r="AB25" i="12"/>
  <c r="AB30" i="11"/>
  <c r="E75" i="9" l="1"/>
  <c r="N28" i="23"/>
  <c r="N24" i="23"/>
  <c r="N22" i="23"/>
  <c r="N21" i="23"/>
  <c r="N20" i="23"/>
  <c r="N33" i="23"/>
  <c r="N32" i="23"/>
  <c r="N31" i="23"/>
  <c r="N30" i="23"/>
  <c r="N29" i="23"/>
  <c r="N27" i="23"/>
  <c r="N26" i="23"/>
  <c r="N25" i="23"/>
  <c r="N23" i="23"/>
  <c r="O7" i="23"/>
  <c r="Z30" i="13"/>
  <c r="AA25" i="12"/>
  <c r="AA30" i="11"/>
  <c r="AI28" i="10"/>
  <c r="AH28" i="10"/>
  <c r="Y30" i="13" l="1"/>
  <c r="Z25" i="12"/>
  <c r="Z30" i="11"/>
  <c r="J77" i="9" l="1"/>
  <c r="X30" i="13" l="1"/>
  <c r="Y25" i="12"/>
  <c r="X25" i="12"/>
  <c r="AC23" i="12"/>
  <c r="Y30" i="11"/>
  <c r="AG28" i="10"/>
  <c r="AF28" i="10"/>
  <c r="I101" i="9" l="1"/>
  <c r="E69" i="9"/>
  <c r="W30" i="13" l="1"/>
  <c r="V30" i="13"/>
  <c r="W25" i="12"/>
  <c r="X30" i="11"/>
  <c r="W30" i="11"/>
  <c r="Z28" i="10"/>
  <c r="J103" i="9"/>
  <c r="I80" i="9"/>
  <c r="E76" i="9"/>
  <c r="F17" i="21" l="1"/>
  <c r="D6" i="21"/>
  <c r="K5" i="21"/>
  <c r="K6" i="21"/>
  <c r="K7" i="21"/>
  <c r="K8" i="21"/>
  <c r="K9" i="21"/>
  <c r="K10" i="21"/>
  <c r="K11" i="21"/>
  <c r="K12" i="21"/>
  <c r="K13" i="21"/>
  <c r="K14" i="21"/>
  <c r="K15" i="21"/>
  <c r="K16" i="21"/>
  <c r="K4" i="21"/>
  <c r="R30" i="13"/>
  <c r="S30" i="13"/>
  <c r="T30" i="13"/>
  <c r="U30" i="13"/>
  <c r="R24" i="13"/>
  <c r="S24" i="13"/>
  <c r="T24" i="13"/>
  <c r="U24" i="13"/>
  <c r="V24" i="13"/>
  <c r="W24" i="13"/>
  <c r="X24" i="13"/>
  <c r="Y24" i="13"/>
  <c r="Z24" i="13"/>
  <c r="AA24" i="13"/>
  <c r="AB24" i="13"/>
  <c r="R25" i="13"/>
  <c r="S25" i="13"/>
  <c r="T25" i="13"/>
  <c r="U25" i="13"/>
  <c r="V25" i="13"/>
  <c r="W25" i="13"/>
  <c r="X25" i="13"/>
  <c r="Y25" i="13"/>
  <c r="Z25" i="13"/>
  <c r="AA25" i="13"/>
  <c r="AB25" i="13"/>
  <c r="R26" i="13"/>
  <c r="S26" i="13"/>
  <c r="T26" i="13"/>
  <c r="U26" i="13"/>
  <c r="V26" i="13"/>
  <c r="W26" i="13"/>
  <c r="X26" i="13"/>
  <c r="Y26" i="13"/>
  <c r="Z26" i="13"/>
  <c r="AA26" i="13"/>
  <c r="AB26" i="13"/>
  <c r="R27" i="13"/>
  <c r="S27" i="13"/>
  <c r="T27" i="13"/>
  <c r="U27" i="13"/>
  <c r="V27" i="13"/>
  <c r="W27" i="13"/>
  <c r="X27" i="13"/>
  <c r="Y27" i="13"/>
  <c r="Z27" i="13"/>
  <c r="AA27" i="13"/>
  <c r="AB27" i="13"/>
  <c r="R28" i="13"/>
  <c r="S28" i="13"/>
  <c r="T28" i="13"/>
  <c r="U28" i="13"/>
  <c r="V28" i="13"/>
  <c r="W28" i="13"/>
  <c r="X28" i="13"/>
  <c r="Y28" i="13"/>
  <c r="Z28" i="13"/>
  <c r="AA28" i="13"/>
  <c r="AB28" i="13"/>
  <c r="R29" i="13"/>
  <c r="S29" i="13"/>
  <c r="T29" i="13"/>
  <c r="U29" i="13"/>
  <c r="V29" i="13"/>
  <c r="W29" i="13"/>
  <c r="X29" i="13"/>
  <c r="Y29" i="13"/>
  <c r="Z29" i="13"/>
  <c r="AA29" i="13"/>
  <c r="AB29" i="13"/>
  <c r="Q24" i="13"/>
  <c r="Q25" i="13"/>
  <c r="Q26" i="13"/>
  <c r="Q27" i="13"/>
  <c r="Q28" i="13"/>
  <c r="Q29" i="13"/>
  <c r="S25" i="12"/>
  <c r="T25" i="12"/>
  <c r="U25" i="12"/>
  <c r="V25" i="12"/>
  <c r="S23" i="12"/>
  <c r="T23" i="12"/>
  <c r="U23" i="12"/>
  <c r="V23" i="12"/>
  <c r="W23" i="12"/>
  <c r="X23" i="12"/>
  <c r="Y23" i="12"/>
  <c r="Z23" i="12"/>
  <c r="AA23" i="12"/>
  <c r="AB23" i="12"/>
  <c r="S24" i="12"/>
  <c r="T24" i="12"/>
  <c r="U24" i="12"/>
  <c r="V24" i="12"/>
  <c r="W24" i="12"/>
  <c r="X24" i="12"/>
  <c r="Y24" i="12"/>
  <c r="Z24" i="12"/>
  <c r="AA24" i="12"/>
  <c r="AB24" i="12"/>
  <c r="AC24" i="12"/>
  <c r="S22" i="12"/>
  <c r="T22" i="12"/>
  <c r="U22" i="12"/>
  <c r="V22" i="12"/>
  <c r="W22" i="12"/>
  <c r="X22" i="12"/>
  <c r="Y22" i="12"/>
  <c r="Z22" i="12"/>
  <c r="AA22" i="12"/>
  <c r="AB22" i="12"/>
  <c r="AC22" i="12"/>
  <c r="S21" i="12"/>
  <c r="T21" i="12"/>
  <c r="U21" i="12"/>
  <c r="V21" i="12"/>
  <c r="W21" i="12"/>
  <c r="X21" i="12"/>
  <c r="Y21" i="12"/>
  <c r="Z21" i="12"/>
  <c r="AA21" i="12"/>
  <c r="AB21" i="12"/>
  <c r="AC21" i="12"/>
  <c r="R21" i="12"/>
  <c r="R22" i="12"/>
  <c r="R23" i="12"/>
  <c r="R24" i="12"/>
  <c r="S30" i="11"/>
  <c r="T30" i="11"/>
  <c r="U30" i="11"/>
  <c r="V30" i="11"/>
  <c r="S25" i="11"/>
  <c r="T25" i="11"/>
  <c r="U25" i="11"/>
  <c r="V25" i="11"/>
  <c r="W25" i="11"/>
  <c r="X25" i="11"/>
  <c r="Y25" i="11"/>
  <c r="Z25" i="11"/>
  <c r="AA25" i="11"/>
  <c r="AB25" i="11"/>
  <c r="AC25" i="11"/>
  <c r="S26" i="11"/>
  <c r="T26" i="11"/>
  <c r="U26" i="11"/>
  <c r="V26" i="11"/>
  <c r="W26" i="11"/>
  <c r="X26" i="11"/>
  <c r="Y26" i="11"/>
  <c r="Z26" i="11"/>
  <c r="AA26" i="11"/>
  <c r="AB26" i="11"/>
  <c r="AC26" i="11"/>
  <c r="S27" i="11"/>
  <c r="T27" i="11"/>
  <c r="U27" i="11"/>
  <c r="V27" i="11"/>
  <c r="W27" i="11"/>
  <c r="X27" i="11"/>
  <c r="Y27" i="11"/>
  <c r="Z27" i="11"/>
  <c r="AA27" i="11"/>
  <c r="AB27" i="11"/>
  <c r="AC27" i="11"/>
  <c r="S28" i="11"/>
  <c r="T28" i="11"/>
  <c r="U28" i="11"/>
  <c r="V28" i="11"/>
  <c r="W28" i="11"/>
  <c r="X28" i="11"/>
  <c r="Y28" i="11"/>
  <c r="Z28" i="11"/>
  <c r="AA28" i="11"/>
  <c r="AB28" i="11"/>
  <c r="AC28" i="11"/>
  <c r="S29" i="11"/>
  <c r="T29" i="11"/>
  <c r="U29" i="11"/>
  <c r="V29" i="11"/>
  <c r="W29" i="11"/>
  <c r="X29" i="11"/>
  <c r="Y29" i="11"/>
  <c r="Z29" i="11"/>
  <c r="AA29" i="11"/>
  <c r="AB29" i="11"/>
  <c r="AC29" i="11"/>
  <c r="T24" i="11"/>
  <c r="U24" i="11"/>
  <c r="V24" i="11"/>
  <c r="W24" i="11"/>
  <c r="X24" i="11"/>
  <c r="Y24" i="11"/>
  <c r="Z24" i="11"/>
  <c r="AA24" i="11"/>
  <c r="AB24" i="11"/>
  <c r="AC24" i="11"/>
  <c r="S24" i="11"/>
  <c r="R25" i="11"/>
  <c r="R26" i="11"/>
  <c r="R27" i="11"/>
  <c r="R28" i="11"/>
  <c r="R29" i="11"/>
  <c r="R30" i="11"/>
  <c r="R24" i="11"/>
  <c r="AA23" i="10"/>
  <c r="AB23" i="10"/>
  <c r="AC23" i="10"/>
  <c r="AD23" i="10"/>
  <c r="AE23" i="10"/>
  <c r="AF23" i="10"/>
  <c r="AG23" i="10"/>
  <c r="AH23" i="10"/>
  <c r="AI23" i="10"/>
  <c r="AJ23" i="10"/>
  <c r="AK23" i="10"/>
  <c r="AA24" i="10"/>
  <c r="AB24" i="10"/>
  <c r="AC24" i="10"/>
  <c r="AD24" i="10"/>
  <c r="AE24" i="10"/>
  <c r="AF24" i="10"/>
  <c r="AG24" i="10"/>
  <c r="AH24" i="10"/>
  <c r="AI24" i="10"/>
  <c r="AJ24" i="10"/>
  <c r="AK24" i="10"/>
  <c r="AA25" i="10"/>
  <c r="AB25" i="10"/>
  <c r="AC25" i="10"/>
  <c r="AD25" i="10"/>
  <c r="AE25" i="10"/>
  <c r="AF25" i="10"/>
  <c r="AG25" i="10"/>
  <c r="AH25" i="10"/>
  <c r="AI25" i="10"/>
  <c r="AJ25" i="10"/>
  <c r="AK25" i="10"/>
  <c r="AA26" i="10"/>
  <c r="AB26" i="10"/>
  <c r="AC26" i="10"/>
  <c r="AD26" i="10"/>
  <c r="AE26" i="10"/>
  <c r="AF26" i="10"/>
  <c r="AG26" i="10"/>
  <c r="AH26" i="10"/>
  <c r="AI26" i="10"/>
  <c r="AJ26" i="10"/>
  <c r="AK26" i="10"/>
  <c r="AA27" i="10"/>
  <c r="AB27" i="10"/>
  <c r="AC27" i="10"/>
  <c r="AD27" i="10"/>
  <c r="AE27" i="10"/>
  <c r="AF27" i="10"/>
  <c r="AG27" i="10"/>
  <c r="AH27" i="10"/>
  <c r="AI27" i="10"/>
  <c r="AJ27" i="10"/>
  <c r="AK27" i="10"/>
  <c r="AB22" i="10"/>
  <c r="AC22" i="10"/>
  <c r="AD22" i="10"/>
  <c r="AE22" i="10"/>
  <c r="AF22" i="10"/>
  <c r="AG22" i="10"/>
  <c r="AH22" i="10"/>
  <c r="AI22" i="10"/>
  <c r="AJ22" i="10"/>
  <c r="AK22" i="10"/>
  <c r="AA22" i="10"/>
  <c r="Z23" i="10"/>
  <c r="Z24" i="10"/>
  <c r="Z25" i="10"/>
  <c r="Z26" i="10"/>
  <c r="Z27" i="10"/>
  <c r="Z22" i="10"/>
  <c r="AE28" i="10"/>
  <c r="K17" i="21" l="1"/>
  <c r="AD28" i="10"/>
  <c r="AC28" i="10" l="1"/>
  <c r="AB28" i="10" l="1"/>
  <c r="J50" i="19" l="1"/>
  <c r="J17" i="19"/>
  <c r="AA28" i="10"/>
  <c r="L6" i="19" l="1"/>
  <c r="L7" i="19"/>
  <c r="L8" i="19"/>
  <c r="L9" i="19"/>
  <c r="L10" i="19"/>
  <c r="L11" i="19"/>
  <c r="L12" i="19"/>
  <c r="L13" i="19"/>
  <c r="L14" i="19"/>
  <c r="L15" i="19"/>
  <c r="L16" i="19"/>
  <c r="L5" i="19"/>
  <c r="K6" i="19"/>
  <c r="K7" i="19"/>
  <c r="K8" i="19"/>
  <c r="K9" i="19"/>
  <c r="K10" i="19"/>
  <c r="K11" i="19"/>
  <c r="K12" i="19"/>
  <c r="K13" i="19"/>
  <c r="K14" i="19"/>
  <c r="K15" i="19"/>
  <c r="K16" i="19"/>
  <c r="K5" i="19"/>
  <c r="L17" i="19" l="1"/>
  <c r="K17" i="19"/>
  <c r="Q30" i="13"/>
  <c r="R25" i="12"/>
  <c r="J37" i="7"/>
  <c r="J38" i="7"/>
  <c r="J39" i="7"/>
  <c r="J40" i="7"/>
  <c r="J41" i="7"/>
  <c r="R2" i="6"/>
  <c r="AK32" i="6"/>
  <c r="AK27" i="6"/>
  <c r="AK22" i="6"/>
  <c r="AK17" i="6"/>
  <c r="AK12" i="6"/>
  <c r="J9" i="21"/>
  <c r="J10" i="21"/>
  <c r="J11" i="21"/>
  <c r="J8" i="21"/>
  <c r="G6" i="21"/>
  <c r="G7" i="21"/>
  <c r="G8" i="21"/>
  <c r="G9" i="21"/>
  <c r="G10" i="21"/>
  <c r="G11" i="21"/>
  <c r="G12" i="21"/>
  <c r="G13" i="21"/>
  <c r="G16" i="21"/>
  <c r="D7" i="21"/>
  <c r="D8" i="21"/>
  <c r="D9" i="21"/>
  <c r="D10" i="21"/>
  <c r="D11" i="21"/>
  <c r="D12" i="21"/>
  <c r="D13" i="21"/>
  <c r="D14" i="21"/>
  <c r="L5" i="21"/>
  <c r="L6" i="21"/>
  <c r="M6" i="21" s="1"/>
  <c r="L7" i="21"/>
  <c r="M7" i="21" s="1"/>
  <c r="L8" i="21"/>
  <c r="M8" i="21" s="1"/>
  <c r="L9" i="21"/>
  <c r="M9" i="21" s="1"/>
  <c r="L10" i="21"/>
  <c r="M10" i="21" s="1"/>
  <c r="L11" i="21"/>
  <c r="M11" i="21" s="1"/>
  <c r="L12" i="21"/>
  <c r="M12" i="21" s="1"/>
  <c r="M13" i="21"/>
  <c r="L14" i="21"/>
  <c r="M14" i="21" s="1"/>
  <c r="L15" i="21"/>
  <c r="L16" i="21"/>
  <c r="M16" i="21" s="1"/>
  <c r="L4" i="21"/>
  <c r="I17" i="21"/>
  <c r="J17" i="21" s="1"/>
  <c r="G17" i="21"/>
  <c r="C17" i="21"/>
  <c r="D17" i="21" s="1"/>
  <c r="J38" i="9"/>
  <c r="J39" i="9"/>
  <c r="J40" i="9"/>
  <c r="J41" i="9"/>
  <c r="J42" i="9"/>
  <c r="J43" i="9"/>
  <c r="J45" i="9"/>
  <c r="J46" i="9"/>
  <c r="J47" i="9"/>
  <c r="J48" i="9"/>
  <c r="J49" i="9"/>
  <c r="J37" i="9"/>
  <c r="I38" i="9"/>
  <c r="I39" i="9"/>
  <c r="I40" i="9"/>
  <c r="I41" i="9"/>
  <c r="I42" i="9"/>
  <c r="I43" i="9"/>
  <c r="I45" i="9"/>
  <c r="I46" i="9"/>
  <c r="I48" i="9"/>
  <c r="I49" i="9"/>
  <c r="I37" i="9"/>
  <c r="E38" i="9"/>
  <c r="E39" i="9"/>
  <c r="E40" i="9"/>
  <c r="E41" i="9"/>
  <c r="E42" i="9"/>
  <c r="E43" i="9"/>
  <c r="E45" i="9"/>
  <c r="E46" i="9"/>
  <c r="E47" i="9"/>
  <c r="E48" i="9"/>
  <c r="E49" i="9"/>
  <c r="E37" i="9"/>
  <c r="L48" i="19"/>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L49" i="19"/>
  <c r="L50" i="19"/>
  <c r="V24" i="19"/>
  <c r="E70" i="9"/>
  <c r="E72" i="9"/>
  <c r="E74" i="9"/>
  <c r="E78" i="9"/>
  <c r="E73" i="9"/>
  <c r="E77" i="9"/>
  <c r="R14" i="22"/>
  <c r="Q3" i="22"/>
  <c r="Q4" i="22"/>
  <c r="Q5" i="22"/>
  <c r="Q6" i="22"/>
  <c r="Q7" i="22"/>
  <c r="Q8" i="22"/>
  <c r="Q9" i="22"/>
  <c r="Q10" i="22"/>
  <c r="Q11" i="22"/>
  <c r="Q12" i="22"/>
  <c r="Q2" i="22"/>
  <c r="J102" i="9"/>
  <c r="J108" i="9"/>
  <c r="J105" i="9"/>
  <c r="J104" i="9"/>
  <c r="J107" i="9"/>
  <c r="J110" i="9"/>
  <c r="J112" i="9"/>
  <c r="J113" i="9"/>
  <c r="J71" i="9"/>
  <c r="J74" i="9"/>
  <c r="J78" i="9"/>
  <c r="J76" i="9"/>
  <c r="J79" i="9"/>
  <c r="J80" i="9"/>
  <c r="J81" i="9"/>
  <c r="I112" i="9"/>
  <c r="I104" i="9"/>
  <c r="I102" i="9"/>
  <c r="I81" i="9"/>
  <c r="E81" i="9"/>
  <c r="E80" i="9"/>
  <c r="I79" i="9"/>
  <c r="E79" i="9"/>
  <c r="I76" i="9"/>
  <c r="I77" i="9"/>
  <c r="I74" i="9"/>
  <c r="I71" i="9"/>
  <c r="I72" i="9"/>
  <c r="J6" i="7"/>
  <c r="J9" i="7"/>
  <c r="AJ32" i="6"/>
  <c r="AJ27" i="6"/>
  <c r="AJ22" i="6"/>
  <c r="AJ17" i="6"/>
  <c r="AJ12" i="6"/>
  <c r="AJ6" i="6"/>
  <c r="AJ7" i="6" s="1"/>
  <c r="AJ5" i="6"/>
  <c r="AI32" i="6"/>
  <c r="AH32" i="6"/>
  <c r="AH27" i="6"/>
  <c r="AG27" i="6"/>
  <c r="AE27" i="6"/>
  <c r="AD27" i="6"/>
  <c r="AC27" i="6"/>
  <c r="AB27" i="6"/>
  <c r="AA27" i="6"/>
  <c r="Z27" i="6"/>
  <c r="Y27" i="6"/>
  <c r="X27" i="6"/>
  <c r="W27" i="6"/>
  <c r="V27" i="6"/>
  <c r="U27" i="6"/>
  <c r="T27" i="6"/>
  <c r="S27" i="6"/>
  <c r="R27" i="6"/>
  <c r="Q27" i="6"/>
  <c r="AI26" i="6"/>
  <c r="AI27" i="6" s="1"/>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I2" i="6" s="1"/>
  <c r="AH6" i="6"/>
  <c r="AH2" i="6" s="1"/>
  <c r="AG6" i="6"/>
  <c r="AG2" i="6" s="1"/>
  <c r="AI5" i="6"/>
  <c r="AI7" i="6" s="1"/>
  <c r="AH5" i="6"/>
  <c r="AG5" i="6"/>
  <c r="AF2" i="6"/>
  <c r="AE2" i="6"/>
  <c r="AD2" i="6"/>
  <c r="AC2" i="6"/>
  <c r="AB2" i="6"/>
  <c r="AA2" i="6"/>
  <c r="Z2" i="6"/>
  <c r="Y2" i="6"/>
  <c r="X2" i="6"/>
  <c r="W2" i="6"/>
  <c r="V2" i="6"/>
  <c r="U2" i="6"/>
  <c r="T2" i="6"/>
  <c r="S2" i="6"/>
  <c r="AG7" i="6"/>
  <c r="K41" i="19"/>
  <c r="K42" i="19"/>
  <c r="K43" i="19"/>
  <c r="K44" i="19"/>
  <c r="K45" i="19"/>
  <c r="K46" i="19"/>
  <c r="K47" i="19"/>
  <c r="K48" i="19"/>
  <c r="K49" i="19"/>
  <c r="K40" i="19"/>
  <c r="AH7" i="6" l="1"/>
  <c r="AK2" i="6"/>
  <c r="AK7" i="6"/>
  <c r="AJ2" i="6"/>
  <c r="L17" i="21"/>
  <c r="M17" i="21" s="1"/>
  <c r="M1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tc={F9BD1B64-5757-41CC-B699-C162031ED6E3}</author>
    <author>tc={3672861F-D210-45C1-9970-4CF62457600D}</author>
    <author>tc={760D7E71-A72B-4024-ACF7-10CADA0BB627}</author>
  </authors>
  <commentList>
    <comment ref="A3" authorId="0" shapeId="0" xr:uid="{F9BD1B64-5757-41CC-B699-C162031ED6E3}">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con DO, Granel y elaborado con uva de mesa</t>
      </text>
    </comment>
    <comment ref="A6" authorId="1" shapeId="0" xr:uid="{3672861F-D210-45C1-9970-4CF62457600D}">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con DO, Espumoso y envasado menor a 2 lts</t>
      </text>
    </comment>
    <comment ref="A7" authorId="2" shapeId="0" xr:uid="{760D7E71-A72B-4024-ACF7-10CADA0BB627}">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a granely vinos envasados entre 2 y 10 lts</t>
      </text>
    </comment>
  </commentList>
</comments>
</file>

<file path=xl/sharedStrings.xml><?xml version="1.0" encoding="utf-8"?>
<sst xmlns="http://schemas.openxmlformats.org/spreadsheetml/2006/main" count="1759" uniqueCount="609">
  <si>
    <t>Boletín del Vino</t>
  </si>
  <si>
    <t>Boletín del vino:  producción, precios y comercio exterior</t>
  </si>
  <si>
    <t>Publicación de la Oficina de Estudios y Políticas Agrarias (Odepa)</t>
  </si>
  <si>
    <t>del Ministerio de Agricultura, Gobierno de Chile</t>
  </si>
  <si>
    <t xml:space="preserve"> </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</si>
  <si>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</si>
  <si>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</si>
  <si>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</si>
  <si>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</si>
  <si>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</si>
  <si>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</si>
  <si>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</si>
  <si>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</si>
  <si>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</si>
  <si>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</si>
  <si>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</si>
  <si>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</si>
  <si>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</si>
  <si>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</si>
  <si>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</si>
  <si>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</si>
  <si>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</si>
  <si>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</si>
  <si>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</si>
  <si>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</si>
  <si>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</si>
  <si>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</si>
  <si>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2020 y 2021,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</si>
  <si>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</si>
  <si>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</si>
  <si>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</si>
  <si>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</si>
  <si>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</si>
  <si>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</si>
  <si>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</si>
  <si>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</si>
  <si>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</si>
  <si>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</si>
  <si>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</si>
  <si>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</si>
  <si>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</si>
  <si>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</si>
  <si>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</si>
  <si>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</si>
  <si>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</si>
  <si>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</si>
  <si>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</si>
  <si>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</si>
  <si>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</si>
  <si>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</si>
  <si>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</si>
  <si>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</si>
  <si>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</si>
  <si>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</si>
  <si>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Evolución de la producción de vinos por categorías</t>
  </si>
  <si>
    <t>Evolución de la superficie de vides por cepaje</t>
  </si>
  <si>
    <t>VOLUMEN - Millones de litros</t>
  </si>
  <si>
    <t>Meses</t>
  </si>
  <si>
    <t>% Variación</t>
  </si>
  <si>
    <t>Vino con denominación de origen</t>
  </si>
  <si>
    <t>Vino a granel</t>
  </si>
  <si>
    <t>Demás vinos en envases entre 2 y 10 lts.</t>
  </si>
  <si>
    <t>Vinos espumosos</t>
  </si>
  <si>
    <t>Vinos con pulpa de frutas</t>
  </si>
  <si>
    <t>VALOR - Millones US$</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</si>
  <si>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</si>
  <si>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</si>
  <si>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</si>
  <si>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</si>
  <si>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</si>
  <si>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</si>
  <si>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</si>
  <si>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</si>
  <si>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</si>
  <si>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</si>
  <si>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</si>
  <si>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</si>
  <si>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</si>
  <si>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</si>
  <si>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</si>
  <si>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</si>
  <si>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</si>
  <si>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</si>
  <si>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</si>
  <si>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</si>
  <si>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</si>
  <si>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</si>
  <si>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</si>
  <si>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</si>
  <si>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</si>
  <si>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</si>
  <si>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</si>
  <si>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</si>
  <si>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</si>
  <si>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</si>
  <si>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 xml:space="preserve">Mill. USD </t>
  </si>
  <si>
    <t>Mill. cajas</t>
  </si>
  <si>
    <t>Part (%)</t>
  </si>
  <si>
    <t>Val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</si>
  <si>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</si>
  <si>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</si>
  <si>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</si>
  <si>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</si>
  <si>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</si>
  <si>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</si>
  <si>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</si>
  <si>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</si>
  <si>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</si>
  <si>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</si>
  <si>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Menor que USD 0,8 por litro</t>
  </si>
  <si>
    <t>Entre USD 0,8 y USD 0,99 por litro</t>
  </si>
  <si>
    <t>Entre USD 1,0 y USD 1,49</t>
  </si>
  <si>
    <t>Entre USD 1,5 y USD 2,99 por litro</t>
  </si>
  <si>
    <t>Entre USD 3 y USD 9,99 por litro</t>
  </si>
  <si>
    <t>Mayor USD 10 por litro</t>
  </si>
  <si>
    <t>Productos</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</si>
  <si>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</si>
  <si>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</si>
  <si>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</si>
  <si>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</si>
  <si>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</si>
  <si>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</si>
  <si>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</si>
  <si>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</si>
  <si>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</si>
  <si>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</si>
  <si>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</si>
  <si>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</si>
  <si>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</si>
  <si>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</si>
  <si>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</si>
  <si>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</si>
  <si>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</si>
  <si>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</si>
  <si>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</si>
  <si>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</si>
  <si>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</si>
  <si>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</si>
  <si>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</si>
  <si>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</si>
  <si>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</si>
  <si>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</si>
  <si>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Otros</t>
  </si>
  <si>
    <t>* Incluye exportaciones de cervezas y licores no incluidas en el cuadro 1 de este boletín.</t>
  </si>
  <si>
    <t>Fuente: Elaborado por Odepa en base a antecedentes del Servicio Nacional de Aduanas</t>
  </si>
  <si>
    <t>País</t>
  </si>
  <si>
    <t>Volumen (miles de litros)</t>
  </si>
  <si>
    <t>Valor (miles de USD FOB)</t>
  </si>
  <si>
    <t>China</t>
  </si>
  <si>
    <t>Brasil</t>
  </si>
  <si>
    <t>Reino Unido</t>
  </si>
  <si>
    <t>Japón</t>
  </si>
  <si>
    <t>Estados Unidos</t>
  </si>
  <si>
    <t>Corea del Sur</t>
  </si>
  <si>
    <t>Holanda</t>
  </si>
  <si>
    <t>Canadá</t>
  </si>
  <si>
    <t>México</t>
  </si>
  <si>
    <t>SUB - TOTAL</t>
  </si>
  <si>
    <t>OTROS PAÍSES</t>
  </si>
  <si>
    <t>TOTAL</t>
  </si>
  <si>
    <t>Fuente: Odepa con información del Servicio Nacional de Aduanas.</t>
  </si>
  <si>
    <t>Cifras sujetas a revisión por informes de variación de valor (IVV).</t>
  </si>
  <si>
    <t>Alemania</t>
  </si>
  <si>
    <t>Dinamarca</t>
  </si>
  <si>
    <t>Francia</t>
  </si>
  <si>
    <t>Suecia</t>
  </si>
  <si>
    <t>Colombia</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</si>
  <si>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</si>
  <si>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</si>
  <si>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</si>
  <si>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</si>
  <si>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</si>
  <si>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</si>
  <si>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</si>
  <si>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</si>
  <si>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</si>
  <si>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</si>
  <si>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</si>
  <si>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</si>
  <si>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</si>
  <si>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</si>
  <si>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</si>
  <si>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</si>
  <si>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</si>
  <si>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</si>
  <si>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Item</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</si>
  <si>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</si>
  <si>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</si>
  <si>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</si>
  <si>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</si>
  <si>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</si>
  <si>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</si>
  <si>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</si>
  <si>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</si>
  <si>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</si>
  <si>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</si>
  <si>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</si>
  <si>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</si>
  <si>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</si>
  <si>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</si>
  <si>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</si>
  <si>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</si>
  <si>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</si>
  <si>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</si>
  <si>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</si>
  <si>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</si>
  <si>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</si>
  <si>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</si>
  <si>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</si>
  <si>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</si>
  <si>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</si>
  <si>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</si>
  <si>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</si>
  <si>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</si>
  <si>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</si>
  <si>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</si>
  <si>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</si>
  <si>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</si>
  <si>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</si>
  <si>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</si>
  <si>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</si>
  <si>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</si>
  <si>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</si>
  <si>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</si>
  <si>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</si>
  <si>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</si>
  <si>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Variedades</t>
  </si>
  <si>
    <t>Litros</t>
  </si>
  <si>
    <t>Part
%</t>
  </si>
  <si>
    <t>Var
%</t>
  </si>
  <si>
    <t>Otras</t>
  </si>
  <si>
    <t>Volumen (litros)</t>
  </si>
  <si>
    <t>Valor (USD FOB)</t>
  </si>
  <si>
    <t>España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</si>
  <si>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</si>
  <si>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</si>
  <si>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Regiones</t>
  </si>
  <si>
    <t>Vinos con D.O.</t>
  </si>
  <si>
    <t>Vinos sin D.O. (*)</t>
  </si>
  <si>
    <t xml:space="preserve">Vinos de mesa </t>
  </si>
  <si>
    <t>Los Ríos</t>
  </si>
  <si>
    <r>
      <t xml:space="preserve">Fuente: Informe final Producción de Vinos 2021. </t>
    </r>
    <r>
      <rPr>
        <sz val="9"/>
        <color indexed="8"/>
        <rFont val="Calibri"/>
        <family val="2"/>
      </rPr>
      <t>Servicio Agrícola y Ganadero.</t>
    </r>
    <r>
      <rPr>
        <i/>
        <sz val="9"/>
        <color indexed="8"/>
        <rFont val="Calibri"/>
        <family val="2"/>
      </rPr>
      <t xml:space="preserve">    (*) Incluye los vinos viníferos corrientes.</t>
    </r>
  </si>
  <si>
    <t>Variedad</t>
  </si>
  <si>
    <t>Malbec</t>
  </si>
  <si>
    <t>País - Mission</t>
  </si>
  <si>
    <t xml:space="preserve">Otras </t>
  </si>
  <si>
    <t>HL</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</si>
  <si>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</si>
  <si>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</si>
  <si>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</si>
  <si>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</si>
  <si>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</si>
  <si>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</si>
  <si>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</si>
  <si>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</si>
  <si>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</si>
  <si>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</si>
  <si>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(c ) Las cifras de plantaciones de uva de mesa corresponden a estimaciones efectuadas por Odepa</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</si>
  <si>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</si>
  <si>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</si>
  <si>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</si>
  <si>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</si>
  <si>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</si>
  <si>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</si>
  <si>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</si>
  <si>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</si>
  <si>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</si>
  <si>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</si>
  <si>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</si>
  <si>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Cepaje</t>
  </si>
  <si>
    <t>Años</t>
  </si>
  <si>
    <t>C.  Sauv.</t>
  </si>
  <si>
    <t>S. Blanc</t>
  </si>
  <si>
    <t>Carmenère</t>
  </si>
  <si>
    <t>M. Alejandría</t>
  </si>
  <si>
    <t>C. Franc</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</si>
  <si>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</si>
  <si>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</si>
  <si>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</si>
  <si>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Moscatel de Alejandría</t>
  </si>
  <si>
    <r>
      <rPr>
        <i/>
        <sz val="9"/>
        <rFont val="Calibri"/>
        <family val="2"/>
      </rPr>
      <t>Fuente</t>
    </r>
    <r>
      <rPr>
        <sz val="9"/>
        <rFont val="Calibri"/>
        <family val="2"/>
      </rPr>
      <t>: elaborado por Odepa con información del SAG</t>
    </r>
  </si>
  <si>
    <t>Cepa</t>
  </si>
  <si>
    <t>Evolución de la producción de vinos con DO por cepa</t>
  </si>
  <si>
    <t>O’Higgins</t>
  </si>
  <si>
    <t>Los demás vinos envasados menores a 2 lts.</t>
  </si>
  <si>
    <t>Catastro 2020</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</si>
  <si>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</si>
  <si>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Costa Rica</t>
  </si>
  <si>
    <t>Año 2021</t>
  </si>
  <si>
    <t>Val 2021</t>
  </si>
  <si>
    <t>Vol 2021</t>
  </si>
  <si>
    <t>Var % 
22/21</t>
  </si>
  <si>
    <t>Var. % 22/21</t>
  </si>
  <si>
    <t xml:space="preserve">% Part.2022 </t>
  </si>
  <si>
    <t>Argentina</t>
  </si>
  <si>
    <t>Director y Representante Legal</t>
  </si>
  <si>
    <t>Carolina Buzzetti Horta</t>
  </si>
  <si>
    <t>Exportación de vinos y mostos 2021 - 2022</t>
  </si>
  <si>
    <t>Irlanda</t>
  </si>
  <si>
    <t>USD/lts</t>
  </si>
  <si>
    <t>Dólar</t>
  </si>
  <si>
    <t>Vinos Blancos</t>
  </si>
  <si>
    <t>Otros vinos</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</si>
  <si>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</si>
  <si>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</si>
  <si>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</si>
  <si>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</si>
  <si>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</si>
  <si>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</si>
  <si>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</si>
  <si>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</si>
  <si>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</si>
  <si>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</si>
  <si>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</si>
  <si>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</si>
  <si>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</si>
  <si>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</si>
  <si>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</si>
  <si>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</si>
  <si>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10"/>
        <color indexed="8"/>
        <rFont val="Arial"/>
        <family val="2"/>
      </rPr>
      <t>Fuente</t>
    </r>
    <r>
      <rPr>
        <sz val="10"/>
        <color indexed="8"/>
        <rFont val="Arial"/>
        <family val="2"/>
      </rPr>
      <t xml:space="preserve">: elaborado por Odepa con antecedentes de la Seremi de Agricultura de la Región del Maule.  </t>
    </r>
  </si>
  <si>
    <t/>
  </si>
  <si>
    <r>
      <rPr>
        <i/>
        <sz val="9"/>
        <color indexed="8"/>
        <rFont val="Arial"/>
        <family val="2"/>
      </rPr>
      <t>Fuente</t>
    </r>
    <r>
      <rPr>
        <sz val="9"/>
        <color indexed="8"/>
        <rFont val="Arial"/>
        <family val="2"/>
      </rPr>
      <t xml:space="preserve">: elaborado por Odepa con antecedentes de la Seremi de Agricultura de la Región del Maule.  </t>
    </r>
  </si>
  <si>
    <r>
      <rPr>
        <i/>
        <sz val="9"/>
        <color indexed="8"/>
        <rFont val="Arial"/>
        <family val="2"/>
      </rPr>
      <t>Fuente</t>
    </r>
    <r>
      <rPr>
        <sz val="9"/>
        <color indexed="8"/>
        <rFont val="Arial"/>
        <family val="2"/>
      </rPr>
      <t>: elaborado por Odepa con antecedentes de la Seremi de Agricultura de la Región del Maule.  s/t = sin transacciones.</t>
    </r>
  </si>
  <si>
    <t>Comuna</t>
  </si>
  <si>
    <t>Poder comprador</t>
  </si>
  <si>
    <t>Fecha precio vigente</t>
  </si>
  <si>
    <t>Observaciones</t>
  </si>
  <si>
    <t>Vicuña</t>
  </si>
  <si>
    <t>COOPERATIVA AGRICOLA PISQUERA ELQUI LTDA</t>
  </si>
  <si>
    <t>Moscatel de Austria</t>
  </si>
  <si>
    <t>El termino de la vendimia varia entre el 15 al 25 de mayo, actualmente pleno proceso de vendimia.</t>
  </si>
  <si>
    <t>Ovalle</t>
  </si>
  <si>
    <t>CORRETAJES TORRES Y Cia LTDA - Ovalle</t>
  </si>
  <si>
    <t>RR WINE LTDA</t>
  </si>
  <si>
    <t>Santa María</t>
  </si>
  <si>
    <t>FLAHERTY WINES LTDA.</t>
  </si>
  <si>
    <t>compra con contrato, con iva y en dolares</t>
  </si>
  <si>
    <t>compra con contrato, con iva, zona de Panquehue</t>
  </si>
  <si>
    <t>Petit Verdot</t>
  </si>
  <si>
    <t>compra con contrato, con iva y en dolares. zona San Esteban</t>
  </si>
  <si>
    <t>Panquehue</t>
  </si>
  <si>
    <t>viña von siebenthal</t>
  </si>
  <si>
    <t>Syrah (Sirah)</t>
  </si>
  <si>
    <t>precio con iva, compra con contrato, compra en dolares</t>
  </si>
  <si>
    <t>San Felipe</t>
  </si>
  <si>
    <t>flaherty wine</t>
  </si>
  <si>
    <t>compra con contrato, de la zona de panquehue</t>
  </si>
  <si>
    <t>San Fernando</t>
  </si>
  <si>
    <t>MACAYA WAAK LIMITADA</t>
  </si>
  <si>
    <t xml:space="preserve">Mínimo garantizado. </t>
  </si>
  <si>
    <t>TERRAPURA S. A.</t>
  </si>
  <si>
    <t>Precio fijo</t>
  </si>
  <si>
    <t xml:space="preserve">Mínimo garantizado </t>
  </si>
  <si>
    <t>Pais - Mission, Criolla</t>
  </si>
  <si>
    <t>mimim</t>
  </si>
  <si>
    <t>Sauvignon Blanc (Fumé)</t>
  </si>
  <si>
    <t xml:space="preserve">mínimo garantizado </t>
  </si>
  <si>
    <t>Precio fijo.</t>
  </si>
  <si>
    <t>VIÑA KOYLE S.A.</t>
  </si>
  <si>
    <t>Con contrato en 8 cuotas.</t>
  </si>
  <si>
    <t>Tintoreras</t>
  </si>
  <si>
    <t>San Javier</t>
  </si>
  <si>
    <t>ANATOLIO SEGUNDO ALBORNOZ VARGAS</t>
  </si>
  <si>
    <t>Con contrato, precio en predio, pago en 1 a 4 cuotas, sin grado base.</t>
  </si>
  <si>
    <t>Torontel blanca</t>
  </si>
  <si>
    <t>Con contrato, pago en 1 a 4 cuotas. Sin grado base. Precio en predio.</t>
  </si>
  <si>
    <t>Sagrada Familia</t>
  </si>
  <si>
    <t>BODEGA Y VIÑEDOS KORTA BUCAREY LTDA.</t>
  </si>
  <si>
    <t>Merlot (t)</t>
  </si>
  <si>
    <t>Cauquenes</t>
  </si>
  <si>
    <t>COOPERATIVA AGRÍCOLA ESPECIAL VITIVINÍCOLA DE CAUQUENES LTDA.</t>
  </si>
  <si>
    <t>Blanca Ovoide</t>
  </si>
  <si>
    <t>Con contrato, precio en predio, pago contado, base 12 grados.</t>
  </si>
  <si>
    <t>Chardonnay (b)</t>
  </si>
  <si>
    <t>Con contrato, pago al contado. Precio en predio. Base 12 grados.</t>
  </si>
  <si>
    <t xml:space="preserve">Con contrato pago al contado, </t>
  </si>
  <si>
    <t>Semillón (b)</t>
  </si>
  <si>
    <t>Con contrato, precio en predio, pago contado, base 12 grados</t>
  </si>
  <si>
    <t>Curicó</t>
  </si>
  <si>
    <t xml:space="preserve">JUCOSOL </t>
  </si>
  <si>
    <t>Con contrato, pago en 8 cuotas. Precio en predio. Sin grado base.</t>
  </si>
  <si>
    <t>Con contrato, precio en predio, pago en 8 cuotas, sin grado base.</t>
  </si>
  <si>
    <t>Con contrato, pago en 6 a 9 cuotas. Precio en predio. Base 12 grados.</t>
  </si>
  <si>
    <t>Con contrato, precio en predio, pago en 6 a 9 cuotas, base 12 grados.</t>
  </si>
  <si>
    <t>Con contrato, precio en predio, pago en 6 a 9 cuotas, base 12 grados</t>
  </si>
  <si>
    <t>Con Contrato, pago en 6 a 9 cuotas. Precio en predio.</t>
  </si>
  <si>
    <t>Sociedad Agroindustrial Cerrillos LTDA.</t>
  </si>
  <si>
    <t>Con contrato, pago en 2 cuotas. Precio en predio. Sin grado base.</t>
  </si>
  <si>
    <t>Rauco</t>
  </si>
  <si>
    <t>VIÑA LAS PITRAS</t>
  </si>
  <si>
    <t>Con contrato, pago en 6 cuotas. Precio en bodega. Sin grado base.</t>
  </si>
  <si>
    <t>VIÑA MARTY S.P.A.</t>
  </si>
  <si>
    <t>Con contrato, precio en predio, pago 10 cuotas, sin grado base.</t>
  </si>
  <si>
    <t>Con contrato 10 cuotas, precio en predio. Sin grado base.</t>
  </si>
  <si>
    <t>Linares</t>
  </si>
  <si>
    <t>VIÑA PORTAL DEL SUR S.A.</t>
  </si>
  <si>
    <t>Teno</t>
  </si>
  <si>
    <t>VIÑA SANTA IRENE LTDA.</t>
  </si>
  <si>
    <t>Con contrato, precio en bodega, pago en tres cuotas, sin grado base.</t>
  </si>
  <si>
    <t>Con contrato en 3 cuotas. Precio en bodega. Sin grado base.</t>
  </si>
  <si>
    <t>VIÑEDOS GURFINKEL LTDA.</t>
  </si>
  <si>
    <t>Con contrato, precio en bodega, pago contado, base 12 grados.</t>
  </si>
  <si>
    <t>Ninhue</t>
  </si>
  <si>
    <t>Agrícola zunica ltda</t>
  </si>
  <si>
    <t>precio minimo garantizado, reajustable a final de temporada, se trabaja con agricultores con y sin contrato, sin grados brix.</t>
  </si>
  <si>
    <t>Ranquil</t>
  </si>
  <si>
    <t>Centinelas del Itata SPA</t>
  </si>
  <si>
    <t>precio minimo garantizado, sin considerar grados brix, con y sin contrato.</t>
  </si>
  <si>
    <t>precio minimo garantizado, reajustable a final de temporada, sin considerar grados brix, compra con y sin contrato.</t>
  </si>
  <si>
    <t>CUVAS DE NINHUE</t>
  </si>
  <si>
    <t>precio minimo garantizado, reajustable a final de temporada, se trabaja solo con contratos y se pide grados brix (23°).</t>
  </si>
  <si>
    <t>Portezuelo</t>
  </si>
  <si>
    <t>ECOPARRA SPA(Sociedad Agrícola y Comerci</t>
  </si>
  <si>
    <t>precio minimo garantizado, reajustable a final de temporada. se trabaja con productores con y sin contrato.</t>
  </si>
  <si>
    <t>precio minimo garantizado, reajustable a fin de temporada. Con y sin contrato.</t>
  </si>
  <si>
    <t>Viña Matori</t>
  </si>
  <si>
    <t>precio minimo garantizado, reajustable a final de temporada, se trabaja solo con contratos y se les pide (21°) grados brix.</t>
  </si>
  <si>
    <t>Florida</t>
  </si>
  <si>
    <t>VIÑEDOS DE RAHUIL ALTO. FLORIDA.</t>
  </si>
  <si>
    <t>Cinsault</t>
  </si>
  <si>
    <t>precio con consideracion de grados brix(23°), reliquidacion a final de temporada, pago a 30 dias con catrasto vitivinicola. se le compra a socios y no</t>
  </si>
  <si>
    <t>Val</t>
  </si>
  <si>
    <t>Vinos Tintos</t>
  </si>
  <si>
    <t>Otros Vinos</t>
  </si>
  <si>
    <t>Valor medio de exportación vino a granel (USD/litro)</t>
  </si>
  <si>
    <t>Valor medio de exportación vino a granel (CLP/litro)</t>
  </si>
  <si>
    <t>Precios a productor de vino genérico tinto</t>
  </si>
  <si>
    <t>Precios a productor de vino Cabernet</t>
  </si>
  <si>
    <t>Precios a productor de vino País</t>
  </si>
  <si>
    <t>Precios a productor de vino Semillón</t>
  </si>
  <si>
    <t>Precios de uva a productor. Región de Coquimbo</t>
  </si>
  <si>
    <t>Precios de uva a productor. Región de Valparaíso</t>
  </si>
  <si>
    <t>Precios de uva a productor. Región de O´Higgins</t>
  </si>
  <si>
    <t>Precios de uva a productor. Región del Maule</t>
  </si>
  <si>
    <t>Precios de uva a productor. Región de Ñuble</t>
  </si>
  <si>
    <t>Precios de uva a productor. Región de Biobío</t>
  </si>
  <si>
    <t>Cuadro 21. Existencias por regiones al 31 de diciembre de cada año ( mil litros)</t>
  </si>
  <si>
    <t xml:space="preserve">Cuadro 22. Existencias de vinos con DO por variedades </t>
  </si>
  <si>
    <r>
      <rPr>
        <i/>
        <sz val="10"/>
        <color indexed="8"/>
        <rFont val="Arial"/>
        <family val="2"/>
      </rPr>
      <t>Fuente</t>
    </r>
    <r>
      <rPr>
        <sz val="10"/>
        <color indexed="8"/>
        <rFont val="Arial"/>
        <family val="2"/>
      </rPr>
      <t>: Odepa</t>
    </r>
  </si>
  <si>
    <t>Cuadro 3. Exportaciones de vino granel por rangos de precios 
2019 - 2020 - 2021</t>
  </si>
  <si>
    <t xml:space="preserve">Vinos tintos  </t>
  </si>
  <si>
    <t>Estimado junto con saludar se informa que la vendimia en las plantas Elqui y Limarí estan proyectadas para el 15 de mayo puede variar un par de dias p</t>
  </si>
  <si>
    <t>viña el almendral</t>
  </si>
  <si>
    <t>Casablanca</t>
  </si>
  <si>
    <t>VIÑA INDOMITA S. A.</t>
  </si>
  <si>
    <t>viña mendoza</t>
  </si>
  <si>
    <t>Pinot negro (Noir)</t>
  </si>
  <si>
    <t>Gewurstraminer</t>
  </si>
  <si>
    <t>Marselan</t>
  </si>
  <si>
    <t>Riesling</t>
  </si>
  <si>
    <t>Viognier</t>
  </si>
  <si>
    <t>con contrato, precio en dolares, con iva incluido</t>
  </si>
  <si>
    <t>con contrato, valor en dolares, con iva</t>
  </si>
  <si>
    <t>con contrato</t>
  </si>
  <si>
    <t>con contrato, valor en dolar, iva incluido</t>
  </si>
  <si>
    <t>con contrato, con iva, en dolares</t>
  </si>
  <si>
    <t>sin contrato, zona panquehue</t>
  </si>
  <si>
    <t>sin contrato, compra en san esteban</t>
  </si>
  <si>
    <t>precio sin iva, sin contrato</t>
  </si>
  <si>
    <t xml:space="preserve">precio más IVA </t>
  </si>
  <si>
    <t>sin contrato, de la zona del aconcagua</t>
  </si>
  <si>
    <t>sin contrato</t>
  </si>
  <si>
    <t>solo se compro esta variedad, con contrato</t>
  </si>
  <si>
    <t>Molina</t>
  </si>
  <si>
    <t>VINÍCOLA PATACON S.P.A.</t>
  </si>
  <si>
    <t>VIÑA PIRAZZOLI LTDA.</t>
  </si>
  <si>
    <t>VITIVINÍCOLA LOS CERRILLOS Y CÍA. LTDA.</t>
  </si>
  <si>
    <t>Río Claro</t>
  </si>
  <si>
    <t>ARESTI CHILE WINE S.A.</t>
  </si>
  <si>
    <t>SOC. AGRÍCOLA REQUINGUA LTDA.</t>
  </si>
  <si>
    <t>Viña Correa Albano</t>
  </si>
  <si>
    <t>AGUILERA Y BARRIOS LIMITADA</t>
  </si>
  <si>
    <t>Hacienda Zuñiga SPA</t>
  </si>
  <si>
    <t>VIÑA BALDUZZI</t>
  </si>
  <si>
    <t>Villa Alegre</t>
  </si>
  <si>
    <t>Viña Saavedra</t>
  </si>
  <si>
    <t>Carignan (Cariñena)</t>
  </si>
  <si>
    <t>Con contrato, precio en predio, pago en 3 a 8 cuotas, base 12 grados.</t>
  </si>
  <si>
    <t xml:space="preserve">Con contrato, pago de 3 a 8 cuotas. Precio en predio. </t>
  </si>
  <si>
    <t>Con contrato, pago de 3 a 8 cuotas. Precio en predio. Base 12 grados.</t>
  </si>
  <si>
    <t>Con contrato, precio en predio, pago en 3 a 8 cuotas, sin grado base</t>
  </si>
  <si>
    <t>Con contrato, pago de 3 a 8 cuotas. precio en predio. Base 12 grados.</t>
  </si>
  <si>
    <t>Con contrato, precio en predio, pago en 8 cuotas, base 12 grados.</t>
  </si>
  <si>
    <t>Con contrato. Pago en 8 cuotas. Precio en predio. Base 12 grados.</t>
  </si>
  <si>
    <t>Con contrato, pago en 8 cuotas, precio en predio, base 12 grados.</t>
  </si>
  <si>
    <t>Con contrato en 8 cuotas. Precio en predio. Base 12 grados.</t>
  </si>
  <si>
    <t>Con contrato, pago en 8 cuotas. precio en predio. Base 12 grados.</t>
  </si>
  <si>
    <t>Con contrato, pago en 8 cuotas. Precio en predio.</t>
  </si>
  <si>
    <t>Con contrato, pago en 6 cuotas. Precio en predio sin grado base.</t>
  </si>
  <si>
    <t>Con contrato, precio en predio, pago e 6 cuotas, sin grado base.</t>
  </si>
  <si>
    <t>Con contrato en 6 cuotas. Precio en predio. Sin grado base.</t>
  </si>
  <si>
    <t>Con contrato, pago en 6 cuotas. Precio en predio. Sin grado base.</t>
  </si>
  <si>
    <t>Con contrato, precio en predio, pago en 6 cuotas, sin grado base.</t>
  </si>
  <si>
    <t xml:space="preserve">Con contrato,sin cuotas. Precio en predio. </t>
  </si>
  <si>
    <t>Con contrato, pago en 6 cuotas. Precio en predio. Base 12 grados.</t>
  </si>
  <si>
    <t>Con contrato, pago en 12 cuotas. Precio en predio. Base 12 grados.</t>
  </si>
  <si>
    <t>Con contrato, pago en 8 cuotas, precio en predio,  base 12 grados.</t>
  </si>
  <si>
    <t>Con contrato 3 cuotas. Precio en predio. Sin grado base.</t>
  </si>
  <si>
    <t>Con contrato, precio en predio, pago en 4 a 10 cuotas, base 12 grados</t>
  </si>
  <si>
    <t>Con contrato de 4 a 10 cuotas. Precio en predio. Base 12 grados.</t>
  </si>
  <si>
    <t>Con contrato, precio en predio, pago en 4 a 10 cuotas, base 12 grados.</t>
  </si>
  <si>
    <t>Con contrato de 4 a 10 cuotas. Precio en predio base 12 grado.</t>
  </si>
  <si>
    <t>Con contrato, precio en predio, pago en 1 cuota, base 12 grados</t>
  </si>
  <si>
    <t>Con contrato de 4 a 10 cuotas. Precio en predio. Base 12 grado.</t>
  </si>
  <si>
    <t>Con contrato, precio en predio, pago en 4 a 10 cuotas base 12 grados.</t>
  </si>
  <si>
    <t>Con contrato, precio en predio, pago en 4 a 10 cuotas, sin grado base.</t>
  </si>
  <si>
    <t>Con contrato de 3 a 12 cuotas, precio en predio. Base 12 grados.</t>
  </si>
  <si>
    <t>Con contrato de 3 a 12 cuotas. Precio en predio. Base 12 grados.</t>
  </si>
  <si>
    <t>Con contrato, precio en predio, pago en 3 a 12 cuotas, base 12 grados.</t>
  </si>
  <si>
    <t>Con contrato de 3 a 12  cuotas. Precio en predio. Base 12 grados.</t>
  </si>
  <si>
    <t>Con contrato, precio en predio, pago en 3 a 12 cuotas, sin grado base.</t>
  </si>
  <si>
    <t>Con contrato, precio en predio, pago en 3 cuotas, sin grado base.</t>
  </si>
  <si>
    <t xml:space="preserve">Con contrato, precio en bodega, pago en 3 cuotas, sin grado base </t>
  </si>
  <si>
    <t>Con contrato, precio en predio, pago en 1 cuota, sin grado base.</t>
  </si>
  <si>
    <t>Con contrato, pago en 1 cuota. Precio en predio.</t>
  </si>
  <si>
    <t>Con contrato, precio en predio, pago en 2 cuotas, sin grado base.</t>
  </si>
  <si>
    <t xml:space="preserve">Con contrato en 1 cuota. Precio en predio. </t>
  </si>
  <si>
    <t>Con contrato pago en 6 cuotas. Precio en predio. Base 12 grados.</t>
  </si>
  <si>
    <t>Con contrato, precio en predio, pago en 6 cuotas, base 12 grados.</t>
  </si>
  <si>
    <t>Con contrato, precio en predio, pago en 1 cuota, base 12 grados.</t>
  </si>
  <si>
    <t>Con contrato, pago en 1 cuota . Precio en predio.</t>
  </si>
  <si>
    <t>Con contrato, precio en predio, pago en 3 a 6 cuotas, base 12 grados.</t>
  </si>
  <si>
    <t>Con contrato, de 3 a 5 cuotas. Precio en predio. Sin grado base.</t>
  </si>
  <si>
    <t>Coelemu</t>
  </si>
  <si>
    <t xml:space="preserve">Viña Matori </t>
  </si>
  <si>
    <t>Quillón</t>
  </si>
  <si>
    <t>BENIGNO CEA RUBIO ( SECTOR CERRO NEGRO - QUILLÓN )</t>
  </si>
  <si>
    <t>COMERCIALIZADORA LA PATAGUA SPA</t>
  </si>
  <si>
    <t xml:space="preserve">BENIGNO CEA RUBIOS </t>
  </si>
  <si>
    <t>COMERCIALIZADORA LA PATAGUA SPA( SECTOR EL MANZANO - RÁNQUIL )</t>
  </si>
  <si>
    <t>precios mínimo garantizado y reajustable a final de temporada, sin considerar grados brix y sin contrato.</t>
  </si>
  <si>
    <t>precios mínimo garantizado y reajustable a final de temporada, sin considerar grados brix, se le comprar a los socios y no socios.</t>
  </si>
  <si>
    <t xml:space="preserve">precio mínimo garantizado,  reajustable a final de temporada, sin considerar grados brix, con y sin contrato </t>
  </si>
  <si>
    <t>precios mínimo garantizado y reajustable a final de temporada, sin considerar grados brix con y sin contrato</t>
  </si>
  <si>
    <t>precios mínimo garantizado,  reajustable a final de temporada sin considerar grados brix  se compra a todos los productores.</t>
  </si>
  <si>
    <t>precios mínimo garantizado, reajustable a final de temporada, sin considerar grados brix, con y sin contrato.</t>
  </si>
  <si>
    <t xml:space="preserve">precios mínimo garantizado y reajustable a final de temporada, se le comprar a todos los productores </t>
  </si>
  <si>
    <t>Yumbel</t>
  </si>
  <si>
    <t>COMERCIALIZADORA LA PATAGUA SPA ( YUMBEL )</t>
  </si>
  <si>
    <t xml:space="preserve">precios sin considerar grados brix pero se hacen visita a terreno para verificar dichos grados y se comprar a los socios y no socios   acopio apoyado </t>
  </si>
  <si>
    <t>precios reajustable al final de la temporada, sin considerar grados brix se le comprar a los socios y no socios.</t>
  </si>
  <si>
    <t>Henrriquez Hnos. LTDA. (viña el Aromo).</t>
  </si>
  <si>
    <t>Noruega</t>
  </si>
  <si>
    <t>Finlandia</t>
  </si>
  <si>
    <t>Estonia</t>
  </si>
  <si>
    <t xml:space="preserve">   Vino a granel</t>
  </si>
  <si>
    <t>Precio vigente ($/kg)</t>
  </si>
  <si>
    <t>Esta información esta disponible en formato interactivo power bi</t>
  </si>
  <si>
    <t xml:space="preserve">Cuadro 4. Exportaciones de vinos y alcoholes según variedad </t>
  </si>
  <si>
    <t>Cuadro 5. Exportaciones  de vinos con denominación de origen por país de destino</t>
  </si>
  <si>
    <t>Cuadro 6. Exportaciones  de vinos a granel por país de destino</t>
  </si>
  <si>
    <t>Cuadro 7. Exportaciones  de los demás vinos en envases entre 2 y 10 lts por país de destino</t>
  </si>
  <si>
    <t>Cuadro 8. Exportaciones de vino espumoso por país de destino</t>
  </si>
  <si>
    <t>Cuadro 9. Precios de uva a productor. Región de Coquimbo</t>
  </si>
  <si>
    <t>Cuadro 10. Precios de uva a productor. Región de Valparaíso (continuación)</t>
  </si>
  <si>
    <t>Cuadro 10. Precios de uva a productor. Región de Valparaíso</t>
  </si>
  <si>
    <t>Cuadro 11. Precios de uva a productor. Región de O´Higgins</t>
  </si>
  <si>
    <t>Cuadro 12. Precios de uva a productor. Región del Maule</t>
  </si>
  <si>
    <t>Cuadro 12. Precios de uva a productor. Región del Maule (continuación)</t>
  </si>
  <si>
    <t>Cuadro 13. Precios de uva a productor. Región del Ñuble</t>
  </si>
  <si>
    <t>Cuadro 13. Precios de uva a productor. Región del Ñuble (continuación)</t>
  </si>
  <si>
    <t>Cuadro 14. Precios de uva a productor. Región del Biobío</t>
  </si>
  <si>
    <t>Cuadro 15. Precios a productor de vino genérico tinto</t>
  </si>
  <si>
    <t>Cuadro 16. Precios a productor de vino Cabernet</t>
  </si>
  <si>
    <t>Cuadro 17. Precios a productor de vino País</t>
  </si>
  <si>
    <t>Cuadro 18. Precios a productor de vino Semillón</t>
  </si>
  <si>
    <t>Cuadro 20. Evolución de la producción de vinos con DO por variedad (miles de litros)</t>
  </si>
  <si>
    <t>Cuadro 23. Evolución de la superficie plantada con vides, período 2008 a 2020 (ha)</t>
  </si>
  <si>
    <t>Cuadro 24. Plantaciones de vides para vinificación por cepajes blancos y tintos por regiones (ha)</t>
  </si>
  <si>
    <t>Cuadro 25. Evolución de la superficie plantada con los principales cepajes para exportación (ha)</t>
  </si>
  <si>
    <t>Cuadro 26. Estadísticas del mercado del vino en Chile (millones de litros)</t>
  </si>
  <si>
    <t>Cuadro 27. Exportaciones de pisco y similares por país de destino</t>
  </si>
  <si>
    <t>Cuadro 11. Precios de uva a productor. Región de O´Higgins (continuación)</t>
  </si>
  <si>
    <t>Cuadro 14. Precios de uva a productor. Región del Biobío (continuación)</t>
  </si>
  <si>
    <t xml:space="preserve">TOTAL EXPORTACIONES VINOS </t>
  </si>
  <si>
    <t>Cuadro 19. Producción de vinos en los años 2021 y 2022, por regiones y categorías (miles de litros)</t>
  </si>
  <si>
    <t>Prod DO 2021</t>
  </si>
  <si>
    <t>Prod do 2022</t>
  </si>
  <si>
    <t>Volumen de exportaciones de vino orgánico con DO</t>
  </si>
  <si>
    <t>Valor de las exportaciones de vino orgánico con DO</t>
  </si>
  <si>
    <t>Precio medio de exportación de vino orgánico con DO</t>
  </si>
  <si>
    <t>Volumen de exportaciones de vino a granel orgánico</t>
  </si>
  <si>
    <t>Valor de exportaciones de vino a granel orgánico</t>
  </si>
  <si>
    <t>Precio medio de exportación de vino a granel orgánico</t>
  </si>
  <si>
    <t>Volumen de exportacionesn de vino espumoso orgánico</t>
  </si>
  <si>
    <t>Valor de exportaciones de vino espumoso orgánico</t>
  </si>
  <si>
    <t>Precio medio de exportación de vino espumoso orgánico</t>
  </si>
  <si>
    <t>25-26-27</t>
  </si>
  <si>
    <t>27-28</t>
  </si>
  <si>
    <t>28-29-30-31-32-33-34</t>
  </si>
  <si>
    <t>35-36</t>
  </si>
  <si>
    <t>36-37</t>
  </si>
  <si>
    <t>Enero 2023</t>
  </si>
  <si>
    <t>2020 - 2021 - 2022</t>
  </si>
  <si>
    <t>Andrea García Lizama</t>
  </si>
  <si>
    <t>Año 2022</t>
  </si>
  <si>
    <t>Cuadro 1. Exportaciones de vinos y mostos  2022 vs 2021 vs 2020</t>
  </si>
  <si>
    <t>Año 2020</t>
  </si>
  <si>
    <t>Panamá</t>
  </si>
  <si>
    <t>Cuadro 2. Exportaciones de vino con denominación de origen por rangos de precios 
2020 - 2021 - 2022</t>
  </si>
  <si>
    <t>Val 2022</t>
  </si>
  <si>
    <t>Vol 2022</t>
  </si>
  <si>
    <t>Catastro 2021</t>
  </si>
  <si>
    <t>Aysen</t>
  </si>
  <si>
    <t>Producción de vinos con DO por variedad año 2022</t>
  </si>
  <si>
    <t>Pisco**</t>
  </si>
  <si>
    <t>** Para el año 2022 incluye exportaciones de pisco y otros destilados de uva u orujos de uva.</t>
  </si>
  <si>
    <t>Suiza</t>
  </si>
  <si>
    <t>Paraguay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</si>
</sst>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_ * #,##0.0_ ;_ * \-#,##0.0_ ;_ * &quot;-&quot;_ ;_ @_ "/>
    <numFmt numFmtId="173" formatCode="_ * #,##0.0_ ;_ * \-#,##0.0_ ;_ * &quot;-&quot;?_ ;_ @_ "/>
    <numFmt numFmtId="174" formatCode="#,##0.000"/>
    <numFmt numFmtId="175" formatCode="_ * #,##0.00_ ;_ * \-#,##0.00_ ;_ * &quot;-&quot;_ ;_ @_ "/>
    <numFmt numFmtId="176" formatCode="0.000"/>
    <numFmt numFmtId="177" formatCode="0.0000"/>
  </numFmts>
  <fonts count="68"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b/>
      <sz val="10"/>
      <name val="Arial"/>
      <family val="2"/>
    </font>
    <font>
      <sz val="11"/>
      <color rgb="FF000000"/>
      <name val="Calibri"/>
      <family val="2"/>
      <scheme val="minor"/>
    </font>
    <font>
      <sz val="10"/>
      <color theme="1"/>
      <name val="Arial"/>
      <family val="2"/>
    </font>
    <font>
      <sz val="9"/>
      <color indexed="8"/>
      <name val="Arial"/>
      <family val="2"/>
    </font>
    <font>
      <i/>
      <sz val="10"/>
      <color indexed="8"/>
      <name val="Arial"/>
      <family val="2"/>
    </font>
    <font>
      <sz val="10"/>
      <color indexed="8"/>
      <name val="Arial"/>
      <family val="2"/>
    </font>
    <font>
      <i/>
      <sz val="9"/>
      <color indexed="8"/>
      <name val="Arial"/>
      <family val="2"/>
    </font>
    <font>
      <b/>
      <sz val="9"/>
      <name val="Calibri"/>
      <family val="2"/>
      <scheme val="minor"/>
    </font>
  </fonts>
  <fills count="43">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s>
  <borders count="8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style="thin">
        <color rgb="FF999999"/>
      </left>
      <right/>
      <top/>
      <bottom/>
      <diagonal/>
    </border>
    <border>
      <left/>
      <right style="thin">
        <color rgb="FF999999"/>
      </right>
      <top/>
      <bottom/>
      <diagonal/>
    </border>
    <border>
      <left style="thin">
        <color auto="1"/>
      </left>
      <right/>
      <top style="medium">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06">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6" applyNumberFormat="0" applyAlignment="0" applyProtection="0"/>
    <xf numFmtId="0" fontId="27" fillId="10" borderId="17" applyNumberFormat="0" applyAlignment="0" applyProtection="0"/>
    <xf numFmtId="0" fontId="28" fillId="10" borderId="16" applyNumberFormat="0" applyAlignment="0" applyProtection="0"/>
    <xf numFmtId="0" fontId="29" fillId="0" borderId="18" applyNumberFormat="0" applyFill="0" applyAlignment="0" applyProtection="0"/>
    <xf numFmtId="0" fontId="30" fillId="11" borderId="19" applyNumberFormat="0" applyAlignment="0" applyProtection="0"/>
    <xf numFmtId="0" fontId="31" fillId="0" borderId="0" applyNumberFormat="0" applyFill="0" applyBorder="0" applyAlignment="0" applyProtection="0"/>
    <xf numFmtId="0" fontId="1" fillId="12" borderId="20" applyNumberFormat="0" applyFont="0" applyAlignment="0" applyProtection="0"/>
    <xf numFmtId="0" fontId="32" fillId="0" borderId="0" applyNumberFormat="0" applyFill="0" applyBorder="0" applyAlignment="0" applyProtection="0"/>
    <xf numFmtId="0" fontId="2" fillId="0" borderId="21"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16" applyNumberFormat="0" applyAlignment="0" applyProtection="0"/>
    <xf numFmtId="0" fontId="30" fillId="11" borderId="19" applyNumberFormat="0" applyAlignment="0" applyProtection="0"/>
    <xf numFmtId="0" fontId="29" fillId="0" borderId="18"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16"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1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19" fillId="0" borderId="0" applyNumberFormat="0" applyFill="0" applyBorder="0" applyAlignment="0" applyProtection="0"/>
    <xf numFmtId="0" fontId="51" fillId="0" borderId="21" applyNumberFormat="0" applyFill="0" applyAlignment="0" applyProtection="0"/>
    <xf numFmtId="0" fontId="2" fillId="0" borderId="21"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47" fillId="0" borderId="0" applyNumberFormat="0" applyFill="0" applyBorder="0" applyAlignment="0" applyProtection="0"/>
  </cellStyleXfs>
  <cellXfs count="463">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xf numFmtId="0" fontId="12" fillId="0" borderId="0" xfId="2" applyFont="1" applyAlignment="1">
      <alignment horizontal="left"/>
    </xf>
    <xf numFmtId="0" fontId="2" fillId="0" borderId="0" xfId="0" applyFont="1"/>
    <xf numFmtId="0" fontId="8" fillId="0" borderId="0" xfId="0" applyFont="1"/>
    <xf numFmtId="0" fontId="11" fillId="0" borderId="0" xfId="2" applyFont="1" applyAlignment="1">
      <alignment horizontal="left"/>
    </xf>
    <xf numFmtId="0" fontId="1" fillId="0" borderId="1" xfId="0" applyFont="1" applyBorder="1"/>
    <xf numFmtId="0" fontId="17" fillId="0" borderId="0" xfId="0" applyFont="1"/>
    <xf numFmtId="9" fontId="18" fillId="0" borderId="0" xfId="1" applyFont="1"/>
    <xf numFmtId="3" fontId="9" fillId="3" borderId="8" xfId="0" applyNumberFormat="1" applyFont="1" applyFill="1" applyBorder="1"/>
    <xf numFmtId="3" fontId="9" fillId="3" borderId="9" xfId="0" applyNumberFormat="1" applyFont="1" applyFill="1" applyBorder="1"/>
    <xf numFmtId="0" fontId="8" fillId="3" borderId="9" xfId="0" applyFont="1" applyFill="1" applyBorder="1"/>
    <xf numFmtId="0" fontId="8" fillId="4" borderId="10" xfId="0" applyFont="1" applyFill="1" applyBorder="1"/>
    <xf numFmtId="0" fontId="8" fillId="4" borderId="0" xfId="0" applyFont="1" applyFill="1"/>
    <xf numFmtId="3" fontId="8" fillId="5" borderId="10" xfId="0" applyNumberFormat="1" applyFont="1" applyFill="1" applyBorder="1"/>
    <xf numFmtId="3" fontId="8" fillId="5" borderId="0" xfId="0" applyNumberFormat="1" applyFont="1" applyFill="1"/>
    <xf numFmtId="3" fontId="8" fillId="5" borderId="11" xfId="0" applyNumberFormat="1" applyFont="1" applyFill="1" applyBorder="1"/>
    <xf numFmtId="3" fontId="8" fillId="5" borderId="12" xfId="0" applyNumberFormat="1" applyFont="1" applyFill="1" applyBorder="1"/>
    <xf numFmtId="2" fontId="8" fillId="5" borderId="12" xfId="0" applyNumberFormat="1" applyFont="1" applyFill="1" applyBorder="1"/>
    <xf numFmtId="169" fontId="0" fillId="0" borderId="0" xfId="0" applyNumberFormat="1"/>
    <xf numFmtId="3" fontId="0" fillId="0" borderId="0" xfId="0" applyNumberFormat="1"/>
    <xf numFmtId="169" fontId="12" fillId="0" borderId="0" xfId="47" applyNumberFormat="1"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0" fontId="35" fillId="0" borderId="0" xfId="50" applyFont="1" applyAlignment="1">
      <alignment horizontal="right"/>
    </xf>
    <xf numFmtId="41" fontId="56" fillId="0" borderId="0" xfId="5" applyFont="1"/>
    <xf numFmtId="41" fontId="52" fillId="0" borderId="0" xfId="5" applyFont="1"/>
    <xf numFmtId="2" fontId="56" fillId="0" borderId="0" xfId="50" applyNumberFormat="1" applyFont="1"/>
    <xf numFmtId="3" fontId="56" fillId="0" borderId="0" xfId="50" applyNumberFormat="1" applyFont="1"/>
    <xf numFmtId="169" fontId="56" fillId="0" borderId="0" xfId="50" applyNumberFormat="1" applyFont="1"/>
    <xf numFmtId="165" fontId="56" fillId="0" borderId="0" xfId="112" applyFont="1"/>
    <xf numFmtId="165" fontId="52" fillId="0" borderId="0" xfId="112" applyFont="1"/>
    <xf numFmtId="0" fontId="56" fillId="0" borderId="0" xfId="50" applyFont="1" applyAlignment="1">
      <alignment horizontal="right"/>
    </xf>
    <xf numFmtId="0" fontId="56" fillId="0" borderId="0" xfId="50" applyFont="1"/>
    <xf numFmtId="0" fontId="52" fillId="0" borderId="0" xfId="50" applyFont="1"/>
    <xf numFmtId="0" fontId="34" fillId="0" borderId="0" xfId="50" applyFont="1" applyAlignment="1">
      <alignment horizontal="left" vertical="center" wrapText="1"/>
    </xf>
    <xf numFmtId="0" fontId="8" fillId="0" borderId="24"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5" xfId="50" applyFont="1" applyFill="1" applyBorder="1" applyAlignment="1">
      <alignment horizontal="center" vertical="top" wrapText="1"/>
    </xf>
    <xf numFmtId="0" fontId="53" fillId="37" borderId="26" xfId="50" applyFont="1" applyFill="1" applyBorder="1" applyAlignment="1">
      <alignment horizontal="center" vertical="top" wrapText="1"/>
    </xf>
    <xf numFmtId="0" fontId="53" fillId="0" borderId="27" xfId="50" applyFont="1" applyBorder="1" applyAlignment="1">
      <alignment horizontal="center" vertical="top" wrapText="1"/>
    </xf>
    <xf numFmtId="3" fontId="53" fillId="0" borderId="28" xfId="50" applyNumberFormat="1" applyFont="1" applyBorder="1" applyAlignment="1">
      <alignment horizontal="center" vertical="top" wrapText="1"/>
    </xf>
    <xf numFmtId="3" fontId="53" fillId="0" borderId="28" xfId="50" applyNumberFormat="1" applyFont="1" applyBorder="1" applyAlignment="1">
      <alignment horizontal="center" wrapText="1"/>
    </xf>
    <xf numFmtId="168" fontId="37" fillId="0" borderId="0" xfId="50" applyNumberFormat="1"/>
    <xf numFmtId="0" fontId="53" fillId="0" borderId="29" xfId="50" applyFont="1" applyBorder="1" applyAlignment="1">
      <alignment horizontal="center" vertical="top" wrapText="1"/>
    </xf>
    <xf numFmtId="3" fontId="53" fillId="0" borderId="30" xfId="50" applyNumberFormat="1" applyFont="1" applyBorder="1" applyAlignment="1">
      <alignment horizontal="center" wrapText="1"/>
    </xf>
    <xf numFmtId="3" fontId="53" fillId="0" borderId="30" xfId="50" applyNumberFormat="1" applyFont="1" applyBorder="1" applyAlignment="1">
      <alignment horizontal="center" vertical="top" wrapText="1"/>
    </xf>
    <xf numFmtId="168" fontId="37" fillId="0" borderId="0" xfId="338" applyNumberFormat="1"/>
    <xf numFmtId="0" fontId="8" fillId="0" borderId="0" xfId="50" applyFont="1"/>
    <xf numFmtId="2" fontId="0" fillId="0" borderId="0" xfId="0" applyNumberFormat="1"/>
    <xf numFmtId="41" fontId="0" fillId="0" borderId="0" xfId="0" applyNumberFormat="1"/>
    <xf numFmtId="41" fontId="8" fillId="0" borderId="0" xfId="50" applyNumberFormat="1" applyFont="1"/>
    <xf numFmtId="168" fontId="0" fillId="0" borderId="0" xfId="1" applyNumberFormat="1" applyFont="1"/>
    <xf numFmtId="0" fontId="59" fillId="0" borderId="0" xfId="0" applyFont="1" applyAlignment="1">
      <alignment horizontal="justify" vertical="center" wrapText="1"/>
    </xf>
    <xf numFmtId="0" fontId="2" fillId="0" borderId="39" xfId="0" applyFont="1" applyBorder="1"/>
    <xf numFmtId="0" fontId="11" fillId="0" borderId="39" xfId="2" applyFont="1" applyBorder="1" applyAlignment="1">
      <alignment horizontal="left"/>
    </xf>
    <xf numFmtId="0" fontId="8" fillId="0" borderId="36" xfId="50" applyFont="1" applyBorder="1" applyAlignment="1">
      <alignment horizontal="center"/>
    </xf>
    <xf numFmtId="0" fontId="8" fillId="0" borderId="38" xfId="50" applyFont="1" applyBorder="1"/>
    <xf numFmtId="0" fontId="8" fillId="0" borderId="38" xfId="50" applyFont="1" applyBorder="1" applyAlignment="1">
      <alignment horizontal="left" vertical="center"/>
    </xf>
    <xf numFmtId="3" fontId="53" fillId="41" borderId="30" xfId="50" applyNumberFormat="1" applyFont="1" applyFill="1" applyBorder="1" applyAlignment="1">
      <alignment horizontal="center" wrapText="1"/>
    </xf>
    <xf numFmtId="41" fontId="0" fillId="0" borderId="0" xfId="5" applyFont="1"/>
    <xf numFmtId="0" fontId="0" fillId="0" borderId="42" xfId="0" applyBorder="1"/>
    <xf numFmtId="0" fontId="0" fillId="0" borderId="42" xfId="0" applyBorder="1" applyAlignment="1">
      <alignment horizontal="center"/>
    </xf>
    <xf numFmtId="0" fontId="8" fillId="0" borderId="42" xfId="0" applyFont="1" applyBorder="1"/>
    <xf numFmtId="41" fontId="8" fillId="0" borderId="42" xfId="5" applyFont="1" applyBorder="1"/>
    <xf numFmtId="169" fontId="8" fillId="0" borderId="42" xfId="1" applyNumberFormat="1" applyFont="1" applyBorder="1"/>
    <xf numFmtId="3" fontId="1" fillId="0" borderId="42" xfId="0" applyNumberFormat="1" applyFont="1" applyBorder="1"/>
    <xf numFmtId="0" fontId="2" fillId="0" borderId="42" xfId="0" applyFont="1" applyBorder="1" applyAlignment="1">
      <alignment horizontal="left" vertical="center"/>
    </xf>
    <xf numFmtId="3" fontId="2" fillId="0" borderId="42" xfId="0" applyNumberFormat="1" applyFont="1" applyBorder="1"/>
    <xf numFmtId="0" fontId="1" fillId="0" borderId="42" xfId="0" applyFont="1" applyBorder="1" applyAlignment="1">
      <alignment horizontal="center" vertical="center"/>
    </xf>
    <xf numFmtId="0" fontId="2" fillId="0" borderId="42" xfId="0" applyFont="1" applyBorder="1"/>
    <xf numFmtId="3" fontId="1" fillId="0" borderId="42" xfId="0" applyNumberFormat="1" applyFont="1" applyBorder="1" applyAlignment="1">
      <alignment horizontal="left"/>
    </xf>
    <xf numFmtId="3" fontId="1" fillId="0" borderId="42" xfId="0" applyNumberFormat="1" applyFont="1" applyBorder="1" applyAlignment="1">
      <alignment horizontal="right"/>
    </xf>
    <xf numFmtId="3" fontId="2" fillId="0" borderId="42" xfId="0" applyNumberFormat="1" applyFont="1" applyBorder="1" applyAlignment="1">
      <alignment horizontal="right" vertical="center"/>
    </xf>
    <xf numFmtId="3" fontId="1" fillId="0" borderId="42" xfId="0" applyNumberFormat="1" applyFont="1" applyBorder="1" applyAlignment="1">
      <alignment horizontal="right" vertical="center"/>
    </xf>
    <xf numFmtId="3" fontId="2" fillId="0" borderId="42" xfId="0" applyNumberFormat="1" applyFont="1" applyBorder="1" applyAlignment="1">
      <alignment horizontal="right"/>
    </xf>
    <xf numFmtId="0" fontId="54" fillId="0" borderId="42" xfId="50" applyFont="1" applyBorder="1"/>
    <xf numFmtId="0" fontId="36" fillId="0" borderId="42" xfId="50" applyFont="1" applyBorder="1"/>
    <xf numFmtId="0" fontId="36" fillId="0" borderId="42" xfId="50" applyFont="1" applyBorder="1" applyAlignment="1">
      <alignment vertical="center"/>
    </xf>
    <xf numFmtId="0" fontId="44" fillId="0" borderId="42" xfId="50" applyFont="1" applyBorder="1"/>
    <xf numFmtId="0" fontId="36" fillId="40" borderId="42" xfId="50" applyFont="1" applyFill="1" applyBorder="1"/>
    <xf numFmtId="168" fontId="36" fillId="40" borderId="42" xfId="338" applyNumberFormat="1" applyFont="1" applyFill="1" applyBorder="1" applyAlignment="1">
      <alignment horizontal="center"/>
    </xf>
    <xf numFmtId="9" fontId="36" fillId="40" borderId="42" xfId="338" applyFont="1" applyFill="1" applyBorder="1" applyAlignment="1">
      <alignment horizontal="center"/>
    </xf>
    <xf numFmtId="9" fontId="36" fillId="40" borderId="42" xfId="1" applyFont="1" applyFill="1" applyBorder="1" applyAlignment="1">
      <alignment horizontal="center"/>
    </xf>
    <xf numFmtId="0" fontId="8" fillId="0" borderId="42" xfId="50" applyFont="1" applyBorder="1" applyAlignment="1">
      <alignment horizontal="left" vertical="center"/>
    </xf>
    <xf numFmtId="41" fontId="8" fillId="0" borderId="42" xfId="5" applyFont="1" applyBorder="1" applyAlignment="1"/>
    <xf numFmtId="0" fontId="8" fillId="0" borderId="42" xfId="50" applyFont="1" applyBorder="1"/>
    <xf numFmtId="3" fontId="8" fillId="0" borderId="42" xfId="50" applyNumberFormat="1" applyFont="1" applyBorder="1"/>
    <xf numFmtId="9" fontId="8" fillId="0" borderId="42" xfId="50" applyNumberFormat="1" applyFont="1" applyBorder="1"/>
    <xf numFmtId="3" fontId="1" fillId="0" borderId="42" xfId="2" applyNumberFormat="1" applyBorder="1"/>
    <xf numFmtId="0" fontId="1" fillId="0" borderId="42" xfId="2" applyBorder="1"/>
    <xf numFmtId="0" fontId="0" fillId="0" borderId="42" xfId="2" applyFont="1" applyBorder="1"/>
    <xf numFmtId="3" fontId="2" fillId="0" borderId="42" xfId="50" applyNumberFormat="1" applyFont="1" applyBorder="1"/>
    <xf numFmtId="3" fontId="2" fillId="0" borderId="42" xfId="2" applyNumberFormat="1" applyFont="1" applyBorder="1"/>
    <xf numFmtId="3" fontId="1" fillId="0" borderId="42" xfId="50" applyNumberFormat="1" applyFont="1" applyBorder="1"/>
    <xf numFmtId="3" fontId="11" fillId="0" borderId="42" xfId="281" applyNumberFormat="1" applyFont="1" applyBorder="1"/>
    <xf numFmtId="0" fontId="1" fillId="0" borderId="42" xfId="50" applyFont="1" applyBorder="1" applyAlignment="1">
      <alignment horizontal="center" vertical="center"/>
    </xf>
    <xf numFmtId="0" fontId="0" fillId="0" borderId="42" xfId="50" applyFont="1" applyBorder="1" applyAlignment="1">
      <alignment horizontal="center" vertical="center"/>
    </xf>
    <xf numFmtId="0" fontId="2" fillId="0" borderId="42" xfId="50" applyFont="1" applyBorder="1" applyAlignment="1">
      <alignment horizontal="center" vertical="center"/>
    </xf>
    <xf numFmtId="0" fontId="9" fillId="0" borderId="42" xfId="50" applyFont="1" applyBorder="1" applyAlignment="1">
      <alignment horizontal="center" vertical="center"/>
    </xf>
    <xf numFmtId="3" fontId="8" fillId="39" borderId="42" xfId="50" applyNumberFormat="1" applyFont="1" applyFill="1" applyBorder="1"/>
    <xf numFmtId="0" fontId="13" fillId="0" borderId="42" xfId="50" applyFont="1" applyBorder="1" applyAlignment="1">
      <alignment horizontal="center" vertical="center"/>
    </xf>
    <xf numFmtId="167" fontId="12" fillId="0" borderId="42" xfId="50" applyNumberFormat="1" applyFont="1" applyBorder="1" applyAlignment="1">
      <alignment horizontal="right" vertical="center"/>
    </xf>
    <xf numFmtId="3" fontId="13" fillId="0" borderId="42" xfId="50" applyNumberFormat="1" applyFont="1" applyBorder="1" applyAlignment="1">
      <alignment horizontal="right" vertical="center"/>
    </xf>
    <xf numFmtId="3" fontId="36" fillId="0" borderId="42" xfId="50" applyNumberFormat="1" applyFont="1" applyBorder="1"/>
    <xf numFmtId="0" fontId="36" fillId="0" borderId="42" xfId="50" applyFont="1" applyBorder="1" applyAlignment="1">
      <alignment horizontal="center" vertical="center"/>
    </xf>
    <xf numFmtId="3" fontId="36" fillId="0" borderId="42" xfId="50" applyNumberFormat="1" applyFont="1" applyBorder="1" applyAlignment="1">
      <alignment vertical="center"/>
    </xf>
    <xf numFmtId="0" fontId="9" fillId="0" borderId="42" xfId="0" applyFont="1" applyBorder="1"/>
    <xf numFmtId="41" fontId="9" fillId="0" borderId="42" xfId="5" applyFont="1" applyBorder="1"/>
    <xf numFmtId="169" fontId="9" fillId="0" borderId="42" xfId="1" applyNumberFormat="1" applyFont="1" applyBorder="1"/>
    <xf numFmtId="9" fontId="1" fillId="0" borderId="42" xfId="4" applyNumberFormat="1" applyFont="1" applyBorder="1" applyAlignment="1">
      <alignment horizontal="right" vertical="center" wrapText="1"/>
    </xf>
    <xf numFmtId="9" fontId="1" fillId="0" borderId="42" xfId="4" applyNumberFormat="1" applyFont="1" applyBorder="1" applyAlignment="1">
      <alignment horizontal="right" wrapText="1"/>
    </xf>
    <xf numFmtId="9" fontId="2" fillId="0" borderId="42" xfId="4" applyNumberFormat="1" applyFont="1" applyBorder="1" applyAlignment="1">
      <alignment horizontal="right" vertical="center" wrapText="1"/>
    </xf>
    <xf numFmtId="41" fontId="0" fillId="0" borderId="0" xfId="115" applyFont="1"/>
    <xf numFmtId="172" fontId="0" fillId="0" borderId="0" xfId="0" applyNumberFormat="1"/>
    <xf numFmtId="41" fontId="0" fillId="0" borderId="0" xfId="115" applyFont="1" applyFill="1"/>
    <xf numFmtId="9" fontId="1" fillId="0" borderId="42" xfId="1" applyBorder="1" applyAlignment="1">
      <alignment horizontal="right" vertical="center"/>
    </xf>
    <xf numFmtId="168" fontId="1" fillId="0" borderId="42" xfId="1" applyNumberFormat="1" applyBorder="1" applyAlignment="1">
      <alignment horizontal="right" vertical="center"/>
    </xf>
    <xf numFmtId="0" fontId="36" fillId="0" borderId="42" xfId="50" applyFont="1" applyBorder="1" applyAlignment="1">
      <alignment horizontal="center" vertical="center" wrapText="1"/>
    </xf>
    <xf numFmtId="0" fontId="8" fillId="0" borderId="42" xfId="50" applyFont="1" applyBorder="1" applyAlignment="1">
      <alignment horizontal="center"/>
    </xf>
    <xf numFmtId="3" fontId="11" fillId="0" borderId="42" xfId="50" applyNumberFormat="1" applyFont="1" applyBorder="1"/>
    <xf numFmtId="0" fontId="11" fillId="0" borderId="42" xfId="50" applyFont="1" applyBorder="1" applyAlignment="1">
      <alignment horizontal="center"/>
    </xf>
    <xf numFmtId="0" fontId="2" fillId="0" borderId="42" xfId="50" applyFont="1" applyBorder="1" applyAlignment="1">
      <alignment horizontal="center"/>
    </xf>
    <xf numFmtId="0" fontId="36" fillId="0" borderId="45" xfId="50" applyFont="1" applyBorder="1" applyAlignment="1">
      <alignment horizontal="center" vertical="center" wrapText="1"/>
    </xf>
    <xf numFmtId="0" fontId="36" fillId="0" borderId="42" xfId="50" applyFont="1" applyBorder="1" applyAlignment="1">
      <alignment vertical="center" wrapText="1"/>
    </xf>
    <xf numFmtId="3" fontId="36" fillId="0" borderId="42" xfId="50" applyNumberFormat="1" applyFont="1" applyBorder="1" applyAlignment="1">
      <alignment horizontal="right"/>
    </xf>
    <xf numFmtId="0" fontId="1" fillId="0" borderId="42" xfId="50" applyFont="1" applyBorder="1" applyAlignment="1">
      <alignment horizontal="right" vertical="center"/>
    </xf>
    <xf numFmtId="0" fontId="1" fillId="0" borderId="42" xfId="50" applyFont="1" applyBorder="1" applyAlignment="1">
      <alignment horizontal="right" vertical="center" wrapText="1"/>
    </xf>
    <xf numFmtId="3" fontId="1" fillId="0" borderId="42" xfId="50" applyNumberFormat="1" applyFont="1" applyBorder="1" applyAlignment="1">
      <alignment horizontal="right" vertical="center"/>
    </xf>
    <xf numFmtId="168" fontId="1" fillId="0" borderId="42" xfId="338" applyNumberFormat="1" applyFont="1" applyBorder="1" applyAlignment="1">
      <alignment horizontal="right" vertical="center"/>
    </xf>
    <xf numFmtId="3" fontId="2" fillId="0" borderId="42" xfId="50" applyNumberFormat="1" applyFont="1" applyBorder="1" applyAlignment="1">
      <alignment horizontal="right" vertical="center"/>
    </xf>
    <xf numFmtId="9" fontId="1" fillId="0" borderId="42" xfId="1" applyFont="1" applyBorder="1" applyAlignment="1">
      <alignment horizontal="right" vertical="center"/>
    </xf>
    <xf numFmtId="168" fontId="1" fillId="0" borderId="42" xfId="338" quotePrefix="1" applyNumberFormat="1" applyFont="1" applyBorder="1" applyAlignment="1">
      <alignment horizontal="right" vertical="center"/>
    </xf>
    <xf numFmtId="167" fontId="1" fillId="0" borderId="42" xfId="50" applyNumberFormat="1" applyFont="1" applyBorder="1" applyAlignment="1">
      <alignment horizontal="right" vertical="center"/>
    </xf>
    <xf numFmtId="168" fontId="1" fillId="0" borderId="42" xfId="1" applyNumberFormat="1" applyFont="1" applyBorder="1" applyAlignment="1">
      <alignment horizontal="right" vertical="center"/>
    </xf>
    <xf numFmtId="167" fontId="12" fillId="0" borderId="5" xfId="0" applyNumberFormat="1" applyFont="1" applyBorder="1" applyAlignment="1">
      <alignment horizontal="right" vertical="center"/>
    </xf>
    <xf numFmtId="168" fontId="13" fillId="0" borderId="33" xfId="3" applyNumberFormat="1" applyFont="1" applyBorder="1" applyAlignment="1">
      <alignment horizontal="right" vertical="center"/>
    </xf>
    <xf numFmtId="4" fontId="12" fillId="0" borderId="42" xfId="0" applyNumberFormat="1" applyFont="1" applyBorder="1" applyAlignment="1">
      <alignment horizontal="right" vertical="center"/>
    </xf>
    <xf numFmtId="4" fontId="12" fillId="0" borderId="6" xfId="0" applyNumberFormat="1" applyFont="1" applyBorder="1" applyAlignment="1">
      <alignment horizontal="right" vertical="center"/>
    </xf>
    <xf numFmtId="168" fontId="13" fillId="0" borderId="7" xfId="3" applyNumberFormat="1" applyFont="1" applyBorder="1" applyAlignment="1">
      <alignment horizontal="right" vertical="center"/>
    </xf>
    <xf numFmtId="172" fontId="8" fillId="0" borderId="42" xfId="5" applyNumberFormat="1" applyFont="1" applyBorder="1"/>
    <xf numFmtId="9" fontId="1" fillId="0" borderId="42" xfId="1" applyFont="1" applyBorder="1" applyAlignment="1">
      <alignment horizontal="right" vertical="center" wrapText="1"/>
    </xf>
    <xf numFmtId="9" fontId="2" fillId="0" borderId="42" xfId="1" applyFont="1" applyBorder="1" applyAlignment="1">
      <alignment horizontal="right" vertical="center" wrapText="1"/>
    </xf>
    <xf numFmtId="14" fontId="0" fillId="0" borderId="0" xfId="0" applyNumberFormat="1"/>
    <xf numFmtId="172" fontId="0" fillId="0" borderId="0" xfId="5" applyNumberFormat="1" applyFont="1"/>
    <xf numFmtId="9" fontId="0" fillId="0" borderId="0" xfId="1" applyFont="1"/>
    <xf numFmtId="173" fontId="0" fillId="0" borderId="0" xfId="0" applyNumberFormat="1"/>
    <xf numFmtId="1" fontId="0" fillId="0" borderId="0" xfId="0" applyNumberFormat="1"/>
    <xf numFmtId="167" fontId="8" fillId="0" borderId="0" xfId="0" applyNumberFormat="1" applyFont="1"/>
    <xf numFmtId="169" fontId="0" fillId="0" borderId="42" xfId="0" applyNumberFormat="1" applyBorder="1" applyAlignment="1">
      <alignment horizontal="right"/>
    </xf>
    <xf numFmtId="174" fontId="8" fillId="0" borderId="0" xfId="0" applyNumberFormat="1" applyFont="1"/>
    <xf numFmtId="0" fontId="1" fillId="0" borderId="42" xfId="0" applyFont="1" applyBorder="1"/>
    <xf numFmtId="41" fontId="0" fillId="0" borderId="50" xfId="0" applyNumberFormat="1" applyBorder="1"/>
    <xf numFmtId="41" fontId="0" fillId="0" borderId="49" xfId="0" applyNumberFormat="1" applyBorder="1"/>
    <xf numFmtId="169" fontId="0" fillId="0" borderId="42" xfId="0" applyNumberFormat="1" applyBorder="1"/>
    <xf numFmtId="9" fontId="0" fillId="0" borderId="42" xfId="1" applyFont="1" applyBorder="1" applyAlignment="1"/>
    <xf numFmtId="9" fontId="0" fillId="0" borderId="42" xfId="1" applyFont="1" applyBorder="1" applyAlignment="1">
      <alignment horizontal="right"/>
    </xf>
    <xf numFmtId="0" fontId="8" fillId="0" borderId="53" xfId="0" applyFont="1" applyBorder="1"/>
    <xf numFmtId="0" fontId="8" fillId="0" borderId="0" xfId="0" applyFont="1" applyAlignment="1">
      <alignment horizontal="center"/>
    </xf>
    <xf numFmtId="0" fontId="8" fillId="0" borderId="0" xfId="0" applyFont="1" applyAlignment="1">
      <alignment horizontal="center" vertical="center" wrapText="1"/>
    </xf>
    <xf numFmtId="169" fontId="9" fillId="0" borderId="0" xfId="1" applyNumberFormat="1" applyFont="1" applyBorder="1"/>
    <xf numFmtId="169" fontId="8" fillId="0" borderId="0" xfId="1" applyNumberFormat="1" applyFont="1" applyBorder="1"/>
    <xf numFmtId="172" fontId="8" fillId="0" borderId="0" xfId="5" applyNumberFormat="1" applyFont="1" applyBorder="1"/>
    <xf numFmtId="9" fontId="8" fillId="0" borderId="0" xfId="1" applyFont="1" applyBorder="1"/>
    <xf numFmtId="0" fontId="34" fillId="0" borderId="0" xfId="0" applyFont="1" applyAlignment="1">
      <alignment horizontal="left"/>
    </xf>
    <xf numFmtId="3" fontId="0" fillId="0" borderId="63" xfId="0" applyNumberFormat="1" applyBorder="1"/>
    <xf numFmtId="0" fontId="0" fillId="0" borderId="63" xfId="0" applyBorder="1"/>
    <xf numFmtId="9" fontId="1" fillId="0" borderId="42" xfId="1" applyFont="1" applyBorder="1" applyAlignment="1">
      <alignment horizontal="right"/>
    </xf>
    <xf numFmtId="9" fontId="2" fillId="0" borderId="42" xfId="1" applyFont="1" applyBorder="1" applyAlignment="1">
      <alignment horizontal="right"/>
    </xf>
    <xf numFmtId="172" fontId="0" fillId="0" borderId="0" xfId="115" applyNumberFormat="1" applyFont="1"/>
    <xf numFmtId="41" fontId="8" fillId="0" borderId="42" xfId="5" applyFont="1" applyFill="1" applyBorder="1"/>
    <xf numFmtId="41" fontId="0" fillId="0" borderId="0" xfId="5" applyFont="1" applyBorder="1"/>
    <xf numFmtId="175" fontId="0" fillId="0" borderId="0" xfId="5" applyNumberFormat="1" applyFont="1" applyBorder="1"/>
    <xf numFmtId="41" fontId="0" fillId="0" borderId="0" xfId="5" applyFont="1" applyFill="1" applyBorder="1" applyAlignment="1">
      <alignment horizontal="right"/>
    </xf>
    <xf numFmtId="0" fontId="36" fillId="0" borderId="0" xfId="0" applyFont="1"/>
    <xf numFmtId="2" fontId="36" fillId="0" borderId="0" xfId="0" applyNumberFormat="1" applyFont="1"/>
    <xf numFmtId="41" fontId="36" fillId="0" borderId="0" xfId="5" applyFont="1" applyBorder="1"/>
    <xf numFmtId="41" fontId="36" fillId="0" borderId="0" xfId="5" applyFont="1"/>
    <xf numFmtId="17" fontId="0" fillId="0" borderId="0" xfId="0" applyNumberFormat="1"/>
    <xf numFmtId="0" fontId="60" fillId="38" borderId="64" xfId="0" applyFont="1" applyFill="1" applyBorder="1" applyAlignment="1">
      <alignment horizontal="center" vertical="center" wrapText="1"/>
    </xf>
    <xf numFmtId="1" fontId="62" fillId="0" borderId="65" xfId="0" applyNumberFormat="1" applyFont="1" applyBorder="1" applyAlignment="1">
      <alignment horizontal="left" vertical="center" wrapText="1"/>
    </xf>
    <xf numFmtId="1" fontId="62" fillId="0" borderId="66" xfId="0" applyNumberFormat="1" applyFont="1" applyBorder="1" applyAlignment="1">
      <alignment horizontal="left" vertical="center" wrapText="1"/>
    </xf>
    <xf numFmtId="0" fontId="63" fillId="0" borderId="0" xfId="0" applyFont="1" applyAlignment="1">
      <alignment horizontal="left" vertical="center" wrapText="1"/>
    </xf>
    <xf numFmtId="0" fontId="52" fillId="0" borderId="0" xfId="0" applyFont="1" applyAlignment="1">
      <alignment horizontal="left" vertical="center" wrapText="1"/>
    </xf>
    <xf numFmtId="0" fontId="62" fillId="0" borderId="0" xfId="0" applyFont="1"/>
    <xf numFmtId="3" fontId="62" fillId="0" borderId="67" xfId="0" applyNumberFormat="1" applyFont="1" applyBorder="1" applyAlignment="1">
      <alignment horizontal="right" vertical="center" wrapText="1"/>
    </xf>
    <xf numFmtId="3" fontId="62" fillId="0" borderId="68" xfId="0" applyNumberFormat="1" applyFont="1" applyBorder="1" applyAlignment="1">
      <alignment horizontal="right" vertical="center" wrapText="1"/>
    </xf>
    <xf numFmtId="0" fontId="2" fillId="0" borderId="5" xfId="0" quotePrefix="1" applyFont="1" applyBorder="1" applyAlignment="1">
      <alignment horizontal="center" vertical="center" wrapText="1"/>
    </xf>
    <xf numFmtId="0" fontId="2" fillId="0" borderId="6" xfId="0" quotePrefix="1" applyFont="1" applyBorder="1" applyAlignment="1">
      <alignment horizontal="center" vertical="center" wrapText="1"/>
    </xf>
    <xf numFmtId="3" fontId="2" fillId="0" borderId="6" xfId="0" quotePrefix="1" applyNumberFormat="1" applyFont="1" applyBorder="1" applyAlignment="1">
      <alignment horizontal="center" vertical="center" wrapText="1"/>
    </xf>
    <xf numFmtId="14" fontId="2" fillId="0" borderId="6" xfId="0" quotePrefix="1" applyNumberFormat="1" applyFont="1" applyBorder="1" applyAlignment="1">
      <alignment horizontal="center" vertical="center" wrapText="1"/>
    </xf>
    <xf numFmtId="0" fontId="2" fillId="0" borderId="7" xfId="0" quotePrefix="1" applyFont="1" applyBorder="1" applyAlignment="1">
      <alignment horizontal="center" vertical="center" wrapText="1"/>
    </xf>
    <xf numFmtId="0" fontId="0" fillId="0" borderId="32" xfId="0" quotePrefix="1" applyBorder="1" applyAlignment="1">
      <alignment vertical="center"/>
    </xf>
    <xf numFmtId="0" fontId="0" fillId="0" borderId="63" xfId="0" quotePrefix="1" applyBorder="1" applyAlignment="1">
      <alignment vertical="center"/>
    </xf>
    <xf numFmtId="3" fontId="0" fillId="0" borderId="63" xfId="0" quotePrefix="1" applyNumberFormat="1" applyBorder="1" applyAlignment="1">
      <alignment horizontal="center" vertical="center"/>
    </xf>
    <xf numFmtId="14" fontId="0" fillId="0" borderId="63" xfId="0" applyNumberFormat="1" applyBorder="1" applyAlignment="1">
      <alignment horizontal="center" vertical="center"/>
    </xf>
    <xf numFmtId="0" fontId="0" fillId="0" borderId="63" xfId="0" quotePrefix="1" applyBorder="1" applyAlignment="1">
      <alignment vertical="center" wrapText="1"/>
    </xf>
    <xf numFmtId="0" fontId="0" fillId="0" borderId="0" xfId="0" applyAlignment="1">
      <alignment vertical="center"/>
    </xf>
    <xf numFmtId="0" fontId="0" fillId="0" borderId="33" xfId="0" quotePrefix="1" applyBorder="1" applyAlignment="1">
      <alignment vertical="center"/>
    </xf>
    <xf numFmtId="0" fontId="0" fillId="0" borderId="41" xfId="0" quotePrefix="1" applyBorder="1" applyAlignment="1">
      <alignment vertical="center"/>
    </xf>
    <xf numFmtId="0" fontId="0" fillId="0" borderId="0" xfId="0" quotePrefix="1" applyAlignment="1">
      <alignment vertical="center"/>
    </xf>
    <xf numFmtId="3" fontId="0" fillId="0" borderId="0" xfId="0" quotePrefix="1" applyNumberFormat="1" applyAlignment="1">
      <alignment vertical="center"/>
    </xf>
    <xf numFmtId="14" fontId="0" fillId="0" borderId="0" xfId="0" applyNumberFormat="1" applyAlignment="1">
      <alignment vertical="center"/>
    </xf>
    <xf numFmtId="3" fontId="0" fillId="0" borderId="0" xfId="0" quotePrefix="1" applyNumberFormat="1" applyAlignment="1">
      <alignment horizontal="center" vertical="center"/>
    </xf>
    <xf numFmtId="14" fontId="0" fillId="0" borderId="0" xfId="0" applyNumberFormat="1" applyAlignment="1">
      <alignment horizontal="center" vertical="center"/>
    </xf>
    <xf numFmtId="0" fontId="0" fillId="0" borderId="0" xfId="0" quotePrefix="1" applyAlignment="1">
      <alignment vertical="center" wrapText="1"/>
    </xf>
    <xf numFmtId="0" fontId="65" fillId="0" borderId="0" xfId="0" applyFont="1" applyAlignment="1">
      <alignment horizontal="left" vertical="center" wrapText="1"/>
    </xf>
    <xf numFmtId="0" fontId="8" fillId="0" borderId="33" xfId="0" quotePrefix="1" applyFont="1" applyBorder="1" applyAlignment="1">
      <alignment vertical="center" wrapText="1"/>
    </xf>
    <xf numFmtId="0" fontId="34" fillId="0" borderId="33" xfId="0" quotePrefix="1" applyFont="1" applyBorder="1" applyAlignment="1">
      <alignment vertical="center" wrapText="1"/>
    </xf>
    <xf numFmtId="168" fontId="1" fillId="0" borderId="42" xfId="1" applyNumberFormat="1" applyFont="1" applyBorder="1" applyAlignment="1">
      <alignment horizontal="right"/>
    </xf>
    <xf numFmtId="168" fontId="2" fillId="0" borderId="42" xfId="1" applyNumberFormat="1" applyFont="1" applyBorder="1" applyAlignment="1">
      <alignment horizontal="right"/>
    </xf>
    <xf numFmtId="10" fontId="0" fillId="0" borderId="0" xfId="1" applyNumberFormat="1" applyFont="1"/>
    <xf numFmtId="168" fontId="0" fillId="0" borderId="0" xfId="0" applyNumberFormat="1"/>
    <xf numFmtId="167" fontId="36" fillId="0" borderId="42" xfId="50" applyNumberFormat="1" applyFont="1" applyBorder="1" applyAlignment="1">
      <alignment horizontal="right"/>
    </xf>
    <xf numFmtId="175" fontId="0" fillId="0" borderId="0" xfId="5" applyNumberFormat="1" applyFont="1" applyFill="1" applyBorder="1"/>
    <xf numFmtId="0" fontId="47" fillId="0" borderId="0" xfId="405" applyBorder="1" applyAlignment="1">
      <alignment horizontal="left" vertical="center" wrapText="1"/>
    </xf>
    <xf numFmtId="0" fontId="47" fillId="0" borderId="0" xfId="405" applyAlignment="1">
      <alignment horizontal="center"/>
    </xf>
    <xf numFmtId="0" fontId="47" fillId="0" borderId="0" xfId="405" applyFill="1" applyAlignment="1">
      <alignment horizontal="center"/>
    </xf>
    <xf numFmtId="0" fontId="0" fillId="0" borderId="72" xfId="0" applyBorder="1"/>
    <xf numFmtId="0" fontId="8" fillId="0" borderId="0" xfId="0" quotePrefix="1" applyFont="1" applyAlignment="1">
      <alignment vertical="center" wrapText="1"/>
    </xf>
    <xf numFmtId="0" fontId="47" fillId="0" borderId="52" xfId="405" applyBorder="1" applyAlignment="1">
      <alignment horizontal="left" vertical="center" wrapText="1"/>
    </xf>
    <xf numFmtId="0" fontId="0" fillId="0" borderId="73" xfId="0" quotePrefix="1" applyBorder="1" applyAlignment="1">
      <alignment vertical="center"/>
    </xf>
    <xf numFmtId="3" fontId="0" fillId="0" borderId="73" xfId="0" quotePrefix="1" applyNumberFormat="1" applyBorder="1" applyAlignment="1">
      <alignment horizontal="center" vertical="center"/>
    </xf>
    <xf numFmtId="14" fontId="0" fillId="0" borderId="73" xfId="0" applyNumberFormat="1" applyBorder="1" applyAlignment="1">
      <alignment horizontal="center" vertical="center"/>
    </xf>
    <xf numFmtId="0" fontId="8" fillId="0" borderId="73" xfId="0" quotePrefix="1" applyFont="1" applyBorder="1" applyAlignment="1">
      <alignment vertical="center" wrapText="1"/>
    </xf>
    <xf numFmtId="0" fontId="0" fillId="0" borderId="74" xfId="0" quotePrefix="1" applyBorder="1" applyAlignment="1">
      <alignment vertical="center" wrapText="1"/>
    </xf>
    <xf numFmtId="3" fontId="0" fillId="0" borderId="74" xfId="0" quotePrefix="1" applyNumberFormat="1" applyBorder="1" applyAlignment="1">
      <alignment horizontal="center" vertical="center"/>
    </xf>
    <xf numFmtId="14" fontId="0" fillId="0" borderId="74" xfId="0" applyNumberFormat="1" applyBorder="1" applyAlignment="1">
      <alignment horizontal="center" vertical="center"/>
    </xf>
    <xf numFmtId="0" fontId="0" fillId="0" borderId="52" xfId="0" quotePrefix="1" applyBorder="1" applyAlignment="1">
      <alignment vertical="center"/>
    </xf>
    <xf numFmtId="0" fontId="0" fillId="0" borderId="52" xfId="0" quotePrefix="1" applyBorder="1" applyAlignment="1">
      <alignment vertical="center" wrapText="1"/>
    </xf>
    <xf numFmtId="3" fontId="0" fillId="0" borderId="52" xfId="0" quotePrefix="1" applyNumberFormat="1" applyBorder="1" applyAlignment="1">
      <alignment horizontal="center" vertical="center"/>
    </xf>
    <xf numFmtId="14" fontId="0" fillId="0" borderId="52" xfId="0" applyNumberFormat="1" applyBorder="1" applyAlignment="1">
      <alignment horizontal="center" vertical="center"/>
    </xf>
    <xf numFmtId="0" fontId="8" fillId="0" borderId="52" xfId="0" quotePrefix="1" applyFont="1" applyBorder="1" applyAlignment="1">
      <alignment vertical="center" wrapText="1"/>
    </xf>
    <xf numFmtId="0" fontId="0" fillId="0" borderId="73" xfId="0" quotePrefix="1" applyBorder="1" applyAlignment="1">
      <alignment vertical="center" wrapText="1"/>
    </xf>
    <xf numFmtId="0" fontId="2"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4" fontId="2" fillId="0" borderId="0" xfId="0" quotePrefix="1" applyNumberFormat="1" applyFont="1" applyAlignment="1">
      <alignment horizontal="center" vertical="center" wrapText="1"/>
    </xf>
    <xf numFmtId="0" fontId="0" fillId="0" borderId="75" xfId="0" quotePrefix="1" applyBorder="1" applyAlignment="1">
      <alignment vertical="center"/>
    </xf>
    <xf numFmtId="0" fontId="8" fillId="0" borderId="76" xfId="0" quotePrefix="1" applyFont="1" applyBorder="1" applyAlignment="1">
      <alignment vertical="center" wrapText="1"/>
    </xf>
    <xf numFmtId="0" fontId="0" fillId="0" borderId="73" xfId="0" applyBorder="1" applyAlignment="1">
      <alignment vertical="center"/>
    </xf>
    <xf numFmtId="0" fontId="0" fillId="0" borderId="74" xfId="0" quotePrefix="1" applyBorder="1" applyAlignment="1">
      <alignment vertical="center"/>
    </xf>
    <xf numFmtId="0" fontId="0" fillId="0" borderId="32" xfId="0" quotePrefix="1" applyBorder="1" applyAlignment="1">
      <alignment vertical="center" wrapText="1"/>
    </xf>
    <xf numFmtId="41" fontId="12" fillId="0" borderId="0" xfId="5" applyFont="1"/>
    <xf numFmtId="41" fontId="8" fillId="0" borderId="0" xfId="5" applyFont="1"/>
    <xf numFmtId="172" fontId="12" fillId="0" borderId="0" xfId="5" applyNumberFormat="1" applyFont="1"/>
    <xf numFmtId="0" fontId="1" fillId="0" borderId="48" xfId="0" applyFont="1" applyBorder="1" applyAlignment="1">
      <alignment vertical="center"/>
    </xf>
    <xf numFmtId="0" fontId="1" fillId="0" borderId="31" xfId="0" applyFont="1" applyBorder="1" applyAlignment="1">
      <alignment vertical="center"/>
    </xf>
    <xf numFmtId="0" fontId="13" fillId="2" borderId="31" xfId="0" applyFont="1" applyFill="1" applyBorder="1" applyAlignment="1">
      <alignment vertical="center"/>
    </xf>
    <xf numFmtId="4" fontId="12" fillId="0" borderId="71" xfId="0" applyNumberFormat="1" applyFont="1" applyBorder="1" applyAlignment="1">
      <alignment horizontal="right" vertical="center"/>
    </xf>
    <xf numFmtId="4" fontId="12" fillId="0" borderId="74" xfId="0" applyNumberFormat="1" applyFont="1" applyBorder="1" applyAlignment="1">
      <alignment horizontal="right" vertical="center"/>
    </xf>
    <xf numFmtId="167" fontId="12" fillId="0" borderId="75" xfId="0" applyNumberFormat="1" applyFont="1" applyBorder="1" applyAlignment="1">
      <alignment horizontal="right" vertical="center"/>
    </xf>
    <xf numFmtId="168" fontId="13" fillId="0" borderId="76" xfId="3" applyNumberFormat="1" applyFont="1" applyBorder="1" applyAlignment="1">
      <alignment horizontal="right" vertical="center"/>
    </xf>
    <xf numFmtId="4" fontId="12" fillId="0" borderId="75" xfId="0" applyNumberFormat="1" applyFont="1" applyBorder="1" applyAlignment="1">
      <alignment horizontal="right" vertical="center"/>
    </xf>
    <xf numFmtId="0" fontId="13" fillId="2" borderId="81" xfId="0" applyFont="1" applyFill="1" applyBorder="1" applyAlignment="1">
      <alignment vertical="center"/>
    </xf>
    <xf numFmtId="4" fontId="12" fillId="0" borderId="79" xfId="0" applyNumberFormat="1" applyFont="1" applyBorder="1" applyAlignment="1">
      <alignment horizontal="right" vertical="center"/>
    </xf>
    <xf numFmtId="0" fontId="14" fillId="0" borderId="5" xfId="0" applyFont="1" applyBorder="1" applyAlignment="1">
      <alignment horizontal="center" vertical="center"/>
    </xf>
    <xf numFmtId="0" fontId="14" fillId="0" borderId="75" xfId="0" applyFont="1" applyBorder="1" applyAlignment="1">
      <alignment horizontal="center" vertical="center"/>
    </xf>
    <xf numFmtId="4" fontId="14" fillId="0" borderId="74" xfId="0" applyNumberFormat="1" applyFont="1" applyBorder="1" applyAlignment="1">
      <alignment horizontal="center" vertical="center"/>
    </xf>
    <xf numFmtId="4" fontId="14" fillId="0" borderId="5" xfId="0" applyNumberFormat="1" applyFont="1" applyBorder="1" applyAlignment="1">
      <alignment horizontal="center" vertical="center"/>
    </xf>
    <xf numFmtId="17" fontId="60" fillId="0" borderId="60" xfId="0" applyNumberFormat="1" applyFont="1" applyBorder="1" applyAlignment="1">
      <alignment horizontal="center" vertical="center" wrapText="1"/>
    </xf>
    <xf numFmtId="17" fontId="60" fillId="0" borderId="82" xfId="0" applyNumberFormat="1" applyFont="1" applyBorder="1" applyAlignment="1">
      <alignment horizontal="center" vertical="center" wrapText="1"/>
    </xf>
    <xf numFmtId="17" fontId="60" fillId="0" borderId="83" xfId="0" applyNumberFormat="1" applyFont="1" applyBorder="1" applyAlignment="1">
      <alignment horizontal="center" vertical="center" wrapText="1"/>
    </xf>
    <xf numFmtId="167" fontId="14" fillId="0" borderId="74" xfId="0" applyNumberFormat="1" applyFont="1" applyBorder="1" applyAlignment="1">
      <alignment horizontal="center" vertical="center"/>
    </xf>
    <xf numFmtId="167" fontId="14" fillId="0" borderId="6" xfId="0" applyNumberFormat="1" applyFont="1" applyBorder="1" applyAlignment="1">
      <alignment horizontal="center" vertical="center"/>
    </xf>
    <xf numFmtId="168" fontId="60" fillId="0" borderId="7" xfId="3" applyNumberFormat="1" applyFont="1" applyBorder="1" applyAlignment="1">
      <alignment horizontal="center" vertical="center"/>
    </xf>
    <xf numFmtId="168" fontId="60" fillId="0" borderId="76" xfId="3" applyNumberFormat="1" applyFont="1" applyBorder="1" applyAlignment="1">
      <alignment horizontal="center" vertical="center"/>
    </xf>
    <xf numFmtId="167" fontId="14" fillId="0" borderId="79" xfId="0" applyNumberFormat="1" applyFont="1" applyBorder="1" applyAlignment="1">
      <alignment horizontal="center" vertical="center"/>
    </xf>
    <xf numFmtId="167" fontId="14" fillId="0" borderId="71" xfId="0" applyNumberFormat="1" applyFont="1" applyBorder="1" applyAlignment="1">
      <alignment horizontal="center" vertical="center"/>
    </xf>
    <xf numFmtId="4" fontId="14" fillId="0" borderId="71" xfId="0" applyNumberFormat="1" applyFont="1" applyBorder="1" applyAlignment="1">
      <alignment horizontal="center" vertical="center"/>
    </xf>
    <xf numFmtId="167" fontId="13" fillId="42" borderId="34" xfId="0" applyNumberFormat="1" applyFont="1" applyFill="1" applyBorder="1" applyAlignment="1">
      <alignment horizontal="right" vertical="center"/>
    </xf>
    <xf numFmtId="4" fontId="14" fillId="42" borderId="35" xfId="0" applyNumberFormat="1" applyFont="1" applyFill="1" applyBorder="1" applyAlignment="1">
      <alignment horizontal="center" vertical="center"/>
    </xf>
    <xf numFmtId="168" fontId="60" fillId="42" borderId="41" xfId="3" applyNumberFormat="1" applyFont="1" applyFill="1" applyBorder="1" applyAlignment="1">
      <alignment horizontal="center" vertical="center"/>
    </xf>
    <xf numFmtId="4" fontId="14" fillId="42" borderId="80" xfId="0" applyNumberFormat="1" applyFont="1" applyFill="1" applyBorder="1" applyAlignment="1">
      <alignment horizontal="center" vertical="center"/>
    </xf>
    <xf numFmtId="4" fontId="14" fillId="42" borderId="34" xfId="0" applyNumberFormat="1" applyFont="1" applyFill="1" applyBorder="1" applyAlignment="1">
      <alignment horizontal="center" vertical="center"/>
    </xf>
    <xf numFmtId="0" fontId="14" fillId="42" borderId="34" xfId="0" applyFont="1" applyFill="1" applyBorder="1" applyAlignment="1">
      <alignment horizontal="center" vertical="center"/>
    </xf>
    <xf numFmtId="4" fontId="13" fillId="42" borderId="35" xfId="0" applyNumberFormat="1" applyFont="1" applyFill="1" applyBorder="1" applyAlignment="1">
      <alignment horizontal="right" vertical="center"/>
    </xf>
    <xf numFmtId="168" fontId="13" fillId="42" borderId="41" xfId="3" applyNumberFormat="1" applyFont="1" applyFill="1" applyBorder="1" applyAlignment="1">
      <alignment horizontal="right" vertical="center"/>
    </xf>
    <xf numFmtId="4" fontId="12" fillId="42" borderId="80" xfId="0" applyNumberFormat="1" applyFont="1" applyFill="1" applyBorder="1" applyAlignment="1">
      <alignment horizontal="right" vertical="center"/>
    </xf>
    <xf numFmtId="4" fontId="12" fillId="42" borderId="35" xfId="0" applyNumberFormat="1" applyFont="1" applyFill="1" applyBorder="1" applyAlignment="1">
      <alignment horizontal="right" vertical="center"/>
    </xf>
    <xf numFmtId="41" fontId="0" fillId="0" borderId="72" xfId="5" applyFont="1" applyBorder="1"/>
    <xf numFmtId="175" fontId="0" fillId="0" borderId="0" xfId="5" applyNumberFormat="1" applyFont="1"/>
    <xf numFmtId="17" fontId="0" fillId="41" borderId="0" xfId="0" applyNumberFormat="1" applyFill="1"/>
    <xf numFmtId="41" fontId="0" fillId="41" borderId="0" xfId="5" applyFont="1" applyFill="1" applyBorder="1" applyAlignment="1">
      <alignment horizontal="right"/>
    </xf>
    <xf numFmtId="172" fontId="0" fillId="0" borderId="85" xfId="5" applyNumberFormat="1" applyFont="1" applyBorder="1"/>
    <xf numFmtId="169" fontId="0" fillId="0" borderId="85" xfId="0" applyNumberFormat="1" applyBorder="1"/>
    <xf numFmtId="2" fontId="0" fillId="0" borderId="42" xfId="0" applyNumberFormat="1" applyBorder="1" applyAlignment="1">
      <alignment horizontal="right"/>
    </xf>
    <xf numFmtId="176" fontId="0" fillId="0" borderId="42" xfId="0" applyNumberFormat="1" applyBorder="1" applyAlignment="1">
      <alignment horizontal="right"/>
    </xf>
    <xf numFmtId="177" fontId="0" fillId="0" borderId="42" xfId="0" applyNumberFormat="1" applyBorder="1" applyAlignment="1">
      <alignment horizontal="right"/>
    </xf>
    <xf numFmtId="167" fontId="12" fillId="0" borderId="85" xfId="50" applyNumberFormat="1" applyFont="1" applyBorder="1" applyAlignment="1">
      <alignment horizontal="right" vertical="center"/>
    </xf>
    <xf numFmtId="0" fontId="15" fillId="0" borderId="10"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wrapText="1"/>
    </xf>
    <xf numFmtId="0" fontId="15" fillId="0" borderId="0" xfId="0" applyFont="1" applyAlignment="1">
      <alignment horizontal="left" wrapText="1"/>
    </xf>
    <xf numFmtId="3" fontId="13" fillId="0" borderId="78" xfId="0" applyNumberFormat="1" applyFont="1" applyBorder="1" applyAlignment="1">
      <alignment horizontal="center" vertical="center"/>
    </xf>
    <xf numFmtId="3" fontId="13" fillId="0" borderId="0" xfId="0" applyNumberFormat="1" applyFont="1" applyAlignment="1">
      <alignment horizontal="center" vertical="center"/>
    </xf>
    <xf numFmtId="3" fontId="13" fillId="0" borderId="52"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 fillId="0" borderId="4" xfId="0" applyFont="1" applyBorder="1" applyAlignment="1">
      <alignment horizontal="center"/>
    </xf>
    <xf numFmtId="0" fontId="1" fillId="0" borderId="78" xfId="0" applyFont="1" applyBorder="1" applyAlignment="1">
      <alignment horizontal="center"/>
    </xf>
    <xf numFmtId="0" fontId="1" fillId="0" borderId="77" xfId="0" applyFont="1" applyBorder="1" applyAlignment="1">
      <alignment horizont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82" xfId="0" applyFont="1" applyBorder="1" applyAlignment="1">
      <alignment horizontal="center" vertical="center"/>
    </xf>
    <xf numFmtId="3" fontId="13" fillId="0" borderId="5" xfId="0" applyNumberFormat="1" applyFont="1" applyBorder="1" applyAlignment="1">
      <alignment horizontal="center" vertical="center"/>
    </xf>
    <xf numFmtId="3" fontId="13" fillId="0" borderId="6" xfId="0" applyNumberFormat="1" applyFont="1" applyBorder="1" applyAlignment="1">
      <alignment horizontal="center" vertical="center"/>
    </xf>
    <xf numFmtId="3" fontId="13" fillId="0" borderId="7" xfId="0" applyNumberFormat="1" applyFont="1" applyBorder="1" applyAlignment="1">
      <alignment horizontal="center" vertical="center"/>
    </xf>
    <xf numFmtId="3" fontId="13" fillId="0" borderId="60" xfId="0" applyNumberFormat="1" applyFont="1" applyBorder="1" applyAlignment="1">
      <alignment horizontal="center" vertical="center"/>
    </xf>
    <xf numFmtId="17" fontId="60" fillId="0" borderId="6" xfId="0" applyNumberFormat="1" applyFont="1" applyBorder="1" applyAlignment="1">
      <alignment horizontal="center" vertical="center" wrapText="1"/>
    </xf>
    <xf numFmtId="17" fontId="60" fillId="0" borderId="60" xfId="0" applyNumberFormat="1" applyFont="1" applyBorder="1" applyAlignment="1">
      <alignment horizontal="center" vertical="center" wrapText="1"/>
    </xf>
    <xf numFmtId="17" fontId="60" fillId="0" borderId="51" xfId="0" applyNumberFormat="1" applyFont="1" applyBorder="1" applyAlignment="1">
      <alignment horizontal="center" vertical="center" wrapText="1"/>
    </xf>
    <xf numFmtId="17" fontId="60" fillId="0" borderId="61" xfId="0" applyNumberFormat="1" applyFont="1" applyBorder="1" applyAlignment="1">
      <alignment horizontal="center" vertical="center" wrapText="1"/>
    </xf>
    <xf numFmtId="0" fontId="0" fillId="0" borderId="43"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2" fillId="0" borderId="42" xfId="0" applyFont="1" applyBorder="1" applyAlignment="1">
      <alignment horizontal="center" wrapText="1"/>
    </xf>
    <xf numFmtId="0" fontId="2" fillId="0" borderId="42" xfId="0" applyFont="1" applyBorder="1" applyAlignment="1">
      <alignment horizontal="center"/>
    </xf>
    <xf numFmtId="0" fontId="0" fillId="0" borderId="42" xfId="0" applyBorder="1" applyAlignment="1">
      <alignment horizontal="left"/>
    </xf>
    <xf numFmtId="0" fontId="8" fillId="0" borderId="85" xfId="0" applyFont="1" applyBorder="1" applyAlignment="1">
      <alignment horizontal="center" vertical="center"/>
    </xf>
    <xf numFmtId="0" fontId="8" fillId="0" borderId="85"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84" xfId="0" applyFont="1" applyBorder="1" applyAlignment="1">
      <alignment horizontal="center" vertical="center" wrapText="1"/>
    </xf>
    <xf numFmtId="0" fontId="34" fillId="0" borderId="42" xfId="0" applyFont="1" applyBorder="1" applyAlignment="1">
      <alignment horizontal="left"/>
    </xf>
    <xf numFmtId="0" fontId="9" fillId="0" borderId="53" xfId="0" applyFont="1" applyBorder="1" applyAlignment="1">
      <alignment horizontal="center"/>
    </xf>
    <xf numFmtId="0" fontId="8" fillId="0" borderId="55" xfId="0" applyFont="1" applyBorder="1" applyAlignment="1">
      <alignment horizontal="center"/>
    </xf>
    <xf numFmtId="0" fontId="8" fillId="0" borderId="56" xfId="0" applyFont="1" applyBorder="1" applyAlignment="1">
      <alignment horizontal="center"/>
    </xf>
    <xf numFmtId="0" fontId="8" fillId="0" borderId="57" xfId="0" applyFont="1" applyBorder="1" applyAlignment="1">
      <alignment horizontal="center"/>
    </xf>
    <xf numFmtId="0" fontId="8" fillId="0" borderId="53" xfId="0" applyFont="1" applyBorder="1" applyAlignment="1">
      <alignment horizontal="center"/>
    </xf>
    <xf numFmtId="0" fontId="8" fillId="0" borderId="54" xfId="0" applyFont="1" applyBorder="1" applyAlignment="1">
      <alignment horizontal="center" vertical="center"/>
    </xf>
    <xf numFmtId="0" fontId="8" fillId="0" borderId="58" xfId="0" applyFont="1" applyBorder="1" applyAlignment="1">
      <alignment horizontal="center" vertical="center"/>
    </xf>
    <xf numFmtId="0" fontId="0" fillId="0" borderId="85" xfId="0" applyBorder="1" applyAlignment="1">
      <alignment horizontal="center" vertical="center"/>
    </xf>
    <xf numFmtId="0" fontId="0" fillId="0" borderId="85" xfId="0" applyBorder="1" applyAlignment="1">
      <alignment horizontal="center" vertical="center" wrapText="1"/>
    </xf>
    <xf numFmtId="0" fontId="0" fillId="0" borderId="59" xfId="0"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top"/>
    </xf>
    <xf numFmtId="0" fontId="0" fillId="0" borderId="61" xfId="0" applyBorder="1" applyAlignment="1">
      <alignment horizontal="center" vertical="top"/>
    </xf>
    <xf numFmtId="0" fontId="0" fillId="0" borderId="62" xfId="0" applyBorder="1" applyAlignment="1">
      <alignment horizontal="center" vertical="top"/>
    </xf>
    <xf numFmtId="0" fontId="11" fillId="0" borderId="42" xfId="0" applyFont="1" applyBorder="1" applyAlignment="1">
      <alignment horizontal="center" vertical="center"/>
    </xf>
    <xf numFmtId="0" fontId="0" fillId="0" borderId="60" xfId="0" applyBorder="1" applyAlignment="1">
      <alignment horizontal="center" vertical="center"/>
    </xf>
    <xf numFmtId="0" fontId="0" fillId="0" borderId="24" xfId="0" applyBorder="1" applyAlignment="1">
      <alignment horizontal="center" vertical="center"/>
    </xf>
    <xf numFmtId="0" fontId="0" fillId="0" borderId="47" xfId="0" applyBorder="1" applyAlignment="1">
      <alignment horizontal="center" vertical="center"/>
    </xf>
    <xf numFmtId="0" fontId="0" fillId="0" borderId="61" xfId="0" applyBorder="1" applyAlignment="1">
      <alignment horizontal="center" vertical="center"/>
    </xf>
    <xf numFmtId="0" fontId="0" fillId="0" borderId="10" xfId="0" applyBorder="1" applyAlignment="1">
      <alignment horizontal="center" vertical="center"/>
    </xf>
    <xf numFmtId="0" fontId="61" fillId="0" borderId="10" xfId="0" applyFont="1" applyBorder="1" applyAlignment="1">
      <alignment horizontal="center" vertical="center"/>
    </xf>
    <xf numFmtId="0" fontId="61" fillId="0" borderId="0" xfId="0" applyFont="1" applyAlignment="1">
      <alignment horizontal="center" vertical="center"/>
    </xf>
    <xf numFmtId="0" fontId="61" fillId="0" borderId="46" xfId="0" applyFont="1" applyBorder="1" applyAlignment="1">
      <alignment horizontal="center" vertical="center"/>
    </xf>
    <xf numFmtId="0" fontId="60" fillId="0" borderId="1" xfId="0" applyFont="1" applyBorder="1" applyAlignment="1">
      <alignment horizontal="center" vertical="center" wrapText="1"/>
    </xf>
    <xf numFmtId="0" fontId="60" fillId="0" borderId="2" xfId="0" applyFont="1" applyBorder="1" applyAlignment="1">
      <alignment horizontal="center" vertical="center" wrapText="1"/>
    </xf>
    <xf numFmtId="0" fontId="60" fillId="0" borderId="3" xfId="0" applyFont="1" applyBorder="1" applyAlignment="1">
      <alignment horizontal="center" vertical="center" wrapText="1"/>
    </xf>
    <xf numFmtId="0" fontId="47" fillId="0" borderId="1" xfId="405" applyBorder="1" applyAlignment="1">
      <alignment horizontal="left" vertical="center" wrapText="1"/>
    </xf>
    <xf numFmtId="0" fontId="47" fillId="0" borderId="2" xfId="405" applyBorder="1" applyAlignment="1">
      <alignment horizontal="left" vertical="center" wrapText="1"/>
    </xf>
    <xf numFmtId="0" fontId="47" fillId="0" borderId="3" xfId="405" applyBorder="1" applyAlignment="1">
      <alignment horizontal="left" vertical="center" wrapText="1"/>
    </xf>
    <xf numFmtId="0" fontId="65" fillId="0" borderId="1" xfId="0" applyFont="1" applyBorder="1" applyAlignment="1">
      <alignment horizontal="left" vertical="center" wrapText="1"/>
    </xf>
    <xf numFmtId="0" fontId="63" fillId="0" borderId="2" xfId="0" applyFont="1" applyBorder="1" applyAlignment="1">
      <alignment horizontal="left" vertical="center" wrapText="1"/>
    </xf>
    <xf numFmtId="0" fontId="63" fillId="0" borderId="3" xfId="0" applyFont="1" applyBorder="1" applyAlignment="1">
      <alignment horizontal="left" vertical="center" wrapText="1"/>
    </xf>
    <xf numFmtId="0" fontId="63" fillId="0" borderId="69" xfId="0" applyFont="1" applyBorder="1" applyAlignment="1">
      <alignment horizontal="left" vertical="center" wrapText="1"/>
    </xf>
    <xf numFmtId="0" fontId="52" fillId="0" borderId="70" xfId="0" applyFont="1" applyBorder="1" applyAlignment="1">
      <alignment horizontal="left" vertical="center" wrapText="1"/>
    </xf>
    <xf numFmtId="0" fontId="52" fillId="0" borderId="71" xfId="0" applyFont="1" applyBorder="1" applyAlignment="1">
      <alignment horizontal="left" vertical="center" wrapText="1"/>
    </xf>
    <xf numFmtId="0" fontId="60" fillId="0" borderId="63" xfId="0" applyFont="1" applyBorder="1" applyAlignment="1">
      <alignment horizontal="center" vertical="center" wrapText="1"/>
    </xf>
    <xf numFmtId="0" fontId="63" fillId="0" borderId="63" xfId="0" applyFont="1" applyBorder="1" applyAlignment="1">
      <alignment horizontal="left" vertical="center" wrapText="1"/>
    </xf>
    <xf numFmtId="0" fontId="52" fillId="0" borderId="63" xfId="0" applyFont="1" applyBorder="1" applyAlignment="1">
      <alignment horizontal="left" vertical="center" wrapText="1"/>
    </xf>
    <xf numFmtId="0" fontId="62" fillId="0" borderId="63" xfId="0" applyFont="1" applyBorder="1"/>
    <xf numFmtId="0" fontId="63" fillId="0" borderId="55" xfId="0" applyFont="1" applyBorder="1" applyAlignment="1">
      <alignment horizontal="left" vertical="center" wrapText="1"/>
    </xf>
    <xf numFmtId="0" fontId="52" fillId="0" borderId="56" xfId="0" applyFont="1" applyBorder="1" applyAlignment="1">
      <alignment horizontal="left" vertical="center" wrapText="1"/>
    </xf>
    <xf numFmtId="0" fontId="52" fillId="0" borderId="57" xfId="0" applyFont="1" applyBorder="1" applyAlignment="1">
      <alignment horizontal="left" vertical="center" wrapText="1"/>
    </xf>
    <xf numFmtId="0" fontId="62" fillId="0" borderId="0" xfId="0" applyFont="1" applyAlignment="1">
      <alignment horizontal="left" vertical="center" wrapText="1"/>
    </xf>
    <xf numFmtId="0" fontId="55" fillId="0" borderId="38" xfId="50" applyFont="1" applyBorder="1" applyAlignment="1">
      <alignment horizontal="left" vertical="center"/>
    </xf>
    <xf numFmtId="0" fontId="55" fillId="0" borderId="39" xfId="50" applyFont="1" applyBorder="1" applyAlignment="1">
      <alignment horizontal="left" vertical="center"/>
    </xf>
    <xf numFmtId="0" fontId="55" fillId="0" borderId="40" xfId="50" applyFont="1" applyBorder="1" applyAlignment="1">
      <alignment horizontal="left" vertical="center"/>
    </xf>
    <xf numFmtId="0" fontId="1" fillId="0" borderId="42" xfId="50" applyFont="1" applyBorder="1" applyAlignment="1">
      <alignment horizontal="center" vertical="center"/>
    </xf>
    <xf numFmtId="0" fontId="1" fillId="0" borderId="42" xfId="50" applyFont="1" applyBorder="1" applyAlignment="1">
      <alignment horizontal="center" vertical="center" wrapText="1"/>
    </xf>
    <xf numFmtId="0" fontId="2" fillId="0" borderId="42" xfId="50" applyFont="1" applyBorder="1" applyAlignment="1">
      <alignment horizontal="center" vertical="center"/>
    </xf>
    <xf numFmtId="0" fontId="2" fillId="0" borderId="42" xfId="50" applyFont="1" applyBorder="1" applyAlignment="1">
      <alignment horizontal="center"/>
    </xf>
    <xf numFmtId="0" fontId="11" fillId="0" borderId="42" xfId="50" applyFont="1" applyBorder="1" applyAlignment="1">
      <alignment horizontal="center" vertical="center" wrapText="1"/>
    </xf>
    <xf numFmtId="0" fontId="16" fillId="0" borderId="42" xfId="50" applyFont="1" applyBorder="1" applyAlignment="1">
      <alignment horizontal="left" vertical="center"/>
    </xf>
    <xf numFmtId="0" fontId="11" fillId="0" borderId="42" xfId="50" applyFont="1" applyBorder="1" applyAlignment="1">
      <alignment horizontal="center" vertical="center"/>
    </xf>
    <xf numFmtId="0" fontId="39" fillId="0" borderId="38" xfId="50" applyFont="1" applyBorder="1" applyAlignment="1">
      <alignment horizontal="left"/>
    </xf>
    <xf numFmtId="0" fontId="39" fillId="0" borderId="39" xfId="50" applyFont="1" applyBorder="1" applyAlignment="1">
      <alignment horizontal="left"/>
    </xf>
    <xf numFmtId="0" fontId="39" fillId="0" borderId="40" xfId="50" applyFont="1" applyBorder="1" applyAlignment="1">
      <alignment horizontal="left"/>
    </xf>
    <xf numFmtId="0" fontId="9" fillId="0" borderId="38" xfId="50" applyFont="1" applyBorder="1" applyAlignment="1">
      <alignment horizontal="center"/>
    </xf>
    <xf numFmtId="0" fontId="9" fillId="0" borderId="39" xfId="50" applyFont="1" applyBorder="1" applyAlignment="1">
      <alignment horizontal="center"/>
    </xf>
    <xf numFmtId="0" fontId="9" fillId="0" borderId="40" xfId="50" applyFont="1" applyBorder="1" applyAlignment="1">
      <alignment horizontal="center"/>
    </xf>
    <xf numFmtId="0" fontId="8" fillId="0" borderId="42" xfId="50" applyFont="1" applyBorder="1" applyAlignment="1">
      <alignment horizontal="left"/>
    </xf>
    <xf numFmtId="0" fontId="8" fillId="0" borderId="8" xfId="50" applyFont="1" applyBorder="1" applyAlignment="1">
      <alignment horizontal="center" vertical="center"/>
    </xf>
    <xf numFmtId="0" fontId="8" fillId="0" borderId="11" xfId="50" applyFont="1" applyBorder="1" applyAlignment="1">
      <alignment horizontal="center" vertical="center"/>
    </xf>
    <xf numFmtId="0" fontId="8" fillId="0" borderId="38" xfId="50" applyFont="1" applyBorder="1" applyAlignment="1">
      <alignment horizontal="center"/>
    </xf>
    <xf numFmtId="0" fontId="8" fillId="0" borderId="40" xfId="50" applyFont="1" applyBorder="1" applyAlignment="1">
      <alignment horizontal="center"/>
    </xf>
    <xf numFmtId="0" fontId="8" fillId="0" borderId="39" xfId="50" applyFont="1" applyBorder="1" applyAlignment="1">
      <alignment horizontal="center"/>
    </xf>
    <xf numFmtId="0" fontId="8" fillId="0" borderId="55" xfId="50" applyFont="1" applyBorder="1" applyAlignment="1">
      <alignment horizontal="center"/>
    </xf>
    <xf numFmtId="0" fontId="8" fillId="0" borderId="56" xfId="50" applyFont="1" applyBorder="1" applyAlignment="1">
      <alignment horizontal="center"/>
    </xf>
    <xf numFmtId="0" fontId="8" fillId="0" borderId="57" xfId="50" applyFont="1" applyBorder="1" applyAlignment="1">
      <alignment horizontal="center"/>
    </xf>
    <xf numFmtId="0" fontId="9" fillId="0" borderId="55" xfId="50" applyFont="1" applyBorder="1" applyAlignment="1">
      <alignment horizontal="center"/>
    </xf>
    <xf numFmtId="0" fontId="9" fillId="0" borderId="56" xfId="50" applyFont="1" applyBorder="1" applyAlignment="1">
      <alignment horizontal="center"/>
    </xf>
    <xf numFmtId="0" fontId="9" fillId="0" borderId="57" xfId="50" applyFont="1" applyBorder="1" applyAlignment="1">
      <alignment horizontal="center"/>
    </xf>
    <xf numFmtId="0" fontId="39" fillId="0" borderId="42" xfId="50" applyFont="1" applyBorder="1" applyAlignment="1">
      <alignment horizontal="left"/>
    </xf>
    <xf numFmtId="0" fontId="8" fillId="0" borderId="37" xfId="50" applyFont="1" applyBorder="1" applyAlignment="1">
      <alignment horizontal="center" vertical="center"/>
    </xf>
    <xf numFmtId="0" fontId="8" fillId="0" borderId="24" xfId="50" applyFont="1" applyBorder="1" applyAlignment="1">
      <alignment horizontal="center" vertical="center"/>
    </xf>
    <xf numFmtId="0" fontId="8" fillId="0" borderId="36" xfId="50" applyFont="1" applyBorder="1" applyAlignment="1">
      <alignment horizontal="center" vertical="center"/>
    </xf>
    <xf numFmtId="0" fontId="8" fillId="0" borderId="61" xfId="50" applyFont="1" applyBorder="1" applyAlignment="1">
      <alignment horizontal="center" vertical="center"/>
    </xf>
    <xf numFmtId="0" fontId="8" fillId="0" borderId="59" xfId="50" applyFont="1" applyBorder="1" applyAlignment="1">
      <alignment horizontal="center" vertical="center"/>
    </xf>
    <xf numFmtId="0" fontId="8" fillId="0" borderId="62" xfId="50" applyFont="1" applyBorder="1" applyAlignment="1">
      <alignment horizontal="center" vertical="center"/>
    </xf>
    <xf numFmtId="0" fontId="8" fillId="0" borderId="12" xfId="50" applyFont="1" applyBorder="1" applyAlignment="1">
      <alignment horizontal="center" vertical="center"/>
    </xf>
    <xf numFmtId="0" fontId="8" fillId="0" borderId="23" xfId="50" applyFont="1" applyBorder="1" applyAlignment="1">
      <alignment horizontal="center" vertical="center"/>
    </xf>
    <xf numFmtId="0" fontId="9" fillId="0" borderId="42" xfId="50" applyFont="1" applyBorder="1" applyAlignment="1">
      <alignment horizontal="center" vertical="center"/>
    </xf>
    <xf numFmtId="0" fontId="8" fillId="0" borderId="42" xfId="50" applyFont="1" applyBorder="1" applyAlignment="1">
      <alignment horizontal="center"/>
    </xf>
    <xf numFmtId="0" fontId="34" fillId="0" borderId="42" xfId="50" applyFont="1" applyBorder="1" applyAlignment="1">
      <alignment horizontal="left" vertical="center" wrapText="1"/>
    </xf>
    <xf numFmtId="0" fontId="13" fillId="0" borderId="42" xfId="50" applyFont="1" applyBorder="1" applyAlignment="1">
      <alignment horizontal="center" vertical="center" wrapText="1"/>
    </xf>
    <xf numFmtId="0" fontId="13" fillId="0" borderId="38" xfId="50" applyFont="1" applyBorder="1" applyAlignment="1">
      <alignment horizontal="center" vertical="center" wrapText="1"/>
    </xf>
    <xf numFmtId="0" fontId="13" fillId="0" borderId="39" xfId="50" applyFont="1" applyBorder="1" applyAlignment="1">
      <alignment horizontal="center" vertical="center" wrapText="1"/>
    </xf>
    <xf numFmtId="0" fontId="13" fillId="0" borderId="40" xfId="50" applyFont="1" applyBorder="1" applyAlignment="1">
      <alignment horizontal="center" vertical="center" wrapText="1"/>
    </xf>
    <xf numFmtId="0" fontId="12" fillId="0" borderId="42" xfId="50" applyFont="1" applyBorder="1" applyAlignment="1">
      <alignment horizontal="left" vertical="center"/>
    </xf>
    <xf numFmtId="0" fontId="13" fillId="0" borderId="42" xfId="50" applyFont="1" applyBorder="1" applyAlignment="1">
      <alignment horizontal="left" vertical="center"/>
    </xf>
    <xf numFmtId="0" fontId="12" fillId="0" borderId="69" xfId="50" applyFont="1" applyBorder="1" applyAlignment="1">
      <alignment horizontal="left" vertical="center"/>
    </xf>
    <xf numFmtId="0" fontId="12" fillId="0" borderId="71" xfId="50" applyFont="1" applyBorder="1" applyAlignment="1">
      <alignment horizontal="left" vertical="center"/>
    </xf>
    <xf numFmtId="0" fontId="15" fillId="0" borderId="42" xfId="50" applyFont="1" applyBorder="1" applyAlignment="1">
      <alignment horizontal="left" vertical="center"/>
    </xf>
    <xf numFmtId="0" fontId="12" fillId="0" borderId="38" xfId="50" applyFont="1" applyBorder="1" applyAlignment="1">
      <alignment horizontal="left" vertical="center"/>
    </xf>
    <xf numFmtId="0" fontId="12" fillId="0" borderId="40" xfId="50" applyFont="1" applyBorder="1" applyAlignment="1">
      <alignment horizontal="left" vertical="center"/>
    </xf>
    <xf numFmtId="0" fontId="9" fillId="0" borderId="42" xfId="50" applyFont="1" applyBorder="1" applyAlignment="1">
      <alignment horizontal="center" wrapText="1"/>
    </xf>
    <xf numFmtId="0" fontId="13" fillId="0" borderId="42" xfId="50" applyFont="1" applyBorder="1" applyAlignment="1">
      <alignment horizontal="center" vertical="center"/>
    </xf>
    <xf numFmtId="0" fontId="11" fillId="0" borderId="42" xfId="50" applyFont="1" applyBorder="1" applyAlignment="1">
      <alignment horizontal="left" vertical="center"/>
    </xf>
    <xf numFmtId="0" fontId="11" fillId="0" borderId="8" xfId="50" applyFont="1" applyBorder="1" applyAlignment="1">
      <alignment horizontal="center" vertical="center"/>
    </xf>
    <xf numFmtId="0" fontId="11" fillId="0" borderId="9" xfId="50" applyFont="1" applyBorder="1" applyAlignment="1">
      <alignment horizontal="center" vertical="center"/>
    </xf>
    <xf numFmtId="0" fontId="11" fillId="0" borderId="22" xfId="50" applyFont="1" applyBorder="1" applyAlignment="1">
      <alignment horizontal="center" vertical="center"/>
    </xf>
    <xf numFmtId="0" fontId="16" fillId="0" borderId="11" xfId="50" applyFont="1" applyBorder="1" applyAlignment="1">
      <alignment horizontal="left"/>
    </xf>
    <xf numFmtId="0" fontId="16" fillId="0" borderId="12" xfId="50" applyFont="1" applyBorder="1" applyAlignment="1">
      <alignment horizontal="left"/>
    </xf>
    <xf numFmtId="0" fontId="16" fillId="0" borderId="23" xfId="50" applyFont="1" applyBorder="1" applyAlignment="1">
      <alignment horizontal="left"/>
    </xf>
    <xf numFmtId="0" fontId="15" fillId="0" borderId="8" xfId="50" applyFont="1" applyBorder="1" applyAlignment="1">
      <alignment horizontal="left"/>
    </xf>
    <xf numFmtId="0" fontId="15" fillId="0" borderId="9" xfId="50" applyFont="1" applyBorder="1" applyAlignment="1">
      <alignment horizontal="left"/>
    </xf>
    <xf numFmtId="0" fontId="15" fillId="0" borderId="22" xfId="50" applyFont="1" applyBorder="1" applyAlignment="1">
      <alignment horizontal="left"/>
    </xf>
    <xf numFmtId="0" fontId="67" fillId="0" borderId="10" xfId="50" applyFont="1" applyBorder="1" applyAlignment="1">
      <alignment horizontal="left" wrapText="1"/>
    </xf>
    <xf numFmtId="0" fontId="67" fillId="0" borderId="0" xfId="50" applyFont="1" applyAlignment="1">
      <alignment horizontal="left" wrapText="1"/>
    </xf>
    <xf numFmtId="0" fontId="67" fillId="0" borderId="46" xfId="50" applyFont="1" applyBorder="1" applyAlignment="1">
      <alignment horizontal="left" wrapText="1"/>
    </xf>
    <xf numFmtId="0" fontId="15" fillId="0" borderId="42" xfId="281" applyFont="1" applyBorder="1" applyAlignment="1">
      <alignment horizontal="left"/>
    </xf>
    <xf numFmtId="0" fontId="34" fillId="0" borderId="42" xfId="50" applyFont="1" applyBorder="1" applyAlignment="1">
      <alignment horizontal="justify" vertical="top" wrapText="1"/>
    </xf>
  </cellXfs>
  <cellStyles count="406">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xfId="405" builtinId="8"/>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2 5" xfId="376" xr:uid="{58125B69-8FB1-45EF-931F-27B3913D5F78}"/>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5 2" xfId="377" xr:uid="{53BB5434-0E81-4FA3-8F25-7A5279C593AF}"/>
    <cellStyle name="Millares [0] 6" xfId="107" xr:uid="{00000000-0005-0000-0000-000061000000}"/>
    <cellStyle name="Millares [0] 7" xfId="374" xr:uid="{104975EF-394F-4F82-ACDA-52BBB331DFA9}"/>
    <cellStyle name="Millares 10" xfId="116" xr:uid="{00000000-0005-0000-0000-000062000000}"/>
    <cellStyle name="Millares 10 2" xfId="117" xr:uid="{00000000-0005-0000-0000-000063000000}"/>
    <cellStyle name="Millares 10 3" xfId="118" xr:uid="{00000000-0005-0000-0000-000064000000}"/>
    <cellStyle name="Millares 10 3 2" xfId="379" xr:uid="{C90F4C69-8825-4F39-A02F-5D4293DD8633}"/>
    <cellStyle name="Millares 10 4" xfId="378" xr:uid="{C19B014F-F779-48B9-8F4D-DD2C86BB4A58}"/>
    <cellStyle name="Millares 11" xfId="119" xr:uid="{00000000-0005-0000-0000-000065000000}"/>
    <cellStyle name="Millares 11 2" xfId="120" xr:uid="{00000000-0005-0000-0000-000066000000}"/>
    <cellStyle name="Millares 11 3" xfId="121" xr:uid="{00000000-0005-0000-0000-000067000000}"/>
    <cellStyle name="Millares 11 3 2" xfId="381" xr:uid="{88B89D6E-8263-41AC-B74A-B0BD0810C05B}"/>
    <cellStyle name="Millares 11 4" xfId="380" xr:uid="{15F052BE-CDF0-4ACD-85ED-9127A44E3484}"/>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3 3 2" xfId="383" xr:uid="{0F1B913A-12EF-4E00-91B5-7E92A184C4F3}"/>
    <cellStyle name="Millares 13 4" xfId="382" xr:uid="{D71F3F58-917F-4AFD-9634-63F406C2BF5D}"/>
    <cellStyle name="Millares 14" xfId="129" xr:uid="{00000000-0005-0000-0000-00006F000000}"/>
    <cellStyle name="Millares 14 2" xfId="130" xr:uid="{00000000-0005-0000-0000-000070000000}"/>
    <cellStyle name="Millares 14 3" xfId="131" xr:uid="{00000000-0005-0000-0000-000071000000}"/>
    <cellStyle name="Millares 14 3 2" xfId="385" xr:uid="{6E61372C-D67F-4E03-AFFF-6D3ADEF554A9}"/>
    <cellStyle name="Millares 14 4" xfId="384" xr:uid="{856984C3-53A3-48B8-A404-B5A4F84CDEB0}"/>
    <cellStyle name="Millares 15" xfId="132" xr:uid="{00000000-0005-0000-0000-000072000000}"/>
    <cellStyle name="Millares 15 2" xfId="133" xr:uid="{00000000-0005-0000-0000-000073000000}"/>
    <cellStyle name="Millares 15 3" xfId="134" xr:uid="{00000000-0005-0000-0000-000074000000}"/>
    <cellStyle name="Millares 15 3 2" xfId="387" xr:uid="{A81FE4AB-FFFB-4BE4-ABCF-E883F33795B9}"/>
    <cellStyle name="Millares 15 4" xfId="386" xr:uid="{975A474A-2B9C-41D5-A439-C8FBC741BB48}"/>
    <cellStyle name="Millares 16" xfId="135" xr:uid="{00000000-0005-0000-0000-000075000000}"/>
    <cellStyle name="Millares 16 2" xfId="136" xr:uid="{00000000-0005-0000-0000-000076000000}"/>
    <cellStyle name="Millares 16 3" xfId="137" xr:uid="{00000000-0005-0000-0000-000077000000}"/>
    <cellStyle name="Millares 16 3 2" xfId="389" xr:uid="{9D710906-9EF1-460D-B2FB-9888CB2A718C}"/>
    <cellStyle name="Millares 16 4" xfId="388" xr:uid="{C179BEFD-AC78-457E-A900-ED459E24E047}"/>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 4 2" xfId="391" xr:uid="{CBE3884B-E3E1-4195-A7EF-F08756B09008}"/>
    <cellStyle name="Millares 3 5" xfId="390" xr:uid="{E97C16DB-64B1-405E-ABDB-AF83EBDE09FB}"/>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 3 2" xfId="393" xr:uid="{5F1F8DC6-C4C2-49F8-A3B6-8CE59A181E26}"/>
    <cellStyle name="Millares 4 4" xfId="392" xr:uid="{E3A3F787-FA09-43AD-8865-15BAC4988AF6}"/>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 3 2" xfId="395" xr:uid="{94278EAA-949C-4C63-9F77-88089104DDCF}"/>
    <cellStyle name="Millares 5 4" xfId="394" xr:uid="{690BA986-FF36-41B1-B322-FADE1F56459B}"/>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 3 2" xfId="397" xr:uid="{85D7D73D-E13F-4E76-B48A-05008B9EFF2C}"/>
    <cellStyle name="Millares 6 4" xfId="396" xr:uid="{73FCEC60-3EE9-4C60-A417-AC6D3CC7460C}"/>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 3 2" xfId="399" xr:uid="{7F66E4A8-0CE9-4A6F-B279-1BF3E09A7CFC}"/>
    <cellStyle name="Millares 7 4" xfId="398" xr:uid="{16F47124-74C6-46C4-9069-F94CC4CC6628}"/>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 3 2" xfId="401" xr:uid="{C083892E-B4E9-43E1-9E90-CD7E5AAE62B3}"/>
    <cellStyle name="Millares 8 4" xfId="400" xr:uid="{56B0DD6C-B223-407F-AF25-69D8AB6D4C0A}"/>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88" xfId="373" xr:uid="{CFA5BA45-A266-4F24-ACD7-53A355490D5B}"/>
    <cellStyle name="Millares 89" xfId="375" xr:uid="{D978A259-5C53-4C18-882E-54F0E6F1B87F}"/>
    <cellStyle name="Millares 9" xfId="258" xr:uid="{00000000-0005-0000-0000-000003010000}"/>
    <cellStyle name="Millares 9 2" xfId="259" xr:uid="{00000000-0005-0000-0000-000004010000}"/>
    <cellStyle name="Millares 9 3" xfId="260" xr:uid="{00000000-0005-0000-0000-000005010000}"/>
    <cellStyle name="Millares 9 3 2" xfId="403" xr:uid="{78A06723-271A-456D-A69D-21090856E09C}"/>
    <cellStyle name="Millares 9 4" xfId="402" xr:uid="{5F53B37E-DEA0-4B06-8995-2299BB9C6FF0}"/>
    <cellStyle name="Millares 90" xfId="404" xr:uid="{543CF51B-B352-435C-ABFE-74F51E90D565}"/>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2002 a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export'!$U$3:$AM$4</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'Evol export'!$U$5:$AM$5</c:f>
              <c:numCache>
                <c:formatCode>#,##0</c:formatCode>
                <c:ptCount val="19"/>
                <c:pt idx="0">
                  <c:v>465.3393175571</c:v>
                </c:pt>
                <c:pt idx="1">
                  <c:v>413.65611972459999</c:v>
                </c:pt>
                <c:pt idx="2">
                  <c:v>470.09455889540004</c:v>
                </c:pt>
                <c:pt idx="3">
                  <c:v>599.78646680209988</c:v>
                </c:pt>
                <c:pt idx="4">
                  <c:v>581.72047084199994</c:v>
                </c:pt>
                <c:pt idx="5">
                  <c:v>687.65672542569996</c:v>
                </c:pt>
                <c:pt idx="6">
                  <c:v>725.38451726690005</c:v>
                </c:pt>
                <c:pt idx="7">
                  <c:v>660.04612720440002</c:v>
                </c:pt>
                <c:pt idx="8">
                  <c:v>743.9480811599999</c:v>
                </c:pt>
                <c:pt idx="9">
                  <c:v>873.51530059059996</c:v>
                </c:pt>
                <c:pt idx="10">
                  <c:v>796.43082167889997</c:v>
                </c:pt>
                <c:pt idx="11">
                  <c:v>875.0329999999999</c:v>
                </c:pt>
                <c:pt idx="12">
                  <c:v>906.32799999999997</c:v>
                </c:pt>
                <c:pt idx="13">
                  <c:v>939.54</c:v>
                </c:pt>
                <c:pt idx="14">
                  <c:v>844.7</c:v>
                </c:pt>
                <c:pt idx="15">
                  <c:v>867.75499999999988</c:v>
                </c:pt>
                <c:pt idx="16">
                  <c:v>849.30000000000007</c:v>
                </c:pt>
                <c:pt idx="17">
                  <c:v>865.08589868920001</c:v>
                </c:pt>
                <c:pt idx="18">
                  <c:v>829.19999999999982</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export'!$U$3:$AM$4</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'Evol export'!$U$6:$AM$6</c:f>
              <c:numCache>
                <c:formatCode>#,##0</c:formatCode>
                <c:ptCount val="19"/>
                <c:pt idx="0">
                  <c:v>832.55681260000006</c:v>
                </c:pt>
                <c:pt idx="1">
                  <c:v>872.49015702000008</c:v>
                </c:pt>
                <c:pt idx="2">
                  <c:v>958.12004132999994</c:v>
                </c:pt>
                <c:pt idx="3">
                  <c:v>1246.5129926999998</c:v>
                </c:pt>
                <c:pt idx="4">
                  <c:v>1366.7572898600004</c:v>
                </c:pt>
                <c:pt idx="5">
                  <c:v>1372.2251541599999</c:v>
                </c:pt>
                <c:pt idx="6">
                  <c:v>1532.6636520499999</c:v>
                </c:pt>
                <c:pt idx="7">
                  <c:v>1680.1964922900002</c:v>
                </c:pt>
                <c:pt idx="8">
                  <c:v>1777.2309957100001</c:v>
                </c:pt>
                <c:pt idx="9">
                  <c:v>1867.0447450000001</c:v>
                </c:pt>
                <c:pt idx="10">
                  <c:v>1834.2605475400001</c:v>
                </c:pt>
                <c:pt idx="11">
                  <c:v>1843.5249999999999</c:v>
                </c:pt>
                <c:pt idx="12">
                  <c:v>1843.509</c:v>
                </c:pt>
                <c:pt idx="13">
                  <c:v>2006.3540000000003</c:v>
                </c:pt>
                <c:pt idx="14">
                  <c:v>1983.6000000000001</c:v>
                </c:pt>
                <c:pt idx="15">
                  <c:v>1921.1040000000003</c:v>
                </c:pt>
                <c:pt idx="16">
                  <c:v>1823.1999999999998</c:v>
                </c:pt>
                <c:pt idx="17">
                  <c:v>1953.5457807699991</c:v>
                </c:pt>
                <c:pt idx="18">
                  <c:v>1896.1000000000001</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0"/>
          <c:tx>
            <c:strRef>
              <c:f>'Graficos vinos DO'!$Y$6</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42.095000903099994</c:v>
                </c:pt>
                <c:pt idx="1">
                  <c:v>25.172279372000009</c:v>
                </c:pt>
                <c:pt idx="2">
                  <c:v>33.305171635999997</c:v>
                </c:pt>
                <c:pt idx="3">
                  <c:v>36.379859439000008</c:v>
                </c:pt>
                <c:pt idx="4">
                  <c:v>43.185207500299995</c:v>
                </c:pt>
                <c:pt idx="5">
                  <c:v>35.531951164600002</c:v>
                </c:pt>
                <c:pt idx="6">
                  <c:v>41.567747095199991</c:v>
                </c:pt>
                <c:pt idx="7">
                  <c:v>40.428672739999968</c:v>
                </c:pt>
                <c:pt idx="8">
                  <c:v>35.232458317999999</c:v>
                </c:pt>
                <c:pt idx="9">
                  <c:v>38.682632199999993</c:v>
                </c:pt>
                <c:pt idx="10">
                  <c:v>35.877963109999996</c:v>
                </c:pt>
                <c:pt idx="11">
                  <c:v>36.541598913000001</c:v>
                </c:pt>
              </c:numCache>
            </c:numRef>
          </c:val>
          <c:smooth val="0"/>
          <c:extLst>
            <c:ext xmlns:c16="http://schemas.microsoft.com/office/drawing/2014/chart" uri="{C3380CC4-5D6E-409C-BE32-E72D297353CC}">
              <c16:uniqueId val="{00000002-D584-4281-AE33-099E96291A2A}"/>
            </c:ext>
          </c:extLst>
        </c:ser>
        <c:ser>
          <c:idx val="3"/>
          <c:order val="1"/>
          <c:tx>
            <c:strRef>
              <c:f>'Graficos vinos DO'!$Y$7</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3-D584-4281-AE33-099E96291A2A}"/>
            </c:ext>
          </c:extLst>
        </c:ser>
        <c:ser>
          <c:idx val="4"/>
          <c:order val="2"/>
          <c:tx>
            <c:strRef>
              <c:f>'Graficos vinos DO'!$Y$8</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36.188217527999988</c:v>
                </c:pt>
                <c:pt idx="1">
                  <c:v>26.500213594000002</c:v>
                </c:pt>
                <c:pt idx="2">
                  <c:v>33.510164059999994</c:v>
                </c:pt>
                <c:pt idx="3">
                  <c:v>40.647690953200005</c:v>
                </c:pt>
                <c:pt idx="4">
                  <c:v>40.901139038300002</c:v>
                </c:pt>
                <c:pt idx="5">
                  <c:v>38.234656273999995</c:v>
                </c:pt>
                <c:pt idx="6">
                  <c:v>36.475415379999987</c:v>
                </c:pt>
                <c:pt idx="7">
                  <c:v>37.119260229999988</c:v>
                </c:pt>
                <c:pt idx="8">
                  <c:v>35.46951836689999</c:v>
                </c:pt>
                <c:pt idx="9">
                  <c:v>38.228549748399992</c:v>
                </c:pt>
                <c:pt idx="10" formatCode="_ * #,##0.0_ ;_ * \-#,##0.0_ ;_ * &quot;-&quot;_ ;_ @_ ">
                  <c:v>42.417588961999989</c:v>
                </c:pt>
                <c:pt idx="11">
                  <c:v>42.492720380199991</c:v>
                </c:pt>
              </c:numCache>
            </c:numRef>
          </c:val>
          <c:smooth val="0"/>
          <c:extLst>
            <c:ext xmlns:c16="http://schemas.microsoft.com/office/drawing/2014/chart" uri="{C3380CC4-5D6E-409C-BE32-E72D297353CC}">
              <c16:uniqueId val="{00000004-D584-4281-AE33-099E96291A2A}"/>
            </c:ext>
          </c:extLst>
        </c:ser>
        <c:ser>
          <c:idx val="5"/>
          <c:order val="3"/>
          <c:tx>
            <c:strRef>
              <c:f>'Graficos vinos DO'!$Y$9</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DO'!$Z$9:$AK$9</c:f>
              <c:numCache>
                <c:formatCode>0.0</c:formatCode>
                <c:ptCount val="12"/>
                <c:pt idx="0">
                  <c:v>34.224779176200002</c:v>
                </c:pt>
                <c:pt idx="1">
                  <c:v>26.722582182199993</c:v>
                </c:pt>
                <c:pt idx="2">
                  <c:v>35.306282281999998</c:v>
                </c:pt>
                <c:pt idx="3">
                  <c:v>33.124814929999999</c:v>
                </c:pt>
                <c:pt idx="4">
                  <c:v>41.7108329</c:v>
                </c:pt>
                <c:pt idx="5">
                  <c:v>47.442593983999991</c:v>
                </c:pt>
                <c:pt idx="6">
                  <c:v>42.969696545999987</c:v>
                </c:pt>
                <c:pt idx="7">
                  <c:v>46.651159084100001</c:v>
                </c:pt>
                <c:pt idx="8">
                  <c:v>35.758780219999998</c:v>
                </c:pt>
                <c:pt idx="9">
                  <c:v>33.498006890000006</c:v>
                </c:pt>
                <c:pt idx="10" formatCode="_ * #,##0.0_ ;_ * \-#,##0.0_ ;_ * &quot;-&quot;_ ;_ @_ ">
                  <c:v>35.103470126000005</c:v>
                </c:pt>
                <c:pt idx="11">
                  <c:v>31.147296999999995</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1401477152"/>
        <c:axId val="-1401474400"/>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strRef>
              <c:f>'Graficos vinos DO'!$Y$15</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137.17319391000007</c:v>
                </c:pt>
                <c:pt idx="1">
                  <c:v>80.893906529999995</c:v>
                </c:pt>
                <c:pt idx="2">
                  <c:v>106.44436442</c:v>
                </c:pt>
                <c:pt idx="3">
                  <c:v>118.04222776</c:v>
                </c:pt>
                <c:pt idx="4">
                  <c:v>139.47221017999993</c:v>
                </c:pt>
                <c:pt idx="5">
                  <c:v>120.06454914999992</c:v>
                </c:pt>
                <c:pt idx="6">
                  <c:v>147.54996655000011</c:v>
                </c:pt>
                <c:pt idx="7">
                  <c:v>134.10636505000002</c:v>
                </c:pt>
                <c:pt idx="8">
                  <c:v>106.82647494000004</c:v>
                </c:pt>
                <c:pt idx="9">
                  <c:v>119.44239338999996</c:v>
                </c:pt>
                <c:pt idx="10">
                  <c:v>113.06739105999986</c:v>
                </c:pt>
                <c:pt idx="11">
                  <c:v>121.95716122999993</c:v>
                </c:pt>
              </c:numCache>
            </c:numRef>
          </c:val>
          <c:smooth val="0"/>
          <c:extLst>
            <c:ext xmlns:c16="http://schemas.microsoft.com/office/drawing/2014/chart" uri="{C3380CC4-5D6E-409C-BE32-E72D297353CC}">
              <c16:uniqueId val="{00000002-4FDA-4E80-B026-7127C01F737B}"/>
            </c:ext>
          </c:extLst>
        </c:ser>
        <c:ser>
          <c:idx val="3"/>
          <c:order val="1"/>
          <c:tx>
            <c:strRef>
              <c:f>'Graficos vinos DO'!$Y$16</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3-4FDA-4E80-B026-7127C01F737B}"/>
            </c:ext>
          </c:extLst>
        </c:ser>
        <c:ser>
          <c:idx val="4"/>
          <c:order val="2"/>
          <c:tx>
            <c:strRef>
              <c:f>'Graficos vinos DO'!$Y$17</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DO'!$Z$17:$AK$17</c:f>
              <c:numCache>
                <c:formatCode>0.0</c:formatCode>
                <c:ptCount val="12"/>
                <c:pt idx="0">
                  <c:v>123.96358521999989</c:v>
                </c:pt>
                <c:pt idx="1">
                  <c:v>88.567648300000201</c:v>
                </c:pt>
                <c:pt idx="2">
                  <c:v>113.43742796000001</c:v>
                </c:pt>
                <c:pt idx="3">
                  <c:v>131.79903696999986</c:v>
                </c:pt>
                <c:pt idx="4">
                  <c:v>135.01716335999981</c:v>
                </c:pt>
                <c:pt idx="5">
                  <c:v>135.89779417999998</c:v>
                </c:pt>
                <c:pt idx="6">
                  <c:v>128.20914245999992</c:v>
                </c:pt>
                <c:pt idx="7">
                  <c:v>128.69093210999992</c:v>
                </c:pt>
                <c:pt idx="8">
                  <c:v>124.00225447999995</c:v>
                </c:pt>
                <c:pt idx="9">
                  <c:v>122.74885842000009</c:v>
                </c:pt>
                <c:pt idx="10">
                  <c:v>134.15769622999989</c:v>
                </c:pt>
                <c:pt idx="11">
                  <c:v>139.06249076000003</c:v>
                </c:pt>
              </c:numCache>
            </c:numRef>
          </c:val>
          <c:smooth val="0"/>
          <c:extLst>
            <c:ext xmlns:c16="http://schemas.microsoft.com/office/drawing/2014/chart" uri="{C3380CC4-5D6E-409C-BE32-E72D297353CC}">
              <c16:uniqueId val="{00000004-4FDA-4E80-B026-7127C01F737B}"/>
            </c:ext>
          </c:extLst>
        </c:ser>
        <c:ser>
          <c:idx val="5"/>
          <c:order val="3"/>
          <c:tx>
            <c:strRef>
              <c:f>'Graficos vinos DO'!$Y$18</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DO'!$Z$18:$AK$18</c:f>
              <c:numCache>
                <c:formatCode>_ * #,##0.0_ ;_ * \-#,##0.0_ ;_ * "-"_ ;_ @_ </c:formatCode>
                <c:ptCount val="12"/>
                <c:pt idx="0" formatCode="0.0">
                  <c:v>111.83098552000004</c:v>
                </c:pt>
                <c:pt idx="1">
                  <c:v>90.314870030000179</c:v>
                </c:pt>
                <c:pt idx="2" formatCode="0.0">
                  <c:v>117.75252244999993</c:v>
                </c:pt>
                <c:pt idx="3" formatCode="0.0">
                  <c:v>109.86793983000007</c:v>
                </c:pt>
                <c:pt idx="4" formatCode="0.0">
                  <c:v>136.76232897999969</c:v>
                </c:pt>
                <c:pt idx="5" formatCode="0.0">
                  <c:v>158.98308953999958</c:v>
                </c:pt>
                <c:pt idx="6" formatCode="0.0">
                  <c:v>137.99545454999978</c:v>
                </c:pt>
                <c:pt idx="7" formatCode="0.0">
                  <c:v>152.08641545000009</c:v>
                </c:pt>
                <c:pt idx="8" formatCode="0.0">
                  <c:v>116.58665430999989</c:v>
                </c:pt>
                <c:pt idx="9" formatCode="0.0">
                  <c:v>108.65476733000001</c:v>
                </c:pt>
                <c:pt idx="10" formatCode="0.0">
                  <c:v>115.22389479</c:v>
                </c:pt>
                <c:pt idx="11" formatCode="0.0">
                  <c:v>103.22717089999993</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1401427664"/>
        <c:axId val="-1401424912"/>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ax val="160"/>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0"/>
          <c:tx>
            <c:strRef>
              <c:f>'Graficos vinos DO'!$Y$26</c:f>
              <c:strCache>
                <c:ptCount val="1"/>
                <c:pt idx="0">
                  <c:v>2019</c:v>
                </c:pt>
              </c:strCache>
            </c:strRef>
          </c:tx>
          <c:spPr>
            <a:ln w="28575" cap="rnd">
              <a:solidFill>
                <a:schemeClr val="accent3"/>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3.258657583254696</c:v>
                </c:pt>
                <c:pt idx="1">
                  <c:v>3.2136107078161968</c:v>
                </c:pt>
                <c:pt idx="2">
                  <c:v>3.1960311024172259</c:v>
                </c:pt>
                <c:pt idx="3">
                  <c:v>3.2447136844475035</c:v>
                </c:pt>
                <c:pt idx="4">
                  <c:v>3.2296292701391112</c:v>
                </c:pt>
                <c:pt idx="5">
                  <c:v>3.379058712363046</c:v>
                </c:pt>
                <c:pt idx="6">
                  <c:v>3.5496262573979704</c:v>
                </c:pt>
                <c:pt idx="7">
                  <c:v>3.3171102576740226</c:v>
                </c:pt>
                <c:pt idx="8">
                  <c:v>3.0320471531054984</c:v>
                </c:pt>
                <c:pt idx="9">
                  <c:v>3.0877524769371818</c:v>
                </c:pt>
                <c:pt idx="10">
                  <c:v>3.1514439856393475</c:v>
                </c:pt>
                <c:pt idx="11">
                  <c:v>3.337488365529965</c:v>
                </c:pt>
              </c:numCache>
            </c:numRef>
          </c:val>
          <c:smooth val="0"/>
          <c:extLst>
            <c:ext xmlns:c16="http://schemas.microsoft.com/office/drawing/2014/chart" uri="{C3380CC4-5D6E-409C-BE32-E72D297353CC}">
              <c16:uniqueId val="{00000002-BB30-457D-98BD-4A0194DCE943}"/>
            </c:ext>
          </c:extLst>
        </c:ser>
        <c:ser>
          <c:idx val="3"/>
          <c:order val="1"/>
          <c:tx>
            <c:strRef>
              <c:f>'Graficos vinos DO'!$Y$27</c:f>
              <c:strCache>
                <c:ptCount val="1"/>
                <c:pt idx="0">
                  <c:v>2020</c:v>
                </c:pt>
              </c:strCache>
            </c:strRef>
          </c:tx>
          <c:spPr>
            <a:ln w="28575" cap="rnd">
              <a:solidFill>
                <a:schemeClr val="accent4"/>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DO'!$Z$27:$AK$27</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3-BB30-457D-98BD-4A0194DCE943}"/>
            </c:ext>
          </c:extLst>
        </c:ser>
        <c:ser>
          <c:idx val="4"/>
          <c:order val="2"/>
          <c:tx>
            <c:strRef>
              <c:f>'Graficos vinos DO'!$Y$28</c:f>
              <c:strCache>
                <c:ptCount val="1"/>
                <c:pt idx="0">
                  <c:v>2021</c:v>
                </c:pt>
              </c:strCache>
            </c:strRef>
          </c:tx>
          <c:spPr>
            <a:ln w="28575" cap="rnd">
              <a:solidFill>
                <a:schemeClr val="accent5"/>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DO'!$Z$28:$AK$28</c:f>
              <c:numCache>
                <c:formatCode>0.00</c:formatCode>
                <c:ptCount val="12"/>
                <c:pt idx="0">
                  <c:v>3.4255233799256697</c:v>
                </c:pt>
                <c:pt idx="1">
                  <c:v>3.3421484693260393</c:v>
                </c:pt>
                <c:pt idx="2">
                  <c:v>3.3851648042334301</c:v>
                </c:pt>
                <c:pt idx="3">
                  <c:v>3.2424729149251696</c:v>
                </c:pt>
                <c:pt idx="4">
                  <c:v>3.301061205986688</c:v>
                </c:pt>
                <c:pt idx="5">
                  <c:v>3.554309294848089</c:v>
                </c:pt>
                <c:pt idx="6">
                  <c:v>3.51494674219115</c:v>
                </c:pt>
                <c:pt idx="7">
                  <c:v>3.4669584283899928</c:v>
                </c:pt>
                <c:pt idx="8">
                  <c:v>3.4960230696483983</c:v>
                </c:pt>
                <c:pt idx="9">
                  <c:v>3.210921136895537</c:v>
                </c:pt>
                <c:pt idx="10">
                  <c:v>3.162784578590399</c:v>
                </c:pt>
                <c:pt idx="11">
                  <c:v>3.272619157252119</c:v>
                </c:pt>
              </c:numCache>
            </c:numRef>
          </c:val>
          <c:smooth val="0"/>
          <c:extLst>
            <c:ext xmlns:c16="http://schemas.microsoft.com/office/drawing/2014/chart" uri="{C3380CC4-5D6E-409C-BE32-E72D297353CC}">
              <c16:uniqueId val="{00000004-BB30-457D-98BD-4A0194DCE943}"/>
            </c:ext>
          </c:extLst>
        </c:ser>
        <c:ser>
          <c:idx val="5"/>
          <c:order val="3"/>
          <c:tx>
            <c:strRef>
              <c:f>'Graficos vinos DO'!$Y$29</c:f>
              <c:strCache>
                <c:ptCount val="1"/>
                <c:pt idx="0">
                  <c:v>2022</c:v>
                </c:pt>
              </c:strCache>
            </c:strRef>
          </c:tx>
          <c:spPr>
            <a:ln w="28575" cap="rnd">
              <a:solidFill>
                <a:schemeClr val="accent6"/>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DO'!$Z$29:$AK$29</c:f>
              <c:numCache>
                <c:formatCode>0.00</c:formatCode>
                <c:ptCount val="12"/>
                <c:pt idx="0">
                  <c:v>3.2675443994615336</c:v>
                </c:pt>
                <c:pt idx="1">
                  <c:v>3.3797209197155818</c:v>
                </c:pt>
                <c:pt idx="2">
                  <c:v>3.3351719535203803</c:v>
                </c:pt>
                <c:pt idx="3">
                  <c:v>3.3167865258168274</c:v>
                </c:pt>
                <c:pt idx="4">
                  <c:v>3.2788203800169069</c:v>
                </c:pt>
                <c:pt idx="5">
                  <c:v>3.3510623300575979</c:v>
                </c:pt>
                <c:pt idx="6">
                  <c:v>3.2114598343107374</c:v>
                </c:pt>
                <c:pt idx="7">
                  <c:v>3.2600779581023382</c:v>
                </c:pt>
                <c:pt idx="8">
                  <c:v>3.2603644082018381</c:v>
                </c:pt>
                <c:pt idx="9">
                  <c:v>3.2436188722152357</c:v>
                </c:pt>
                <c:pt idx="10">
                  <c:v>3.2824075333981693</c:v>
                </c:pt>
                <c:pt idx="11">
                  <c:v>3.3141614471393761</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1401378736"/>
        <c:axId val="-1401375984"/>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Chile. Volumen de exportaciones de vino elaborado con uvas orgánicas con denominación de origen (miles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5771871539313405"/>
          <c:h val="0.40725598954939701"/>
        </c:manualLayout>
      </c:layout>
      <c:lineChart>
        <c:grouping val="standard"/>
        <c:varyColors val="0"/>
        <c:ser>
          <c:idx val="3"/>
          <c:order val="0"/>
          <c:tx>
            <c:strRef>
              <c:f>'Gráficos vino DO org'!$Y$4</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org'!$Z$4:$AK$4</c:f>
              <c:numCache>
                <c:formatCode>_ * #,##0.0_ ;_ * \-#,##0.0_ ;_ * "-"_ ;_ @_ </c:formatCode>
                <c:ptCount val="12"/>
                <c:pt idx="0">
                  <c:v>1193.0429999999999</c:v>
                </c:pt>
                <c:pt idx="1">
                  <c:v>792.2355</c:v>
                </c:pt>
                <c:pt idx="2">
                  <c:v>848.6395</c:v>
                </c:pt>
                <c:pt idx="3">
                  <c:v>841.18949999999995</c:v>
                </c:pt>
                <c:pt idx="4">
                  <c:v>1055.7809999999999</c:v>
                </c:pt>
                <c:pt idx="5">
                  <c:v>530.3655</c:v>
                </c:pt>
                <c:pt idx="6">
                  <c:v>861.43050000000005</c:v>
                </c:pt>
                <c:pt idx="7">
                  <c:v>1010.889</c:v>
                </c:pt>
                <c:pt idx="8">
                  <c:v>982.43550000000005</c:v>
                </c:pt>
                <c:pt idx="9">
                  <c:v>790.98</c:v>
                </c:pt>
                <c:pt idx="10">
                  <c:v>830.73149999999998</c:v>
                </c:pt>
                <c:pt idx="11">
                  <c:v>700.60400000000004</c:v>
                </c:pt>
              </c:numCache>
            </c:numRef>
          </c:val>
          <c:smooth val="0"/>
          <c:extLst>
            <c:ext xmlns:c16="http://schemas.microsoft.com/office/drawing/2014/chart" uri="{C3380CC4-5D6E-409C-BE32-E72D297353CC}">
              <c16:uniqueId val="{00000001-9F81-427F-86D0-EE2825BC3A86}"/>
            </c:ext>
          </c:extLst>
        </c:ser>
        <c:ser>
          <c:idx val="4"/>
          <c:order val="1"/>
          <c:tx>
            <c:strRef>
              <c:f>'Gráficos vino DO org'!$Y$5</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org'!$Z$5:$AK$5</c:f>
              <c:numCache>
                <c:formatCode>_ * #,##0.0_ ;_ * \-#,##0.0_ ;_ * "-"_ ;_ @_ </c:formatCode>
                <c:ptCount val="12"/>
                <c:pt idx="0">
                  <c:v>1353.5415</c:v>
                </c:pt>
                <c:pt idx="1">
                  <c:v>1039.8434999999999</c:v>
                </c:pt>
                <c:pt idx="2">
                  <c:v>1312.4159999999999</c:v>
                </c:pt>
                <c:pt idx="3">
                  <c:v>869.15250000000003</c:v>
                </c:pt>
                <c:pt idx="4">
                  <c:v>1016.9297163</c:v>
                </c:pt>
                <c:pt idx="5">
                  <c:v>1192.1079999999999</c:v>
                </c:pt>
                <c:pt idx="6">
                  <c:v>848.01850000000002</c:v>
                </c:pt>
                <c:pt idx="7">
                  <c:v>966.36085000000003</c:v>
                </c:pt>
                <c:pt idx="8">
                  <c:v>828.08249999999998</c:v>
                </c:pt>
                <c:pt idx="9">
                  <c:v>750.096</c:v>
                </c:pt>
                <c:pt idx="10">
                  <c:v>995.75649999999996</c:v>
                </c:pt>
                <c:pt idx="11">
                  <c:v>1331.1255000000001</c:v>
                </c:pt>
              </c:numCache>
            </c:numRef>
          </c:val>
          <c:smooth val="0"/>
          <c:extLst>
            <c:ext xmlns:c16="http://schemas.microsoft.com/office/drawing/2014/chart" uri="{C3380CC4-5D6E-409C-BE32-E72D297353CC}">
              <c16:uniqueId val="{00000002-9F81-427F-86D0-EE2825BC3A86}"/>
            </c:ext>
          </c:extLst>
        </c:ser>
        <c:ser>
          <c:idx val="5"/>
          <c:order val="2"/>
          <c:tx>
            <c:strRef>
              <c:f>'Gráficos vino DO org'!$Y$6</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org'!$Z$6:$AK$6</c:f>
              <c:numCache>
                <c:formatCode>_ * #,##0.0_ ;_ * \-#,##0.0_ ;_ * "-"_ ;_ @_ </c:formatCode>
                <c:ptCount val="12"/>
                <c:pt idx="0">
                  <c:v>883.02224999999999</c:v>
                </c:pt>
                <c:pt idx="1">
                  <c:v>875.33100000000002</c:v>
                </c:pt>
                <c:pt idx="2">
                  <c:v>908.19</c:v>
                </c:pt>
                <c:pt idx="3">
                  <c:v>736.053</c:v>
                </c:pt>
                <c:pt idx="4">
                  <c:v>875.43299999999999</c:v>
                </c:pt>
                <c:pt idx="5">
                  <c:v>1142.412</c:v>
                </c:pt>
                <c:pt idx="6">
                  <c:v>1058.768</c:v>
                </c:pt>
                <c:pt idx="7">
                  <c:v>1045.326</c:v>
                </c:pt>
                <c:pt idx="8">
                  <c:v>816.47850000000005</c:v>
                </c:pt>
                <c:pt idx="9">
                  <c:v>742.81200000000001</c:v>
                </c:pt>
                <c:pt idx="10">
                  <c:v>782.26740000000007</c:v>
                </c:pt>
                <c:pt idx="11">
                  <c:v>848.70614999999987</c:v>
                </c:pt>
              </c:numCache>
            </c:numRef>
          </c:val>
          <c:smooth val="0"/>
          <c:extLst>
            <c:ext xmlns:c16="http://schemas.microsoft.com/office/drawing/2014/chart" uri="{C3380CC4-5D6E-409C-BE32-E72D297353CC}">
              <c16:uniqueId val="{00000003-9F81-427F-86D0-EE2825BC3A86}"/>
            </c:ext>
          </c:extLst>
        </c:ser>
        <c:dLbls>
          <c:showLegendKey val="0"/>
          <c:showVal val="0"/>
          <c:showCatName val="0"/>
          <c:showSerName val="0"/>
          <c:showPercent val="0"/>
          <c:showBubbleSize val="0"/>
        </c:dLbls>
        <c:smooth val="0"/>
        <c:axId val="-1401477152"/>
        <c:axId val="-1401474400"/>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ax val="1350"/>
          <c:min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Chile. Valor de exportaciones de vino elaborado con uvas orgánicas con denominación de origen (miles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vino DO org'!$Y$11</c:f>
              <c:strCache>
                <c:ptCount val="1"/>
                <c:pt idx="0">
                  <c:v>2020</c:v>
                </c:pt>
              </c:strCache>
            </c:strRef>
          </c:tx>
          <c:spPr>
            <a:ln w="28575" cap="rnd">
              <a:solidFill>
                <a:schemeClr val="accent1"/>
              </a:solidFill>
              <a:round/>
            </a:ln>
            <a:effectLst/>
          </c:spPr>
          <c:marker>
            <c:symbol val="none"/>
          </c:marker>
          <c:cat>
            <c:strRef>
              <c:f>'Gráficos vino DO org'!$Z$17:$AK$17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org'!$Z$11:$AK$11</c:f>
              <c:numCache>
                <c:formatCode>_(* #,##0_);_(* \(#,##0\);_(* "-"_);_(@_)</c:formatCode>
                <c:ptCount val="12"/>
                <c:pt idx="0">
                  <c:v>4801.6859899999981</c:v>
                </c:pt>
                <c:pt idx="1">
                  <c:v>3075.0533099999989</c:v>
                </c:pt>
                <c:pt idx="2">
                  <c:v>3408.6837000000014</c:v>
                </c:pt>
                <c:pt idx="3">
                  <c:v>3532.285270000003</c:v>
                </c:pt>
                <c:pt idx="4">
                  <c:v>4018.2032299999996</c:v>
                </c:pt>
                <c:pt idx="5">
                  <c:v>2209.6856000000002</c:v>
                </c:pt>
                <c:pt idx="6">
                  <c:v>3711.2722600000006</c:v>
                </c:pt>
                <c:pt idx="7">
                  <c:v>4412.4235199999994</c:v>
                </c:pt>
                <c:pt idx="8">
                  <c:v>4161.0594499999997</c:v>
                </c:pt>
                <c:pt idx="9">
                  <c:v>3664.5571800000025</c:v>
                </c:pt>
                <c:pt idx="10">
                  <c:v>3597.059720000002</c:v>
                </c:pt>
                <c:pt idx="11">
                  <c:v>3195.7451599999999</c:v>
                </c:pt>
              </c:numCache>
            </c:numRef>
          </c:val>
          <c:smooth val="0"/>
          <c:extLst>
            <c:ext xmlns:c16="http://schemas.microsoft.com/office/drawing/2014/chart" uri="{C3380CC4-5D6E-409C-BE32-E72D297353CC}">
              <c16:uniqueId val="{00000000-1331-42C5-BA71-8C66D65B8087}"/>
            </c:ext>
          </c:extLst>
        </c:ser>
        <c:ser>
          <c:idx val="1"/>
          <c:order val="1"/>
          <c:tx>
            <c:strRef>
              <c:f>'Gráficos vino DO org'!$Y$12</c:f>
              <c:strCache>
                <c:ptCount val="1"/>
                <c:pt idx="0">
                  <c:v>2021</c:v>
                </c:pt>
              </c:strCache>
            </c:strRef>
          </c:tx>
          <c:spPr>
            <a:ln w="28575" cap="rnd">
              <a:solidFill>
                <a:schemeClr val="accent2"/>
              </a:solidFill>
              <a:round/>
            </a:ln>
            <a:effectLst/>
          </c:spPr>
          <c:marker>
            <c:symbol val="none"/>
          </c:marker>
          <c:cat>
            <c:strRef>
              <c:f>'Gráficos vino DO org'!$Z$17:$AK$17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org'!$Z$12:$AK$12</c:f>
              <c:numCache>
                <c:formatCode>_(* #,##0_);_(* \(#,##0\);_(* "-"_);_(@_)</c:formatCode>
                <c:ptCount val="12"/>
                <c:pt idx="0">
                  <c:v>6159.8613399999986</c:v>
                </c:pt>
                <c:pt idx="1">
                  <c:v>3855.7715999999991</c:v>
                </c:pt>
                <c:pt idx="2">
                  <c:v>5790.8267499999974</c:v>
                </c:pt>
                <c:pt idx="3">
                  <c:v>3986.3585499999999</c:v>
                </c:pt>
                <c:pt idx="4">
                  <c:v>4519.1267199999957</c:v>
                </c:pt>
                <c:pt idx="5">
                  <c:v>4156.6129200000005</c:v>
                </c:pt>
                <c:pt idx="6">
                  <c:v>3893.1811099999991</c:v>
                </c:pt>
                <c:pt idx="7">
                  <c:v>4427.1716100000003</c:v>
                </c:pt>
                <c:pt idx="8">
                  <c:v>3681.8751699999989</c:v>
                </c:pt>
                <c:pt idx="9">
                  <c:v>3490.6584700000008</c:v>
                </c:pt>
                <c:pt idx="10">
                  <c:v>4690.0198499999969</c:v>
                </c:pt>
                <c:pt idx="11">
                  <c:v>6212.3798900000002</c:v>
                </c:pt>
              </c:numCache>
            </c:numRef>
          </c:val>
          <c:smooth val="0"/>
          <c:extLst>
            <c:ext xmlns:c16="http://schemas.microsoft.com/office/drawing/2014/chart" uri="{C3380CC4-5D6E-409C-BE32-E72D297353CC}">
              <c16:uniqueId val="{00000001-1331-42C5-BA71-8C66D65B8087}"/>
            </c:ext>
          </c:extLst>
        </c:ser>
        <c:ser>
          <c:idx val="2"/>
          <c:order val="2"/>
          <c:tx>
            <c:strRef>
              <c:f>'Gráficos vino DO org'!$Y$13</c:f>
              <c:strCache>
                <c:ptCount val="1"/>
                <c:pt idx="0">
                  <c:v>2022</c:v>
                </c:pt>
              </c:strCache>
            </c:strRef>
          </c:tx>
          <c:spPr>
            <a:ln w="28575" cap="rnd">
              <a:solidFill>
                <a:schemeClr val="accent3"/>
              </a:solidFill>
              <a:round/>
            </a:ln>
            <a:effectLst/>
          </c:spPr>
          <c:marker>
            <c:symbol val="none"/>
          </c:marker>
          <c:cat>
            <c:strRef>
              <c:f>'Gráficos vino DO org'!$Z$17:$AK$17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org'!$Z$13:$AK$13</c:f>
              <c:numCache>
                <c:formatCode>_(* #,##0_);_(* \(#,##0\);_(* "-"_);_(@_)</c:formatCode>
                <c:ptCount val="12"/>
                <c:pt idx="0">
                  <c:v>4325.9317099999998</c:v>
                </c:pt>
                <c:pt idx="1">
                  <c:v>3744.4295100000013</c:v>
                </c:pt>
                <c:pt idx="2">
                  <c:v>4004.5952600000014</c:v>
                </c:pt>
                <c:pt idx="3">
                  <c:v>3369.1120600000013</c:v>
                </c:pt>
                <c:pt idx="4">
                  <c:v>3714.4246299999982</c:v>
                </c:pt>
                <c:pt idx="5">
                  <c:v>5602.7709699999987</c:v>
                </c:pt>
                <c:pt idx="6">
                  <c:v>4640.3471299999983</c:v>
                </c:pt>
                <c:pt idx="7">
                  <c:v>4681.1523900000002</c:v>
                </c:pt>
                <c:pt idx="8">
                  <c:v>3760.0650499999992</c:v>
                </c:pt>
                <c:pt idx="9">
                  <c:v>3194.8162300000004</c:v>
                </c:pt>
                <c:pt idx="10">
                  <c:v>3496.1895399999989</c:v>
                </c:pt>
                <c:pt idx="11">
                  <c:v>3837.4293000000002</c:v>
                </c:pt>
              </c:numCache>
            </c:numRef>
          </c:val>
          <c:smooth val="0"/>
          <c:extLst>
            <c:ext xmlns:c16="http://schemas.microsoft.com/office/drawing/2014/chart" uri="{C3380CC4-5D6E-409C-BE32-E72D297353CC}">
              <c16:uniqueId val="{00000002-1331-42C5-BA71-8C66D65B8087}"/>
            </c:ext>
          </c:extLst>
        </c:ser>
        <c:dLbls>
          <c:showLegendKey val="0"/>
          <c:showVal val="0"/>
          <c:showCatName val="0"/>
          <c:showSerName val="0"/>
          <c:showPercent val="0"/>
          <c:showBubbleSize val="0"/>
        </c:dLbls>
        <c:smooth val="0"/>
        <c:axId val="-1401427664"/>
        <c:axId val="-1401424912"/>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ax val="60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elaborado con uvas orgánicas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0"/>
          <c:order val="0"/>
          <c:tx>
            <c:strRef>
              <c:f>'Gráficos vino DO org'!$Y$20</c:f>
              <c:strCache>
                <c:ptCount val="1"/>
                <c:pt idx="0">
                  <c:v>2020</c:v>
                </c:pt>
              </c:strCache>
            </c:strRef>
          </c:tx>
          <c:spPr>
            <a:ln w="28575" cap="rnd">
              <a:solidFill>
                <a:schemeClr val="accent1"/>
              </a:solidFill>
              <a:round/>
            </a:ln>
            <a:effectLst/>
          </c:spPr>
          <c:marker>
            <c:symbol val="none"/>
          </c:marker>
          <c:cat>
            <c:strRef>
              <c:f>'Gráficos vino DO org'!$Z$17:$AK$17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org'!$Z$20:$AK$20</c:f>
              <c:numCache>
                <c:formatCode>0.00</c:formatCode>
                <c:ptCount val="12"/>
                <c:pt idx="0">
                  <c:v>4.0247384126137939</c:v>
                </c:pt>
                <c:pt idx="1">
                  <c:v>3.8814889133344805</c:v>
                </c:pt>
                <c:pt idx="2">
                  <c:v>4.0166451125595746</c:v>
                </c:pt>
                <c:pt idx="3">
                  <c:v>4.1991552081903105</c:v>
                </c:pt>
                <c:pt idx="4">
                  <c:v>3.8059059880789667</c:v>
                </c:pt>
                <c:pt idx="5">
                  <c:v>4.1663449074270487</c:v>
                </c:pt>
                <c:pt idx="6">
                  <c:v>4.3082666100167106</c:v>
                </c:pt>
                <c:pt idx="7">
                  <c:v>4.3648941871956257</c:v>
                </c:pt>
                <c:pt idx="8">
                  <c:v>4.2354530653666318</c:v>
                </c:pt>
                <c:pt idx="9">
                  <c:v>4.6329327922324239</c:v>
                </c:pt>
                <c:pt idx="10">
                  <c:v>4.3299907611544795</c:v>
                </c:pt>
                <c:pt idx="11">
                  <c:v>4.561414379592466</c:v>
                </c:pt>
              </c:numCache>
            </c:numRef>
          </c:val>
          <c:smooth val="0"/>
          <c:extLst>
            <c:ext xmlns:c16="http://schemas.microsoft.com/office/drawing/2014/chart" uri="{C3380CC4-5D6E-409C-BE32-E72D297353CC}">
              <c16:uniqueId val="{00000000-7D97-4A18-8E8B-9126C228085B}"/>
            </c:ext>
          </c:extLst>
        </c:ser>
        <c:ser>
          <c:idx val="1"/>
          <c:order val="1"/>
          <c:tx>
            <c:strRef>
              <c:f>'Gráficos vino DO org'!$Y$21</c:f>
              <c:strCache>
                <c:ptCount val="1"/>
                <c:pt idx="0">
                  <c:v>2021</c:v>
                </c:pt>
              </c:strCache>
            </c:strRef>
          </c:tx>
          <c:spPr>
            <a:ln w="28575" cap="rnd">
              <a:solidFill>
                <a:schemeClr val="accent2"/>
              </a:solidFill>
              <a:round/>
            </a:ln>
            <a:effectLst/>
          </c:spPr>
          <c:marker>
            <c:symbol val="none"/>
          </c:marker>
          <c:cat>
            <c:strRef>
              <c:f>'Gráficos vino DO org'!$Z$17:$AK$17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org'!$Z$21:$AK$21</c:f>
              <c:numCache>
                <c:formatCode>0.00</c:formatCode>
                <c:ptCount val="12"/>
                <c:pt idx="0">
                  <c:v>4.5509216673445172</c:v>
                </c:pt>
                <c:pt idx="1">
                  <c:v>3.7080306796166917</c:v>
                </c:pt>
                <c:pt idx="2">
                  <c:v>4.4123408660058985</c:v>
                </c:pt>
                <c:pt idx="3">
                  <c:v>4.5864891949341455</c:v>
                </c:pt>
                <c:pt idx="4">
                  <c:v>4.4438928743693316</c:v>
                </c:pt>
                <c:pt idx="5">
                  <c:v>3.4867754599415495</c:v>
                </c:pt>
                <c:pt idx="6">
                  <c:v>4.5909153043241382</c:v>
                </c:pt>
                <c:pt idx="7">
                  <c:v>4.5812820438659125</c:v>
                </c:pt>
                <c:pt idx="8">
                  <c:v>4.4462661268653774</c:v>
                </c:pt>
                <c:pt idx="9">
                  <c:v>4.6536156305326264</c:v>
                </c:pt>
                <c:pt idx="10">
                  <c:v>4.7100067637017657</c:v>
                </c:pt>
                <c:pt idx="11">
                  <c:v>4.6670129074982034</c:v>
                </c:pt>
              </c:numCache>
            </c:numRef>
          </c:val>
          <c:smooth val="0"/>
          <c:extLst>
            <c:ext xmlns:c16="http://schemas.microsoft.com/office/drawing/2014/chart" uri="{C3380CC4-5D6E-409C-BE32-E72D297353CC}">
              <c16:uniqueId val="{00000001-7D97-4A18-8E8B-9126C228085B}"/>
            </c:ext>
          </c:extLst>
        </c:ser>
        <c:ser>
          <c:idx val="2"/>
          <c:order val="2"/>
          <c:tx>
            <c:strRef>
              <c:f>'Gráficos vino DO org'!$Y$22</c:f>
              <c:strCache>
                <c:ptCount val="1"/>
                <c:pt idx="0">
                  <c:v>2022</c:v>
                </c:pt>
              </c:strCache>
            </c:strRef>
          </c:tx>
          <c:spPr>
            <a:ln w="28575" cap="rnd">
              <a:solidFill>
                <a:schemeClr val="accent3"/>
              </a:solidFill>
              <a:round/>
            </a:ln>
            <a:effectLst/>
          </c:spPr>
          <c:marker>
            <c:symbol val="none"/>
          </c:marker>
          <c:cat>
            <c:strRef>
              <c:f>'Gráficos vino DO org'!$Z$17:$AK$17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DO org'!$Z$22:$AK$22</c:f>
              <c:numCache>
                <c:formatCode>0.00</c:formatCode>
                <c:ptCount val="12"/>
                <c:pt idx="0">
                  <c:v>4.8990064633139196</c:v>
                </c:pt>
                <c:pt idx="1">
                  <c:v>4.2777298073528769</c:v>
                </c:pt>
                <c:pt idx="2">
                  <c:v>4.4094245257049751</c:v>
                </c:pt>
                <c:pt idx="3">
                  <c:v>4.5772682945385741</c:v>
                </c:pt>
                <c:pt idx="4">
                  <c:v>4.2429570623908379</c:v>
                </c:pt>
                <c:pt idx="5">
                  <c:v>4.9043348371690758</c:v>
                </c:pt>
                <c:pt idx="6">
                  <c:v>4.38277991968023</c:v>
                </c:pt>
                <c:pt idx="7">
                  <c:v>4.4781746459956038</c:v>
                </c:pt>
                <c:pt idx="8">
                  <c:v>4.6052223665411871</c:v>
                </c:pt>
                <c:pt idx="9">
                  <c:v>4.3009755227433057</c:v>
                </c:pt>
                <c:pt idx="10">
                  <c:v>4.4693023638719938</c:v>
                </c:pt>
                <c:pt idx="11">
                  <c:v>4.5215052347623503</c:v>
                </c:pt>
              </c:numCache>
            </c:numRef>
          </c:val>
          <c:smooth val="0"/>
          <c:extLst>
            <c:ext xmlns:c16="http://schemas.microsoft.com/office/drawing/2014/chart" uri="{C3380CC4-5D6E-409C-BE32-E72D297353CC}">
              <c16:uniqueId val="{00000002-7D97-4A18-8E8B-9126C228085B}"/>
            </c:ext>
          </c:extLst>
        </c:ser>
        <c:dLbls>
          <c:showLegendKey val="0"/>
          <c:showVal val="0"/>
          <c:showCatName val="0"/>
          <c:showSerName val="0"/>
          <c:showPercent val="0"/>
          <c:showBubbleSize val="0"/>
        </c:dLbls>
        <c:smooth val="0"/>
        <c:axId val="-1401378736"/>
        <c:axId val="-1401375984"/>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0"/>
          <c:tx>
            <c:strRef>
              <c:f>'Gráficos vino granel'!$Q$8</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25.213455</c:v>
                </c:pt>
                <c:pt idx="7">
                  <c:v>31.659251999999999</c:v>
                </c:pt>
                <c:pt idx="8">
                  <c:v>21.26023</c:v>
                </c:pt>
                <c:pt idx="9">
                  <c:v>22.857903</c:v>
                </c:pt>
                <c:pt idx="10">
                  <c:v>41.516021000000002</c:v>
                </c:pt>
                <c:pt idx="11">
                  <c:v>29.012821750000001</c:v>
                </c:pt>
              </c:numCache>
            </c:numRef>
          </c:val>
          <c:smooth val="0"/>
          <c:extLst>
            <c:ext xmlns:c16="http://schemas.microsoft.com/office/drawing/2014/chart" uri="{C3380CC4-5D6E-409C-BE32-E72D297353CC}">
              <c16:uniqueId val="{00000002-3600-488E-BF2D-5856CF8EC9D5}"/>
            </c:ext>
          </c:extLst>
        </c:ser>
        <c:ser>
          <c:idx val="3"/>
          <c:order val="1"/>
          <c:tx>
            <c:strRef>
              <c:f>'Gráficos vino granel'!$Q$9</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3-3600-488E-BF2D-5856CF8EC9D5}"/>
            </c:ext>
          </c:extLst>
        </c:ser>
        <c:ser>
          <c:idx val="4"/>
          <c:order val="2"/>
          <c:tx>
            <c:strRef>
              <c:f>'Gráficos vino granel'!$Q$10</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29.491007</c:v>
                </c:pt>
                <c:pt idx="1">
                  <c:v>28.33947349</c:v>
                </c:pt>
                <c:pt idx="2">
                  <c:v>29.439339</c:v>
                </c:pt>
                <c:pt idx="3">
                  <c:v>26.130634000000001</c:v>
                </c:pt>
                <c:pt idx="4">
                  <c:v>26.116364000000001</c:v>
                </c:pt>
                <c:pt idx="5">
                  <c:v>29.719650999999999</c:v>
                </c:pt>
                <c:pt idx="6">
                  <c:v>25.8474983077</c:v>
                </c:pt>
                <c:pt idx="7">
                  <c:v>30.644948420000002</c:v>
                </c:pt>
                <c:pt idx="8">
                  <c:v>30.785739</c:v>
                </c:pt>
                <c:pt idx="9">
                  <c:v>33.801979000000003</c:v>
                </c:pt>
                <c:pt idx="10">
                  <c:v>26.826113500000002</c:v>
                </c:pt>
                <c:pt idx="11">
                  <c:v>35.943184500000001</c:v>
                </c:pt>
              </c:numCache>
            </c:numRef>
          </c:val>
          <c:smooth val="0"/>
          <c:extLst>
            <c:ext xmlns:c16="http://schemas.microsoft.com/office/drawing/2014/chart" uri="{C3380CC4-5D6E-409C-BE32-E72D297353CC}">
              <c16:uniqueId val="{00000004-3600-488E-BF2D-5856CF8EC9D5}"/>
            </c:ext>
          </c:extLst>
        </c:ser>
        <c:ser>
          <c:idx val="5"/>
          <c:order val="3"/>
          <c:tx>
            <c:strRef>
              <c:f>'Gráficos vino granel'!$Q$11</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granel'!$R$11:$AC$11</c:f>
              <c:numCache>
                <c:formatCode>0.0</c:formatCode>
                <c:ptCount val="12"/>
                <c:pt idx="0">
                  <c:v>32.011490999999999</c:v>
                </c:pt>
                <c:pt idx="1">
                  <c:v>27.487210000000001</c:v>
                </c:pt>
                <c:pt idx="2">
                  <c:v>31.292822999999999</c:v>
                </c:pt>
                <c:pt idx="3">
                  <c:v>26.601939000000002</c:v>
                </c:pt>
                <c:pt idx="4">
                  <c:v>31.955936999999999</c:v>
                </c:pt>
                <c:pt idx="5">
                  <c:v>31.153109000000001</c:v>
                </c:pt>
                <c:pt idx="6">
                  <c:v>23.427689000000001</c:v>
                </c:pt>
                <c:pt idx="7">
                  <c:v>28.40885608</c:v>
                </c:pt>
                <c:pt idx="8">
                  <c:v>23.712140999999999</c:v>
                </c:pt>
                <c:pt idx="9">
                  <c:v>25.921215</c:v>
                </c:pt>
                <c:pt idx="10">
                  <c:v>22.205815749999999</c:v>
                </c:pt>
                <c:pt idx="11">
                  <c:v>18.67795825</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1401324544"/>
        <c:axId val="-1401321792"/>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0"/>
          <c:tx>
            <c:strRef>
              <c:f>'Gráficos vino granel'!$Q$17</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38.327187719999991</c:v>
                </c:pt>
                <c:pt idx="1">
                  <c:v>26.6031355</c:v>
                </c:pt>
                <c:pt idx="2">
                  <c:v>31.976685090000004</c:v>
                </c:pt>
                <c:pt idx="3">
                  <c:v>29.749902319999997</c:v>
                </c:pt>
                <c:pt idx="4">
                  <c:v>39.303867290000007</c:v>
                </c:pt>
                <c:pt idx="5" formatCode="0.00">
                  <c:v>19.988906280000005</c:v>
                </c:pt>
                <c:pt idx="6">
                  <c:v>22.277958459999994</c:v>
                </c:pt>
                <c:pt idx="7">
                  <c:v>27.316494359999993</c:v>
                </c:pt>
                <c:pt idx="8">
                  <c:v>19.081644840000003</c:v>
                </c:pt>
                <c:pt idx="9">
                  <c:v>20.346365410000008</c:v>
                </c:pt>
                <c:pt idx="10">
                  <c:v>36.333882450000004</c:v>
                </c:pt>
                <c:pt idx="11">
                  <c:v>24.749237379999993</c:v>
                </c:pt>
              </c:numCache>
            </c:numRef>
          </c:val>
          <c:smooth val="0"/>
          <c:extLst>
            <c:ext xmlns:c16="http://schemas.microsoft.com/office/drawing/2014/chart" uri="{C3380CC4-5D6E-409C-BE32-E72D297353CC}">
              <c16:uniqueId val="{00000002-220A-4AB3-ABB1-20F737271900}"/>
            </c:ext>
          </c:extLst>
        </c:ser>
        <c:ser>
          <c:idx val="3"/>
          <c:order val="1"/>
          <c:tx>
            <c:strRef>
              <c:f>'Gráficos vino granel'!$Q$18</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22.806605150000003</c:v>
                </c:pt>
                <c:pt idx="11">
                  <c:v>27.969808269999998</c:v>
                </c:pt>
              </c:numCache>
            </c:numRef>
          </c:val>
          <c:smooth val="0"/>
          <c:extLst>
            <c:ext xmlns:c16="http://schemas.microsoft.com/office/drawing/2014/chart" uri="{C3380CC4-5D6E-409C-BE32-E72D297353CC}">
              <c16:uniqueId val="{00000003-220A-4AB3-ABB1-20F737271900}"/>
            </c:ext>
          </c:extLst>
        </c:ser>
        <c:ser>
          <c:idx val="4"/>
          <c:order val="2"/>
          <c:tx>
            <c:strRef>
              <c:f>'Gráficos vino granel'!$Q$19</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granel'!$R$19:$AC$19</c:f>
              <c:numCache>
                <c:formatCode>0.0</c:formatCode>
                <c:ptCount val="12"/>
                <c:pt idx="0">
                  <c:v>24.06928783</c:v>
                </c:pt>
                <c:pt idx="1">
                  <c:v>24.209827790000002</c:v>
                </c:pt>
                <c:pt idx="2">
                  <c:v>26.39333293000001</c:v>
                </c:pt>
                <c:pt idx="3">
                  <c:v>22.451203769999992</c:v>
                </c:pt>
                <c:pt idx="4">
                  <c:v>24.298061509999986</c:v>
                </c:pt>
                <c:pt idx="5">
                  <c:v>29.496481510000006</c:v>
                </c:pt>
                <c:pt idx="6">
                  <c:v>21.608525190000005</c:v>
                </c:pt>
                <c:pt idx="7">
                  <c:v>25.697983490000002</c:v>
                </c:pt>
                <c:pt idx="8">
                  <c:v>27.428050939999988</c:v>
                </c:pt>
                <c:pt idx="9">
                  <c:v>28.973097999999997</c:v>
                </c:pt>
                <c:pt idx="10">
                  <c:v>23.483420579999997</c:v>
                </c:pt>
                <c:pt idx="11">
                  <c:v>30.651122740000005</c:v>
                </c:pt>
              </c:numCache>
            </c:numRef>
          </c:val>
          <c:smooth val="0"/>
          <c:extLst>
            <c:ext xmlns:c16="http://schemas.microsoft.com/office/drawing/2014/chart" uri="{C3380CC4-5D6E-409C-BE32-E72D297353CC}">
              <c16:uniqueId val="{00000004-220A-4AB3-ABB1-20F737271900}"/>
            </c:ext>
          </c:extLst>
        </c:ser>
        <c:ser>
          <c:idx val="5"/>
          <c:order val="3"/>
          <c:tx>
            <c:strRef>
              <c:f>'Gráficos vino granel'!$Q$20</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granel'!$R$20:$AC$20</c:f>
              <c:numCache>
                <c:formatCode>0.0</c:formatCode>
                <c:ptCount val="12"/>
                <c:pt idx="0">
                  <c:v>29.74286888</c:v>
                </c:pt>
                <c:pt idx="1">
                  <c:v>25.084364389999998</c:v>
                </c:pt>
                <c:pt idx="2">
                  <c:v>30.897358090000001</c:v>
                </c:pt>
                <c:pt idx="3">
                  <c:v>24.62867653</c:v>
                </c:pt>
                <c:pt idx="4">
                  <c:v>27.280522950000002</c:v>
                </c:pt>
                <c:pt idx="5">
                  <c:v>29.875025359999995</c:v>
                </c:pt>
                <c:pt idx="6">
                  <c:v>22.97010165</c:v>
                </c:pt>
                <c:pt idx="7">
                  <c:v>27.608812719999996</c:v>
                </c:pt>
                <c:pt idx="8">
                  <c:v>21.381076460000006</c:v>
                </c:pt>
                <c:pt idx="9">
                  <c:v>23.285519730000001</c:v>
                </c:pt>
                <c:pt idx="10">
                  <c:v>20.151447709999999</c:v>
                </c:pt>
                <c:pt idx="11">
                  <c:v>16.284803140000005</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1401275056"/>
        <c:axId val="-1401272304"/>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ax val="40"/>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 a granel (USD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0"/>
          <c:tx>
            <c:strRef>
              <c:f>'Gráficos vino granel'!$Q$28</c:f>
              <c:strCache>
                <c:ptCount val="1"/>
                <c:pt idx="0">
                  <c:v>2019</c:v>
                </c:pt>
              </c:strCache>
            </c:strRef>
          </c:tx>
          <c:spPr>
            <a:ln w="28575" cap="rnd">
              <a:solidFill>
                <a:schemeClr val="accent3"/>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1.0458324249959243</c:v>
                </c:pt>
                <c:pt idx="1">
                  <c:v>0.94112504464510616</c:v>
                </c:pt>
                <c:pt idx="2">
                  <c:v>1.0547693788379298</c:v>
                </c:pt>
                <c:pt idx="3">
                  <c:v>0.85079571738629767</c:v>
                </c:pt>
                <c:pt idx="4">
                  <c:v>1.1076144861268873</c:v>
                </c:pt>
                <c:pt idx="5">
                  <c:v>0.87502935295327422</c:v>
                </c:pt>
                <c:pt idx="6">
                  <c:v>0.8835742051218286</c:v>
                </c:pt>
                <c:pt idx="7">
                  <c:v>0.862828166628826</c:v>
                </c:pt>
                <c:pt idx="8">
                  <c:v>0.89752767679371304</c:v>
                </c:pt>
                <c:pt idx="9">
                  <c:v>0.8901238845050663</c:v>
                </c:pt>
                <c:pt idx="10">
                  <c:v>0.87517737911347526</c:v>
                </c:pt>
                <c:pt idx="11">
                  <c:v>0.8530448225016235</c:v>
                </c:pt>
              </c:numCache>
            </c:numRef>
          </c:val>
          <c:smooth val="0"/>
          <c:extLst>
            <c:ext xmlns:c16="http://schemas.microsoft.com/office/drawing/2014/chart" uri="{C3380CC4-5D6E-409C-BE32-E72D297353CC}">
              <c16:uniqueId val="{00000002-2C83-41E1-AFC8-1FBF62D36E33}"/>
            </c:ext>
          </c:extLst>
        </c:ser>
        <c:ser>
          <c:idx val="3"/>
          <c:order val="1"/>
          <c:tx>
            <c:strRef>
              <c:f>'Gráficos vino granel'!$Q$29</c:f>
              <c:strCache>
                <c:ptCount val="1"/>
                <c:pt idx="0">
                  <c:v>2020</c:v>
                </c:pt>
              </c:strCache>
            </c:strRef>
          </c:tx>
          <c:spPr>
            <a:ln w="28575" cap="rnd">
              <a:solidFill>
                <a:schemeClr val="accent4"/>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granel'!$R$29:$AC$29</c:f>
              <c:numCache>
                <c:formatCode>0.00</c:formatCode>
                <c:ptCount val="12"/>
                <c:pt idx="0">
                  <c:v>0.86596840759122773</c:v>
                </c:pt>
                <c:pt idx="1">
                  <c:v>0.85396378716128274</c:v>
                </c:pt>
                <c:pt idx="2">
                  <c:v>0.85757977208427094</c:v>
                </c:pt>
                <c:pt idx="3">
                  <c:v>0.80122599563001029</c:v>
                </c:pt>
                <c:pt idx="4">
                  <c:v>0.81175164133902034</c:v>
                </c:pt>
                <c:pt idx="5">
                  <c:v>0.83776210148654229</c:v>
                </c:pt>
                <c:pt idx="6">
                  <c:v>0.85553892070934745</c:v>
                </c:pt>
                <c:pt idx="7">
                  <c:v>0.81036201809242592</c:v>
                </c:pt>
                <c:pt idx="8">
                  <c:v>0.7822252574460058</c:v>
                </c:pt>
                <c:pt idx="9">
                  <c:v>0.80749142198603241</c:v>
                </c:pt>
                <c:pt idx="10">
                  <c:v>0.77370274142889806</c:v>
                </c:pt>
                <c:pt idx="11">
                  <c:v>1.4758444383869505</c:v>
                </c:pt>
              </c:numCache>
            </c:numRef>
          </c:val>
          <c:smooth val="0"/>
          <c:extLst>
            <c:ext xmlns:c16="http://schemas.microsoft.com/office/drawing/2014/chart" uri="{C3380CC4-5D6E-409C-BE32-E72D297353CC}">
              <c16:uniqueId val="{00000003-2C83-41E1-AFC8-1FBF62D36E33}"/>
            </c:ext>
          </c:extLst>
        </c:ser>
        <c:ser>
          <c:idx val="4"/>
          <c:order val="2"/>
          <c:tx>
            <c:strRef>
              <c:f>'Gráficos vino granel'!$Q$30</c:f>
              <c:strCache>
                <c:ptCount val="1"/>
                <c:pt idx="0">
                  <c:v>2021</c:v>
                </c:pt>
              </c:strCache>
            </c:strRef>
          </c:tx>
          <c:spPr>
            <a:ln w="28575" cap="rnd">
              <a:solidFill>
                <a:schemeClr val="accent5"/>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granel'!$R$30:$AC$30</c:f>
              <c:numCache>
                <c:formatCode>0.00</c:formatCode>
                <c:ptCount val="12"/>
                <c:pt idx="0">
                  <c:v>0.81615686537933418</c:v>
                </c:pt>
                <c:pt idx="1">
                  <c:v>0.85427937814521493</c:v>
                </c:pt>
                <c:pt idx="2">
                  <c:v>0.89653279681313536</c:v>
                </c:pt>
                <c:pt idx="3">
                  <c:v>0.85919093160923654</c:v>
                </c:pt>
                <c:pt idx="4">
                  <c:v>0.93037688975387178</c:v>
                </c:pt>
                <c:pt idx="5">
                  <c:v>0.99249084418925404</c:v>
                </c:pt>
                <c:pt idx="6">
                  <c:v>0.83600064241276306</c:v>
                </c:pt>
                <c:pt idx="7">
                  <c:v>0.83857160200761072</c:v>
                </c:pt>
                <c:pt idx="8">
                  <c:v>0.89093365405326108</c:v>
                </c:pt>
                <c:pt idx="9">
                  <c:v>0.85714206259935233</c:v>
                </c:pt>
                <c:pt idx="10">
                  <c:v>0.87539406630781591</c:v>
                </c:pt>
                <c:pt idx="11">
                  <c:v>0.85276591838989679</c:v>
                </c:pt>
              </c:numCache>
            </c:numRef>
          </c:val>
          <c:smooth val="0"/>
          <c:extLst>
            <c:ext xmlns:c16="http://schemas.microsoft.com/office/drawing/2014/chart" uri="{C3380CC4-5D6E-409C-BE32-E72D297353CC}">
              <c16:uniqueId val="{00000004-2C83-41E1-AFC8-1FBF62D36E33}"/>
            </c:ext>
          </c:extLst>
        </c:ser>
        <c:ser>
          <c:idx val="5"/>
          <c:order val="3"/>
          <c:tx>
            <c:strRef>
              <c:f>'Gráficos vino granel'!$Q$31</c:f>
              <c:strCache>
                <c:ptCount val="1"/>
                <c:pt idx="0">
                  <c:v>2022</c:v>
                </c:pt>
              </c:strCache>
            </c:strRef>
          </c:tx>
          <c:spPr>
            <a:ln w="28575" cap="rnd">
              <a:solidFill>
                <a:schemeClr val="accent6"/>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granel'!$R$31:$AC$31</c:f>
              <c:numCache>
                <c:formatCode>0.00</c:formatCode>
                <c:ptCount val="12"/>
                <c:pt idx="0">
                  <c:v>0.92913100736232501</c:v>
                </c:pt>
                <c:pt idx="1">
                  <c:v>0.91258313921274647</c:v>
                </c:pt>
                <c:pt idx="2">
                  <c:v>0.9873624405826219</c:v>
                </c:pt>
                <c:pt idx="3">
                  <c:v>0.9258226075174445</c:v>
                </c:pt>
                <c:pt idx="4">
                  <c:v>0.85369184918595886</c:v>
                </c:pt>
                <c:pt idx="5">
                  <c:v>0.95897412229386136</c:v>
                </c:pt>
                <c:pt idx="6">
                  <c:v>0.98046809695996906</c:v>
                </c:pt>
                <c:pt idx="7">
                  <c:v>0.97183824094335014</c:v>
                </c:pt>
                <c:pt idx="8">
                  <c:v>0.90169320686816123</c:v>
                </c:pt>
                <c:pt idx="9">
                  <c:v>0.89831899199169485</c:v>
                </c:pt>
                <c:pt idx="10">
                  <c:v>0.90748513528488595</c:v>
                </c:pt>
                <c:pt idx="11">
                  <c:v>0.87187276692836624</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1401226576"/>
        <c:axId val="-1401223824"/>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ax val="1.5"/>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19. Volumen de exportación de vino a granel elaborado con uvas orgánicas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5"/>
          <c:order val="0"/>
          <c:tx>
            <c:strRef>
              <c:f>'Gráficos vino granel org'!$Q$2</c:f>
              <c:strCache>
                <c:ptCount val="1"/>
                <c:pt idx="0">
                  <c:v>2022</c:v>
                </c:pt>
              </c:strCache>
            </c:strRef>
          </c:tx>
          <c:spPr>
            <a:ln w="28575" cap="rnd">
              <a:solidFill>
                <a:schemeClr val="accent6"/>
              </a:solidFill>
              <a:round/>
            </a:ln>
            <a:effectLst/>
          </c:spPr>
          <c:marker>
            <c:symbol val="none"/>
          </c:marker>
          <c:cat>
            <c:strRef>
              <c:f>'Gráficos vino granel org'!$R$1:$AC$1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 org'!$R$2:$AC$2</c:f>
              <c:numCache>
                <c:formatCode>_ * #,##0.0_ ;_ * \-#,##0.0_ ;_ * "-"_ ;_ @_ </c:formatCode>
                <c:ptCount val="12"/>
                <c:pt idx="0">
                  <c:v>283.85000000000002</c:v>
                </c:pt>
                <c:pt idx="1">
                  <c:v>192.25</c:v>
                </c:pt>
                <c:pt idx="2">
                  <c:v>216.4</c:v>
                </c:pt>
                <c:pt idx="3">
                  <c:v>48.05</c:v>
                </c:pt>
                <c:pt idx="4">
                  <c:v>216.25</c:v>
                </c:pt>
                <c:pt idx="5">
                  <c:v>102.1</c:v>
                </c:pt>
                <c:pt idx="6">
                  <c:v>142.19999999999999</c:v>
                </c:pt>
                <c:pt idx="7">
                  <c:v>24</c:v>
                </c:pt>
                <c:pt idx="8">
                  <c:v>240.15</c:v>
                </c:pt>
                <c:pt idx="9">
                  <c:v>192.2</c:v>
                </c:pt>
                <c:pt idx="10">
                  <c:v>227.3</c:v>
                </c:pt>
                <c:pt idx="11">
                  <c:v>120.2</c:v>
                </c:pt>
              </c:numCache>
            </c:numRef>
          </c:val>
          <c:smooth val="0"/>
          <c:extLst>
            <c:ext xmlns:c16="http://schemas.microsoft.com/office/drawing/2014/chart" uri="{C3380CC4-5D6E-409C-BE32-E72D297353CC}">
              <c16:uniqueId val="{00000003-9578-4C01-B4E2-9E0BF5A9799D}"/>
            </c:ext>
          </c:extLst>
        </c:ser>
        <c:dLbls>
          <c:showLegendKey val="0"/>
          <c:showVal val="0"/>
          <c:showCatName val="0"/>
          <c:showSerName val="0"/>
          <c:showPercent val="0"/>
          <c:showBubbleSize val="0"/>
        </c:dLbls>
        <c:smooth val="0"/>
        <c:axId val="-1401324544"/>
        <c:axId val="-1401321792"/>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export'!$U$4:$AM$4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export'!$U$7:$AM$7</c:f>
              <c:numCache>
                <c:formatCode>0.00</c:formatCode>
                <c:ptCount val="19"/>
                <c:pt idx="0">
                  <c:v>1.7891391962550858</c:v>
                </c:pt>
                <c:pt idx="1">
                  <c:v>2.1092161228048028</c:v>
                </c:pt>
                <c:pt idx="2">
                  <c:v>2.0381432271442002</c:v>
                </c:pt>
                <c:pt idx="3">
                  <c:v>2.0782612841301202</c:v>
                </c:pt>
                <c:pt idx="4">
                  <c:v>2.3495086701723151</c:v>
                </c:pt>
                <c:pt idx="5">
                  <c:v>1.9955089558827652</c:v>
                </c:pt>
                <c:pt idx="6">
                  <c:v>2.1128982154523532</c:v>
                </c:pt>
                <c:pt idx="7">
                  <c:v>2.5455743516084364</c:v>
                </c:pt>
                <c:pt idx="8">
                  <c:v>2.3889180451125775</c:v>
                </c:pt>
                <c:pt idx="9">
                  <c:v>2.1373921484118896</c:v>
                </c:pt>
                <c:pt idx="10">
                  <c:v>2.3031009067094166</c:v>
                </c:pt>
                <c:pt idx="11">
                  <c:v>2.106806257592571</c:v>
                </c:pt>
                <c:pt idx="12">
                  <c:v>2.0340417597161293</c:v>
                </c:pt>
                <c:pt idx="13">
                  <c:v>2.1354641633139626</c:v>
                </c:pt>
                <c:pt idx="14">
                  <c:v>2.3482893334911803</c:v>
                </c:pt>
                <c:pt idx="15">
                  <c:v>2.2138783412368706</c:v>
                </c:pt>
                <c:pt idx="16">
                  <c:v>2.1467090545154828</c:v>
                </c:pt>
                <c:pt idx="17">
                  <c:v>2.2582101774286936</c:v>
                </c:pt>
                <c:pt idx="18">
                  <c:v>2.2866618427399912</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export'!$U$4:$AM$4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export'!$U$12:$AM$12</c:f>
              <c:numCache>
                <c:formatCode>0.00</c:formatCode>
                <c:ptCount val="19"/>
                <c:pt idx="0">
                  <c:v>2.7862443880887167</c:v>
                </c:pt>
                <c:pt idx="1">
                  <c:v>2.8705031136486223</c:v>
                </c:pt>
                <c:pt idx="2">
                  <c:v>2.9844027437272609</c:v>
                </c:pt>
                <c:pt idx="3">
                  <c:v>3.1859677555281674</c:v>
                </c:pt>
                <c:pt idx="4">
                  <c:v>3.3501635655294479</c:v>
                </c:pt>
                <c:pt idx="5">
                  <c:v>3.0685480685868147</c:v>
                </c:pt>
                <c:pt idx="6">
                  <c:v>3.1014342749134984</c:v>
                </c:pt>
                <c:pt idx="7">
                  <c:v>3.3326290517863288</c:v>
                </c:pt>
                <c:pt idx="8">
                  <c:v>3.3289653233024432</c:v>
                </c:pt>
                <c:pt idx="9">
                  <c:v>3.4202649753517798</c:v>
                </c:pt>
                <c:pt idx="10">
                  <c:v>3.4384038677444115</c:v>
                </c:pt>
                <c:pt idx="11">
                  <c:v>3.2965853368870865</c:v>
                </c:pt>
                <c:pt idx="12">
                  <c:v>3.164676201096511</c:v>
                </c:pt>
                <c:pt idx="13">
                  <c:v>3.1857906549341672</c:v>
                </c:pt>
                <c:pt idx="14">
                  <c:v>3.3004160280271515</c:v>
                </c:pt>
                <c:pt idx="15">
                  <c:v>3.2544723998369376</c:v>
                </c:pt>
                <c:pt idx="16">
                  <c:v>3.1264857591388204</c:v>
                </c:pt>
                <c:pt idx="17">
                  <c:v>3.3555581001880372</c:v>
                </c:pt>
                <c:pt idx="18">
                  <c:v>3.2889339643903539</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export'!$U$4:$AM$4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export'!$U$17:$AM$17</c:f>
              <c:numCache>
                <c:formatCode>0.00</c:formatCode>
                <c:ptCount val="19"/>
                <c:pt idx="0">
                  <c:v>0.61730695419897397</c:v>
                </c:pt>
                <c:pt idx="1">
                  <c:v>0.87059768439318619</c:v>
                </c:pt>
                <c:pt idx="2">
                  <c:v>0.70640164221818191</c:v>
                </c:pt>
                <c:pt idx="3">
                  <c:v>0.64512010511539852</c:v>
                </c:pt>
                <c:pt idx="4">
                  <c:v>0.87548781990425484</c:v>
                </c:pt>
                <c:pt idx="5">
                  <c:v>0.72927024915218175</c:v>
                </c:pt>
                <c:pt idx="6">
                  <c:v>0.83614621075267626</c:v>
                </c:pt>
                <c:pt idx="7">
                  <c:v>1.1669578654665964</c:v>
                </c:pt>
                <c:pt idx="8">
                  <c:v>1.1357766371680114</c:v>
                </c:pt>
                <c:pt idx="9">
                  <c:v>0.95296452427286304</c:v>
                </c:pt>
                <c:pt idx="10">
                  <c:v>0.90085818880992397</c:v>
                </c:pt>
                <c:pt idx="11">
                  <c:v>0.75958986292404462</c:v>
                </c:pt>
                <c:pt idx="12">
                  <c:v>0.7544198798807763</c:v>
                </c:pt>
                <c:pt idx="13">
                  <c:v>0.8634271658090672</c:v>
                </c:pt>
                <c:pt idx="14">
                  <c:v>1.0241001564945227</c:v>
                </c:pt>
                <c:pt idx="15">
                  <c:v>0.93312243435561004</c:v>
                </c:pt>
                <c:pt idx="16">
                  <c:v>0.86256621542083578</c:v>
                </c:pt>
                <c:pt idx="17">
                  <c:v>0.8737021493438818</c:v>
                </c:pt>
                <c:pt idx="18">
                  <c:v>0.92660266336327035</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export'!$U$4:$AM$4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export'!$U$22:$AM$22</c:f>
              <c:numCache>
                <c:formatCode>0.00</c:formatCode>
                <c:ptCount val="19"/>
                <c:pt idx="0">
                  <c:v>1.4823754310691495</c:v>
                </c:pt>
                <c:pt idx="1">
                  <c:v>1.5132729514515053</c:v>
                </c:pt>
                <c:pt idx="2">
                  <c:v>1.3969357088328871</c:v>
                </c:pt>
                <c:pt idx="3">
                  <c:v>1.6666914515657938</c:v>
                </c:pt>
                <c:pt idx="4">
                  <c:v>1.810845308928009</c:v>
                </c:pt>
                <c:pt idx="5">
                  <c:v>1.7447114698129429</c:v>
                </c:pt>
                <c:pt idx="6">
                  <c:v>1.8533564749274807</c:v>
                </c:pt>
                <c:pt idx="7">
                  <c:v>1.992404542192139</c:v>
                </c:pt>
                <c:pt idx="8">
                  <c:v>1.9705158057031791</c:v>
                </c:pt>
                <c:pt idx="9">
                  <c:v>1.6117373972123878</c:v>
                </c:pt>
                <c:pt idx="10">
                  <c:v>1.9902006000900061</c:v>
                </c:pt>
                <c:pt idx="11">
                  <c:v>1.8806410444170136</c:v>
                </c:pt>
                <c:pt idx="12">
                  <c:v>1.9143271822517107</c:v>
                </c:pt>
                <c:pt idx="13">
                  <c:v>2.0099368285147783</c:v>
                </c:pt>
                <c:pt idx="14">
                  <c:v>2.0593607305936077</c:v>
                </c:pt>
                <c:pt idx="15">
                  <c:v>2.1365196018786654</c:v>
                </c:pt>
                <c:pt idx="16">
                  <c:v>2.1167108753315649</c:v>
                </c:pt>
                <c:pt idx="17">
                  <c:v>2.2029271714192555</c:v>
                </c:pt>
                <c:pt idx="18">
                  <c:v>2.2133995037220844</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export'!$U$4:$AM$4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export'!$U$27:$AM$27</c:f>
              <c:numCache>
                <c:formatCode>0.00</c:formatCode>
                <c:ptCount val="19"/>
                <c:pt idx="0">
                  <c:v>2.6550079821199102</c:v>
                </c:pt>
                <c:pt idx="1">
                  <c:v>2.7469960674427027</c:v>
                </c:pt>
                <c:pt idx="2">
                  <c:v>2.951499403612889</c:v>
                </c:pt>
                <c:pt idx="3">
                  <c:v>2.9650363375152735</c:v>
                </c:pt>
                <c:pt idx="4">
                  <c:v>3.6234938212872443</c:v>
                </c:pt>
                <c:pt idx="5">
                  <c:v>3.923569594346568</c:v>
                </c:pt>
                <c:pt idx="6">
                  <c:v>3.8926179653603645</c:v>
                </c:pt>
                <c:pt idx="7">
                  <c:v>3.8591856887825298</c:v>
                </c:pt>
                <c:pt idx="8">
                  <c:v>3.9802384241546926</c:v>
                </c:pt>
                <c:pt idx="9">
                  <c:v>4.1828965307089474</c:v>
                </c:pt>
                <c:pt idx="10">
                  <c:v>4.2199287794536291</c:v>
                </c:pt>
                <c:pt idx="11">
                  <c:v>4.086036346905912</c:v>
                </c:pt>
                <c:pt idx="12">
                  <c:v>4.0166764763586418</c:v>
                </c:pt>
                <c:pt idx="13">
                  <c:v>4.0244305657604702</c:v>
                </c:pt>
                <c:pt idx="14">
                  <c:v>4.1739130434782608</c:v>
                </c:pt>
                <c:pt idx="15">
                  <c:v>4.022786458333333</c:v>
                </c:pt>
                <c:pt idx="16">
                  <c:v>4.2</c:v>
                </c:pt>
                <c:pt idx="17">
                  <c:v>4.0414549202183849</c:v>
                </c:pt>
                <c:pt idx="18">
                  <c:v>3.9743589743589745</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export'!$U$4:$AM$4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'Evol export'!$U$32:$AM$32</c:f>
              <c:numCache>
                <c:formatCode>0.00</c:formatCode>
                <c:ptCount val="19"/>
                <c:pt idx="13">
                  <c:v>1.8826530612244896</c:v>
                </c:pt>
                <c:pt idx="14">
                  <c:v>1.9751243781094527</c:v>
                </c:pt>
                <c:pt idx="15">
                  <c:v>1.8778808241239515</c:v>
                </c:pt>
                <c:pt idx="16">
                  <c:v>1.8526785714285716</c:v>
                </c:pt>
                <c:pt idx="17">
                  <c:v>1.9162105780803305</c:v>
                </c:pt>
                <c:pt idx="18">
                  <c:v>1.7880434782608696</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20. Valor de exportaciones de vino a granel elaborado con uvas orgánicas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5047447447447444"/>
          <c:h val="0.39084795968504699"/>
        </c:manualLayout>
      </c:layout>
      <c:lineChart>
        <c:grouping val="standard"/>
        <c:varyColors val="0"/>
        <c:ser>
          <c:idx val="5"/>
          <c:order val="0"/>
          <c:tx>
            <c:strRef>
              <c:f>'Gráficos vino granel org'!$Q$5</c:f>
              <c:strCache>
                <c:ptCount val="1"/>
                <c:pt idx="0">
                  <c:v>2022</c:v>
                </c:pt>
              </c:strCache>
            </c:strRef>
          </c:tx>
          <c:spPr>
            <a:ln w="28575" cap="rnd">
              <a:solidFill>
                <a:schemeClr val="accent6"/>
              </a:solidFill>
              <a:round/>
            </a:ln>
            <a:effectLst/>
          </c:spPr>
          <c:marker>
            <c:symbol val="none"/>
          </c:marker>
          <c:cat>
            <c:strRef>
              <c:f>'Gráficos vino granel org'!$R$1:$AC$1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 org'!$R$5:$AC$5</c:f>
              <c:numCache>
                <c:formatCode>_(* #,##0_);_(* \(#,##0\);_(* "-"_);_(@_)</c:formatCode>
                <c:ptCount val="12"/>
                <c:pt idx="0">
                  <c:v>655.51740000000007</c:v>
                </c:pt>
                <c:pt idx="1">
                  <c:v>273.19041000000004</c:v>
                </c:pt>
                <c:pt idx="2">
                  <c:v>435.46996999999999</c:v>
                </c:pt>
                <c:pt idx="3">
                  <c:v>71.995130000000003</c:v>
                </c:pt>
                <c:pt idx="4">
                  <c:v>338.74941999999999</c:v>
                </c:pt>
                <c:pt idx="5">
                  <c:v>247.61694</c:v>
                </c:pt>
                <c:pt idx="6">
                  <c:v>264.81127000000004</c:v>
                </c:pt>
                <c:pt idx="7">
                  <c:v>37.864080000000001</c:v>
                </c:pt>
                <c:pt idx="8">
                  <c:v>274.43976000000004</c:v>
                </c:pt>
                <c:pt idx="9">
                  <c:v>336.40093000000002</c:v>
                </c:pt>
                <c:pt idx="10">
                  <c:v>394.92884999999995</c:v>
                </c:pt>
                <c:pt idx="11">
                  <c:v>196.89174000000003</c:v>
                </c:pt>
              </c:numCache>
            </c:numRef>
          </c:val>
          <c:smooth val="0"/>
          <c:extLst>
            <c:ext xmlns:c16="http://schemas.microsoft.com/office/drawing/2014/chart" uri="{C3380CC4-5D6E-409C-BE32-E72D297353CC}">
              <c16:uniqueId val="{00000003-EDCC-40F1-B4A0-825790A41ADF}"/>
            </c:ext>
          </c:extLst>
        </c:ser>
        <c:dLbls>
          <c:showLegendKey val="0"/>
          <c:showVal val="0"/>
          <c:showCatName val="0"/>
          <c:showSerName val="0"/>
          <c:showPercent val="0"/>
          <c:showBubbleSize val="0"/>
        </c:dLbls>
        <c:smooth val="0"/>
        <c:axId val="-1401275056"/>
        <c:axId val="-1401272304"/>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ax val="700"/>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21. Precio medio de exportación de vino a granel elaborado con uvas orgánicas (USD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4355340222301467"/>
          <c:h val="0.42555052833993301"/>
        </c:manualLayout>
      </c:layout>
      <c:lineChart>
        <c:grouping val="standard"/>
        <c:varyColors val="0"/>
        <c:ser>
          <c:idx val="5"/>
          <c:order val="0"/>
          <c:tx>
            <c:strRef>
              <c:f>'Gráficos vino granel org'!$Q$10</c:f>
              <c:strCache>
                <c:ptCount val="1"/>
                <c:pt idx="0">
                  <c:v>2022</c:v>
                </c:pt>
              </c:strCache>
            </c:strRef>
          </c:tx>
          <c:spPr>
            <a:ln w="28575" cap="rnd">
              <a:solidFill>
                <a:schemeClr val="accent6"/>
              </a:solidFill>
              <a:round/>
            </a:ln>
            <a:effectLst/>
          </c:spPr>
          <c:marker>
            <c:symbol val="none"/>
          </c:marker>
          <c:cat>
            <c:strRef>
              <c:f>'Gráficos vino granel org'!$R$9:$AC$9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 org'!$R$10:$AC$10</c:f>
              <c:numCache>
                <c:formatCode>0.00</c:formatCode>
                <c:ptCount val="12"/>
                <c:pt idx="0">
                  <c:v>2.3093796019024131</c:v>
                </c:pt>
                <c:pt idx="1">
                  <c:v>1.4210164369310796</c:v>
                </c:pt>
                <c:pt idx="2">
                  <c:v>2.012338123844732</c:v>
                </c:pt>
                <c:pt idx="3">
                  <c:v>1.4983377731529659</c:v>
                </c:pt>
                <c:pt idx="4">
                  <c:v>1.5664713063583815</c:v>
                </c:pt>
                <c:pt idx="5">
                  <c:v>2.4252393731635653</c:v>
                </c:pt>
                <c:pt idx="6">
                  <c:v>1.8622452180028133</c:v>
                </c:pt>
                <c:pt idx="7">
                  <c:v>1.5776700000000001</c:v>
                </c:pt>
                <c:pt idx="8">
                  <c:v>1.1427847595252969</c:v>
                </c:pt>
                <c:pt idx="9">
                  <c:v>1.7502649843912592</c:v>
                </c:pt>
                <c:pt idx="10">
                  <c:v>1.7374784425868892</c:v>
                </c:pt>
                <c:pt idx="11">
                  <c:v>1.6380344425956741</c:v>
                </c:pt>
              </c:numCache>
            </c:numRef>
          </c:val>
          <c:smooth val="0"/>
          <c:extLst>
            <c:ext xmlns:c16="http://schemas.microsoft.com/office/drawing/2014/chart" uri="{C3380CC4-5D6E-409C-BE32-E72D297353CC}">
              <c16:uniqueId val="{00000003-E85D-4517-BA77-84F92FB85543}"/>
            </c:ext>
          </c:extLst>
        </c:ser>
        <c:dLbls>
          <c:showLegendKey val="0"/>
          <c:showVal val="0"/>
          <c:showCatName val="0"/>
          <c:showSerName val="0"/>
          <c:showPercent val="0"/>
          <c:showBubbleSize val="0"/>
        </c:dLbls>
        <c:smooth val="0"/>
        <c:axId val="-1401226576"/>
        <c:axId val="-1401223824"/>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ax val="3"/>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22.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lts'!$Q$6</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1294.586</c:v>
                </c:pt>
                <c:pt idx="1">
                  <c:v>1395.3050000000001</c:v>
                </c:pt>
                <c:pt idx="2">
                  <c:v>1648.8889999999999</c:v>
                </c:pt>
                <c:pt idx="3">
                  <c:v>1458.0940000000001</c:v>
                </c:pt>
                <c:pt idx="4">
                  <c:v>1797.2159999999999</c:v>
                </c:pt>
                <c:pt idx="5">
                  <c:v>1500.4818596</c:v>
                </c:pt>
                <c:pt idx="6">
                  <c:v>1768.5429999999999</c:v>
                </c:pt>
                <c:pt idx="7">
                  <c:v>1249.499</c:v>
                </c:pt>
                <c:pt idx="8">
                  <c:v>1548.0119999999999</c:v>
                </c:pt>
                <c:pt idx="9">
                  <c:v>1911.193</c:v>
                </c:pt>
                <c:pt idx="10">
                  <c:v>1484.587</c:v>
                </c:pt>
                <c:pt idx="11">
                  <c:v>951.08299999999997</c:v>
                </c:pt>
              </c:numCache>
            </c:numRef>
          </c:val>
          <c:smooth val="0"/>
          <c:extLst>
            <c:ext xmlns:c16="http://schemas.microsoft.com/office/drawing/2014/chart" uri="{C3380CC4-5D6E-409C-BE32-E72D297353CC}">
              <c16:uniqueId val="{00000001-25BE-4678-8869-AA375FAAC34D}"/>
            </c:ext>
          </c:extLst>
        </c:ser>
        <c:ser>
          <c:idx val="2"/>
          <c:order val="1"/>
          <c:tx>
            <c:strRef>
              <c:f>'Gráfico vino entre 2 y 10 lts'!$Q$7</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2-25BE-4678-8869-AA375FAAC34D}"/>
            </c:ext>
          </c:extLst>
        </c:ser>
        <c:ser>
          <c:idx val="3"/>
          <c:order val="2"/>
          <c:tx>
            <c:strRef>
              <c:f>'Gráfico vino entre 2 y 10 lts'!$Q$8</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lts'!$R$8:$AC$8</c:f>
              <c:numCache>
                <c:formatCode>_(* #,##0_);_(* \(#,##0\);_(* "-"_);_(@_)</c:formatCode>
                <c:ptCount val="12"/>
                <c:pt idx="0">
                  <c:v>1610.3820000000001</c:v>
                </c:pt>
                <c:pt idx="1">
                  <c:v>2163.2460000000001</c:v>
                </c:pt>
                <c:pt idx="2">
                  <c:v>1795.7145</c:v>
                </c:pt>
                <c:pt idx="3">
                  <c:v>1575.212</c:v>
                </c:pt>
                <c:pt idx="4">
                  <c:v>2030.2070000000001</c:v>
                </c:pt>
                <c:pt idx="5">
                  <c:v>1928.36</c:v>
                </c:pt>
                <c:pt idx="6">
                  <c:v>2124.8270000000002</c:v>
                </c:pt>
                <c:pt idx="7">
                  <c:v>1445.2090000000001</c:v>
                </c:pt>
                <c:pt idx="8">
                  <c:v>1010.357</c:v>
                </c:pt>
                <c:pt idx="9">
                  <c:v>1514.943</c:v>
                </c:pt>
                <c:pt idx="10">
                  <c:v>1838.2719999999999</c:v>
                </c:pt>
                <c:pt idx="11">
                  <c:v>1977.452</c:v>
                </c:pt>
              </c:numCache>
            </c:numRef>
          </c:val>
          <c:smooth val="0"/>
          <c:extLst>
            <c:ext xmlns:c16="http://schemas.microsoft.com/office/drawing/2014/chart" uri="{C3380CC4-5D6E-409C-BE32-E72D297353CC}">
              <c16:uniqueId val="{00000000-C69B-4DE2-8967-8935DA147A89}"/>
            </c:ext>
          </c:extLst>
        </c:ser>
        <c:ser>
          <c:idx val="4"/>
          <c:order val="3"/>
          <c:tx>
            <c:strRef>
              <c:f>'Gráfico vino entre 2 y 10 lts'!$Q$9</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lts'!$R$9:$AC$9</c:f>
              <c:numCache>
                <c:formatCode>_(* #,##0_);_(* \(#,##0\);_(* "-"_);_(@_)</c:formatCode>
                <c:ptCount val="12"/>
                <c:pt idx="0">
                  <c:v>1807.2080000000001</c:v>
                </c:pt>
                <c:pt idx="1">
                  <c:v>1171.2950000000001</c:v>
                </c:pt>
                <c:pt idx="2">
                  <c:v>1686.739</c:v>
                </c:pt>
                <c:pt idx="3">
                  <c:v>1354.4880000000001</c:v>
                </c:pt>
                <c:pt idx="4">
                  <c:v>1501.5632499999999</c:v>
                </c:pt>
                <c:pt idx="5">
                  <c:v>2392.701</c:v>
                </c:pt>
                <c:pt idx="6">
                  <c:v>1278.6679999999999</c:v>
                </c:pt>
                <c:pt idx="7">
                  <c:v>1384.5065</c:v>
                </c:pt>
                <c:pt idx="8">
                  <c:v>1136.663</c:v>
                </c:pt>
                <c:pt idx="9">
                  <c:v>1602.32</c:v>
                </c:pt>
                <c:pt idx="10">
                  <c:v>1613.509</c:v>
                </c:pt>
                <c:pt idx="11">
                  <c:v>1428.144</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ax val="3000"/>
          <c:min val="9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23.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1"/>
          <c:order val="0"/>
          <c:tx>
            <c:strRef>
              <c:f>'Gráfico vino entre 2 y 10 lts'!$Q$13</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2414.79954</c:v>
                </c:pt>
                <c:pt idx="1">
                  <c:v>2591.3246099999997</c:v>
                </c:pt>
                <c:pt idx="2">
                  <c:v>3015.9723899999999</c:v>
                </c:pt>
                <c:pt idx="3">
                  <c:v>2767.1150200000002</c:v>
                </c:pt>
                <c:pt idx="4">
                  <c:v>3464.5224800000001</c:v>
                </c:pt>
                <c:pt idx="5">
                  <c:v>2836.8172999999992</c:v>
                </c:pt>
                <c:pt idx="6">
                  <c:v>3524.2680599999999</c:v>
                </c:pt>
                <c:pt idx="7">
                  <c:v>2366.28917</c:v>
                </c:pt>
                <c:pt idx="8">
                  <c:v>2823.4865299999997</c:v>
                </c:pt>
                <c:pt idx="9">
                  <c:v>3546.5239799999999</c:v>
                </c:pt>
                <c:pt idx="10">
                  <c:v>2683.1303499999999</c:v>
                </c:pt>
                <c:pt idx="11">
                  <c:v>1785.4700399999999</c:v>
                </c:pt>
              </c:numCache>
            </c:numRef>
          </c:val>
          <c:smooth val="0"/>
          <c:extLst>
            <c:ext xmlns:c16="http://schemas.microsoft.com/office/drawing/2014/chart" uri="{C3380CC4-5D6E-409C-BE32-E72D297353CC}">
              <c16:uniqueId val="{00000001-1247-43B6-A392-F6617E1C913B}"/>
            </c:ext>
          </c:extLst>
        </c:ser>
        <c:ser>
          <c:idx val="2"/>
          <c:order val="1"/>
          <c:tx>
            <c:strRef>
              <c:f>'Gráfico vino entre 2 y 10 lts'!$Q$14</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lts'!$R$14:$AC$14</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2-1247-43B6-A392-F6617E1C913B}"/>
            </c:ext>
          </c:extLst>
        </c:ser>
        <c:ser>
          <c:idx val="3"/>
          <c:order val="2"/>
          <c:tx>
            <c:strRef>
              <c:f>'Gráfico vino entre 2 y 10 lts'!$Q$15</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lts'!$R$15:$AC$15</c:f>
              <c:numCache>
                <c:formatCode>_(* #,##0_);_(* \(#,##0\);_(* "-"_);_(@_)</c:formatCode>
                <c:ptCount val="12"/>
                <c:pt idx="0">
                  <c:v>3117.5292100000001</c:v>
                </c:pt>
                <c:pt idx="1">
                  <c:v>3988.6311399999995</c:v>
                </c:pt>
                <c:pt idx="2">
                  <c:v>3376.3835299999992</c:v>
                </c:pt>
                <c:pt idx="3">
                  <c:v>3021.5246699999993</c:v>
                </c:pt>
                <c:pt idx="4">
                  <c:v>3814.7966800000008</c:v>
                </c:pt>
                <c:pt idx="5">
                  <c:v>3629.8534799999993</c:v>
                </c:pt>
                <c:pt idx="6">
                  <c:v>4041.1528199999998</c:v>
                </c:pt>
                <c:pt idx="7">
                  <c:v>3225.2134000000001</c:v>
                </c:pt>
                <c:pt idx="8">
                  <c:v>1912.7930599999997</c:v>
                </c:pt>
                <c:pt idx="9">
                  <c:v>3133.9940800000004</c:v>
                </c:pt>
                <c:pt idx="10">
                  <c:v>3317.4372599999997</c:v>
                </c:pt>
                <c:pt idx="11">
                  <c:v>3691.6154900000006</c:v>
                </c:pt>
              </c:numCache>
            </c:numRef>
          </c:val>
          <c:smooth val="0"/>
          <c:extLst>
            <c:ext xmlns:c16="http://schemas.microsoft.com/office/drawing/2014/chart" uri="{C3380CC4-5D6E-409C-BE32-E72D297353CC}">
              <c16:uniqueId val="{00000000-B29B-412E-B707-9F638748165F}"/>
            </c:ext>
          </c:extLst>
        </c:ser>
        <c:ser>
          <c:idx val="4"/>
          <c:order val="3"/>
          <c:tx>
            <c:strRef>
              <c:f>'Gráfico vino entre 2 y 10 lts'!$Q$16</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lts'!$R$16:$AC$16</c:f>
              <c:numCache>
                <c:formatCode>_(* #,##0_);_(* \(#,##0\);_(* "-"_);_(@_)</c:formatCode>
                <c:ptCount val="12"/>
                <c:pt idx="0">
                  <c:v>3542.5489700000003</c:v>
                </c:pt>
                <c:pt idx="1">
                  <c:v>2111.0532599999997</c:v>
                </c:pt>
                <c:pt idx="2">
                  <c:v>2992.6367000000005</c:v>
                </c:pt>
                <c:pt idx="3">
                  <c:v>2470.3571300000003</c:v>
                </c:pt>
                <c:pt idx="4">
                  <c:v>2736.7747400000003</c:v>
                </c:pt>
                <c:pt idx="5">
                  <c:v>4378.3114800000012</c:v>
                </c:pt>
                <c:pt idx="6">
                  <c:v>2496.6319900000003</c:v>
                </c:pt>
                <c:pt idx="7">
                  <c:v>2620.2215200000001</c:v>
                </c:pt>
                <c:pt idx="8">
                  <c:v>1968.1833100000006</c:v>
                </c:pt>
                <c:pt idx="9">
                  <c:v>2619.0071499999999</c:v>
                </c:pt>
                <c:pt idx="10">
                  <c:v>2643.08617</c:v>
                </c:pt>
                <c:pt idx="11">
                  <c:v>2320.3148099999994</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ax val="5500"/>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24.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lts'!$Q$23</c:f>
              <c:strCache>
                <c:ptCount val="1"/>
                <c:pt idx="0">
                  <c:v>2019</c:v>
                </c:pt>
              </c:strCache>
            </c:strRef>
          </c:tx>
          <c:spPr>
            <a:ln w="28575" cap="rnd">
              <a:solidFill>
                <a:schemeClr val="accent2"/>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lts'!$R$23:$AC$23</c:f>
              <c:numCache>
                <c:formatCode>0.00</c:formatCode>
                <c:ptCount val="12"/>
                <c:pt idx="0">
                  <c:v>1.865306391386899</c:v>
                </c:pt>
                <c:pt idx="1">
                  <c:v>1.8571743167264501</c:v>
                </c:pt>
                <c:pt idx="2">
                  <c:v>1.8290936442659269</c:v>
                </c:pt>
                <c:pt idx="3">
                  <c:v>1.8977617492425043</c:v>
                </c:pt>
                <c:pt idx="4">
                  <c:v>1.9277162455709276</c:v>
                </c:pt>
                <c:pt idx="5">
                  <c:v>1.8906041961455242</c:v>
                </c:pt>
                <c:pt idx="6">
                  <c:v>1.9927522599111247</c:v>
                </c:pt>
                <c:pt idx="7">
                  <c:v>1.8937903671791654</c:v>
                </c:pt>
                <c:pt idx="8">
                  <c:v>1.8239435676209228</c:v>
                </c:pt>
                <c:pt idx="9">
                  <c:v>1.8556597789966791</c:v>
                </c:pt>
                <c:pt idx="10">
                  <c:v>1.8073244276017504</c:v>
                </c:pt>
                <c:pt idx="11">
                  <c:v>1.8773020230621302</c:v>
                </c:pt>
              </c:numCache>
            </c:numRef>
          </c:val>
          <c:smooth val="0"/>
          <c:extLst>
            <c:ext xmlns:c16="http://schemas.microsoft.com/office/drawing/2014/chart" uri="{C3380CC4-5D6E-409C-BE32-E72D297353CC}">
              <c16:uniqueId val="{00000001-2B4B-43A1-8F37-05784E186947}"/>
            </c:ext>
          </c:extLst>
        </c:ser>
        <c:ser>
          <c:idx val="2"/>
          <c:order val="1"/>
          <c:tx>
            <c:strRef>
              <c:f>'Gráfico vino entre 2 y 10 lts'!$Q$24</c:f>
              <c:strCache>
                <c:ptCount val="1"/>
                <c:pt idx="0">
                  <c:v>2020</c:v>
                </c:pt>
              </c:strCache>
            </c:strRef>
          </c:tx>
          <c:spPr>
            <a:ln w="28575" cap="rnd">
              <a:solidFill>
                <a:schemeClr val="accent3"/>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lts'!$R$24:$AC$24</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2-2B4B-43A1-8F37-05784E186947}"/>
            </c:ext>
          </c:extLst>
        </c:ser>
        <c:ser>
          <c:idx val="3"/>
          <c:order val="2"/>
          <c:tx>
            <c:strRef>
              <c:f>'Gráfico vino entre 2 y 10 lts'!$Q$25</c:f>
              <c:strCache>
                <c:ptCount val="1"/>
                <c:pt idx="0">
                  <c:v>2021</c:v>
                </c:pt>
              </c:strCache>
            </c:strRef>
          </c:tx>
          <c:spPr>
            <a:ln w="28575" cap="rnd">
              <a:solidFill>
                <a:schemeClr val="accent4"/>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lts'!$R$25:$AC$25</c:f>
              <c:numCache>
                <c:formatCode>0.00</c:formatCode>
                <c:ptCount val="12"/>
                <c:pt idx="0">
                  <c:v>1.9358942226130198</c:v>
                </c:pt>
                <c:pt idx="1">
                  <c:v>1.8438176425612247</c:v>
                </c:pt>
                <c:pt idx="2">
                  <c:v>1.8802451781728104</c:v>
                </c:pt>
                <c:pt idx="3">
                  <c:v>1.9181701701104354</c:v>
                </c:pt>
                <c:pt idx="4">
                  <c:v>1.8790185828341646</c:v>
                </c:pt>
                <c:pt idx="5">
                  <c:v>1.882352610508411</c:v>
                </c:pt>
                <c:pt idx="6">
                  <c:v>1.901873809020687</c:v>
                </c:pt>
                <c:pt idx="7">
                  <c:v>2.2316588119780598</c:v>
                </c:pt>
                <c:pt idx="8">
                  <c:v>1.8931853394394256</c:v>
                </c:pt>
                <c:pt idx="9">
                  <c:v>2.0687207901551417</c:v>
                </c:pt>
                <c:pt idx="10">
                  <c:v>1.8046498341921107</c:v>
                </c:pt>
                <c:pt idx="11">
                  <c:v>1.8668546644874315</c:v>
                </c:pt>
              </c:numCache>
            </c:numRef>
          </c:val>
          <c:smooth val="0"/>
          <c:extLst>
            <c:ext xmlns:c16="http://schemas.microsoft.com/office/drawing/2014/chart" uri="{C3380CC4-5D6E-409C-BE32-E72D297353CC}">
              <c16:uniqueId val="{00000000-5642-497D-87D7-19ED0553A228}"/>
            </c:ext>
          </c:extLst>
        </c:ser>
        <c:ser>
          <c:idx val="4"/>
          <c:order val="3"/>
          <c:tx>
            <c:strRef>
              <c:f>'Gráfico vino entre 2 y 10 lts'!$Q$26</c:f>
              <c:strCache>
                <c:ptCount val="1"/>
                <c:pt idx="0">
                  <c:v>2022</c:v>
                </c:pt>
              </c:strCache>
            </c:strRef>
          </c:tx>
          <c:spPr>
            <a:ln w="28575" cap="rnd">
              <a:solidFill>
                <a:schemeClr val="accent5"/>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lts'!$R$26:$AC$26</c:f>
              <c:numCache>
                <c:formatCode>0.00</c:formatCode>
                <c:ptCount val="12"/>
                <c:pt idx="0">
                  <c:v>1.960233116497935</c:v>
                </c:pt>
                <c:pt idx="1">
                  <c:v>1.8023241454970775</c:v>
                </c:pt>
                <c:pt idx="2">
                  <c:v>1.7742144457441253</c:v>
                </c:pt>
                <c:pt idx="3">
                  <c:v>1.8238309457152815</c:v>
                </c:pt>
                <c:pt idx="4">
                  <c:v>1.8226170226262532</c:v>
                </c:pt>
                <c:pt idx="5">
                  <c:v>1.829861516336559</c:v>
                </c:pt>
                <c:pt idx="6">
                  <c:v>1.9525255891286875</c:v>
                </c:pt>
                <c:pt idx="7">
                  <c:v>1.8925310354267026</c:v>
                </c:pt>
                <c:pt idx="8">
                  <c:v>1.7315451545444873</c:v>
                </c:pt>
                <c:pt idx="9">
                  <c:v>1.6345094300763892</c:v>
                </c:pt>
                <c:pt idx="10">
                  <c:v>1.6380981884823698</c:v>
                </c:pt>
                <c:pt idx="11">
                  <c:v>1.6247064791785697</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espumoso'!$P$7</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310.34249999999997</c:v>
                </c:pt>
                <c:pt idx="7">
                  <c:v>769.25400000000002</c:v>
                </c:pt>
                <c:pt idx="8">
                  <c:v>517.54049999999995</c:v>
                </c:pt>
                <c:pt idx="9">
                  <c:v>587.88850000000002</c:v>
                </c:pt>
                <c:pt idx="10">
                  <c:v>327.19600000000003</c:v>
                </c:pt>
                <c:pt idx="11">
                  <c:v>331.64400000000001</c:v>
                </c:pt>
              </c:numCache>
            </c:numRef>
          </c:val>
          <c:smooth val="0"/>
          <c:extLst xmlns:c15="http://schemas.microsoft.com/office/drawing/2012/chart">
            <c:ext xmlns:c16="http://schemas.microsoft.com/office/drawing/2014/chart" uri="{C3380CC4-5D6E-409C-BE32-E72D297353CC}">
              <c16:uniqueId val="{00000001-BE05-4789-AB90-AC42C6E1BC83}"/>
            </c:ext>
          </c:extLst>
        </c:ser>
        <c:ser>
          <c:idx val="2"/>
          <c:order val="1"/>
          <c:tx>
            <c:strRef>
              <c:f>'Gráficos vino espumoso'!$P$8</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c:ext xmlns:c16="http://schemas.microsoft.com/office/drawing/2014/chart" uri="{C3380CC4-5D6E-409C-BE32-E72D297353CC}">
              <c16:uniqueId val="{00000002-BE05-4789-AB90-AC42C6E1BC83}"/>
            </c:ext>
          </c:extLst>
        </c:ser>
        <c:ser>
          <c:idx val="3"/>
          <c:order val="2"/>
          <c:tx>
            <c:strRef>
              <c:f>'Gráficos vino espumoso'!$P$9</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espumoso'!$Q$9:$AB$9</c:f>
              <c:numCache>
                <c:formatCode>_-* #,##0_-;\-* #,##0_-;_-* "-"_-;_-@_-</c:formatCode>
                <c:ptCount val="12"/>
                <c:pt idx="0">
                  <c:v>185.625</c:v>
                </c:pt>
                <c:pt idx="1">
                  <c:v>282.89249999999998</c:v>
                </c:pt>
                <c:pt idx="2">
                  <c:v>268.70850000000002</c:v>
                </c:pt>
                <c:pt idx="3">
                  <c:v>235.12350000000001</c:v>
                </c:pt>
                <c:pt idx="4">
                  <c:v>297.08100000000002</c:v>
                </c:pt>
                <c:pt idx="5">
                  <c:v>269.23050000000001</c:v>
                </c:pt>
                <c:pt idx="6">
                  <c:v>258.13799999999998</c:v>
                </c:pt>
                <c:pt idx="7">
                  <c:v>411.56099999999998</c:v>
                </c:pt>
                <c:pt idx="8">
                  <c:v>347.81849999999997</c:v>
                </c:pt>
                <c:pt idx="9">
                  <c:v>314.47726</c:v>
                </c:pt>
                <c:pt idx="10">
                  <c:v>334.80900000000003</c:v>
                </c:pt>
                <c:pt idx="11">
                  <c:v>378.99149999999997</c:v>
                </c:pt>
              </c:numCache>
            </c:numRef>
          </c:val>
          <c:smooth val="0"/>
          <c:extLst>
            <c:ext xmlns:c16="http://schemas.microsoft.com/office/drawing/2014/chart" uri="{C3380CC4-5D6E-409C-BE32-E72D297353CC}">
              <c16:uniqueId val="{00000003-BE05-4789-AB90-AC42C6E1BC83}"/>
            </c:ext>
          </c:extLst>
        </c:ser>
        <c:ser>
          <c:idx val="4"/>
          <c:order val="3"/>
          <c:tx>
            <c:strRef>
              <c:f>'Gráficos vino espumoso'!$P$10</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espumoso'!$Q$10:$AB$10</c:f>
              <c:numCache>
                <c:formatCode>_-* #,##0_-;\-* #,##0_-;_-* "-"_-;_-@_-</c:formatCode>
                <c:ptCount val="12"/>
                <c:pt idx="0">
                  <c:v>331.4205</c:v>
                </c:pt>
                <c:pt idx="1">
                  <c:v>206.5335</c:v>
                </c:pt>
                <c:pt idx="2">
                  <c:v>193.32917739999999</c:v>
                </c:pt>
                <c:pt idx="3">
                  <c:v>252.78749999999999</c:v>
                </c:pt>
                <c:pt idx="4">
                  <c:v>257.43599999999998</c:v>
                </c:pt>
                <c:pt idx="5">
                  <c:v>323.66699999999997</c:v>
                </c:pt>
                <c:pt idx="6">
                  <c:v>226.785</c:v>
                </c:pt>
                <c:pt idx="7">
                  <c:v>450.37925000000001</c:v>
                </c:pt>
                <c:pt idx="8">
                  <c:v>508.95350000000002</c:v>
                </c:pt>
                <c:pt idx="9">
                  <c:v>524.36800000000005</c:v>
                </c:pt>
                <c:pt idx="10">
                  <c:v>372.82049999999998</c:v>
                </c:pt>
                <c:pt idx="11">
                  <c:v>266.7645</c:v>
                </c:pt>
              </c:numCache>
            </c:numRef>
          </c:val>
          <c:smooth val="0"/>
          <c:extLst>
            <c:ext xmlns:c16="http://schemas.microsoft.com/office/drawing/2014/chart" uri="{C3380CC4-5D6E-409C-BE32-E72D297353CC}">
              <c16:uniqueId val="{00000004-BE05-4789-AB90-AC42C6E1BC83}"/>
            </c:ext>
          </c:extLst>
        </c:ser>
        <c:dLbls>
          <c:showLegendKey val="0"/>
          <c:showVal val="0"/>
          <c:showCatName val="0"/>
          <c:showSerName val="0"/>
          <c:showPercent val="0"/>
          <c:showBubbleSize val="0"/>
        </c:dLbls>
        <c:smooth val="0"/>
        <c:axId val="-1371277680"/>
        <c:axId val="-1371274928"/>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8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majorUnit val="2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26.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espumoso'!$P$16</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1317.1010900000001</c:v>
                </c:pt>
                <c:pt idx="7" formatCode="_(* #,##0_);_(* \(#,##0\);_(* &quot;-&quot;_);_(@_)">
                  <c:v>3060.8019099999992</c:v>
                </c:pt>
                <c:pt idx="8" formatCode="_(* #,##0_);_(* \(#,##0\);_(* &quot;-&quot;_);_(@_)">
                  <c:v>2063.24244</c:v>
                </c:pt>
                <c:pt idx="9" formatCode="_(* #,##0_);_(* \(#,##0\);_(* &quot;-&quot;_);_(@_)">
                  <c:v>2335.2095300000001</c:v>
                </c:pt>
                <c:pt idx="10" formatCode="_(* #,##0_);_(* \(#,##0\);_(* &quot;-&quot;_);_(@_)">
                  <c:v>1338.1952699999997</c:v>
                </c:pt>
                <c:pt idx="11">
                  <c:v>1348.36447</c:v>
                </c:pt>
              </c:numCache>
            </c:numRef>
          </c:val>
          <c:smooth val="0"/>
          <c:extLst xmlns:c15="http://schemas.microsoft.com/office/drawing/2012/chart">
            <c:ext xmlns:c16="http://schemas.microsoft.com/office/drawing/2014/chart" uri="{C3380CC4-5D6E-409C-BE32-E72D297353CC}">
              <c16:uniqueId val="{00000001-609B-4C50-B4A8-49973FFFE71E}"/>
            </c:ext>
          </c:extLst>
        </c:ser>
        <c:ser>
          <c:idx val="2"/>
          <c:order val="1"/>
          <c:tx>
            <c:strRef>
              <c:f>'Gráficos vino espumoso'!$P$17</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espumoso'!$Q$17:$AB$17</c:f>
              <c:numCache>
                <c:formatCode>_-* #,##0_-;\-* #,##0_-;_-* "-"_-;_-@_-</c:formatCode>
                <c:ptCount val="12"/>
                <c:pt idx="0">
                  <c:v>1496.7915100000002</c:v>
                </c:pt>
                <c:pt idx="1">
                  <c:v>895.42285000000004</c:v>
                </c:pt>
                <c:pt idx="2">
                  <c:v>613.71274999999991</c:v>
                </c:pt>
                <c:pt idx="3">
                  <c:v>1392.20975</c:v>
                </c:pt>
                <c:pt idx="4">
                  <c:v>1282.8476799999999</c:v>
                </c:pt>
                <c:pt idx="5">
                  <c:v>1023.8345700000001</c:v>
                </c:pt>
                <c:pt idx="6">
                  <c:v>817.4241300000001</c:v>
                </c:pt>
                <c:pt idx="7">
                  <c:v>1517.1010800000004</c:v>
                </c:pt>
                <c:pt idx="8">
                  <c:v>1112.3167599999997</c:v>
                </c:pt>
                <c:pt idx="9">
                  <c:v>1727.5803899999999</c:v>
                </c:pt>
                <c:pt idx="10">
                  <c:v>1866.5261500000001</c:v>
                </c:pt>
                <c:pt idx="11">
                  <c:v>929.11856999999986</c:v>
                </c:pt>
              </c:numCache>
            </c:numRef>
          </c:val>
          <c:smooth val="0"/>
          <c:extLst>
            <c:ext xmlns:c16="http://schemas.microsoft.com/office/drawing/2014/chart" uri="{C3380CC4-5D6E-409C-BE32-E72D297353CC}">
              <c16:uniqueId val="{00000002-609B-4C50-B4A8-49973FFFE71E}"/>
            </c:ext>
          </c:extLst>
        </c:ser>
        <c:ser>
          <c:idx val="3"/>
          <c:order val="2"/>
          <c:tx>
            <c:strRef>
              <c:f>'Gráficos vino espumoso'!$P$18</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espumoso'!$Q$18:$AB$18</c:f>
              <c:numCache>
                <c:formatCode>_-* #,##0_-;\-* #,##0_-;_-* "-"_-;_-@_-</c:formatCode>
                <c:ptCount val="12"/>
                <c:pt idx="0">
                  <c:v>849.23722999999995</c:v>
                </c:pt>
                <c:pt idx="1">
                  <c:v>1086.1081299999998</c:v>
                </c:pt>
                <c:pt idx="2">
                  <c:v>1092.96487</c:v>
                </c:pt>
                <c:pt idx="3">
                  <c:v>976.2770300000002</c:v>
                </c:pt>
                <c:pt idx="4">
                  <c:v>1063.70309</c:v>
                </c:pt>
                <c:pt idx="5">
                  <c:v>1162.71678</c:v>
                </c:pt>
                <c:pt idx="6">
                  <c:v>1052.4551799999999</c:v>
                </c:pt>
                <c:pt idx="7">
                  <c:v>1702.3689100000001</c:v>
                </c:pt>
                <c:pt idx="8">
                  <c:v>1398.8854200000003</c:v>
                </c:pt>
                <c:pt idx="9">
                  <c:v>1280.24676</c:v>
                </c:pt>
                <c:pt idx="10" formatCode="_(* #,##0_);_(* \(#,##0\);_(* &quot;-&quot;_);_(@_)">
                  <c:v>1470.3960100000004</c:v>
                </c:pt>
                <c:pt idx="11" formatCode="_(* #,##0_);_(* \(#,##0\);_(* &quot;-&quot;_);_(@_)">
                  <c:v>1347.0470499999999</c:v>
                </c:pt>
              </c:numCache>
            </c:numRef>
          </c:val>
          <c:smooth val="0"/>
          <c:extLst>
            <c:ext xmlns:c16="http://schemas.microsoft.com/office/drawing/2014/chart" uri="{C3380CC4-5D6E-409C-BE32-E72D297353CC}">
              <c16:uniqueId val="{00000003-609B-4C50-B4A8-49973FFFE71E}"/>
            </c:ext>
          </c:extLst>
        </c:ser>
        <c:ser>
          <c:idx val="4"/>
          <c:order val="3"/>
          <c:tx>
            <c:strRef>
              <c:f>'Gráficos vino espumoso'!$P$19</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espumoso'!$Q$19:$AB$19</c:f>
              <c:numCache>
                <c:formatCode>_-* #,##0_-;\-* #,##0_-;_-* "-"_-;_-@_-</c:formatCode>
                <c:ptCount val="12"/>
                <c:pt idx="0">
                  <c:v>1253.9362300000003</c:v>
                </c:pt>
                <c:pt idx="1">
                  <c:v>823.25831000000005</c:v>
                </c:pt>
                <c:pt idx="2">
                  <c:v>806.36372000000006</c:v>
                </c:pt>
                <c:pt idx="3">
                  <c:v>1063.4191899999998</c:v>
                </c:pt>
                <c:pt idx="4">
                  <c:v>925.06336999999985</c:v>
                </c:pt>
                <c:pt idx="5">
                  <c:v>1310.0266299999998</c:v>
                </c:pt>
                <c:pt idx="6">
                  <c:v>916.34339000000011</c:v>
                </c:pt>
                <c:pt idx="7">
                  <c:v>1792.0772500000003</c:v>
                </c:pt>
                <c:pt idx="8">
                  <c:v>2007.91572</c:v>
                </c:pt>
                <c:pt idx="9">
                  <c:v>2025.2499900000003</c:v>
                </c:pt>
                <c:pt idx="10" formatCode="_(* #,##0_);_(* \(#,##0\);_(* &quot;-&quot;_);_(@_)">
                  <c:v>1493.9624400000002</c:v>
                </c:pt>
                <c:pt idx="11" formatCode="_(* #,##0_);_(* \(#,##0\);_(* &quot;-&quot;_);_(@_)">
                  <c:v>1034.7021199999999</c:v>
                </c:pt>
              </c:numCache>
            </c:numRef>
          </c:val>
          <c:smooth val="0"/>
          <c:extLst>
            <c:ext xmlns:c16="http://schemas.microsoft.com/office/drawing/2014/chart" uri="{C3380CC4-5D6E-409C-BE32-E72D297353CC}">
              <c16:uniqueId val="{00000004-609B-4C50-B4A8-49973FFFE71E}"/>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1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27.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1"/>
          <c:order val="0"/>
          <c:tx>
            <c:strRef>
              <c:f>'Gráficos vino espumoso'!$P$28</c:f>
              <c:strCache>
                <c:ptCount val="1"/>
                <c:pt idx="0">
                  <c:v>2019</c:v>
                </c:pt>
              </c:strCache>
            </c:strRef>
          </c:tx>
          <c:spPr>
            <a:ln w="28575" cap="rnd">
              <a:solidFill>
                <a:schemeClr val="accent3"/>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espumoso'!$Q$28:$AB$28</c:f>
              <c:numCache>
                <c:formatCode>0.00</c:formatCode>
                <c:ptCount val="12"/>
                <c:pt idx="0">
                  <c:v>4.0159799440053439</c:v>
                </c:pt>
                <c:pt idx="1">
                  <c:v>3.9223982282450196</c:v>
                </c:pt>
                <c:pt idx="2">
                  <c:v>4.1194774358732165</c:v>
                </c:pt>
                <c:pt idx="3">
                  <c:v>3.9559900651289293</c:v>
                </c:pt>
                <c:pt idx="4">
                  <c:v>4.0843360008458314</c:v>
                </c:pt>
                <c:pt idx="5">
                  <c:v>3.9280936166981002</c:v>
                </c:pt>
                <c:pt idx="6">
                  <c:v>4.2440242312928467</c:v>
                </c:pt>
                <c:pt idx="7">
                  <c:v>3.9789223195459487</c:v>
                </c:pt>
                <c:pt idx="8">
                  <c:v>3.9866299159196239</c:v>
                </c:pt>
                <c:pt idx="9">
                  <c:v>3.972198010336994</c:v>
                </c:pt>
                <c:pt idx="10">
                  <c:v>4.0898888433843918</c:v>
                </c:pt>
                <c:pt idx="11">
                  <c:v>4.0656983693357933</c:v>
                </c:pt>
              </c:numCache>
            </c:numRef>
          </c:val>
          <c:smooth val="0"/>
          <c:extLst xmlns:c15="http://schemas.microsoft.com/office/drawing/2012/chart">
            <c:ext xmlns:c16="http://schemas.microsoft.com/office/drawing/2014/chart" uri="{C3380CC4-5D6E-409C-BE32-E72D297353CC}">
              <c16:uniqueId val="{00000001-1A08-4599-99BC-DFC1B0AAD252}"/>
            </c:ext>
          </c:extLst>
        </c:ser>
        <c:ser>
          <c:idx val="2"/>
          <c:order val="1"/>
          <c:tx>
            <c:strRef>
              <c:f>'Gráficos vino espumoso'!$P$29</c:f>
              <c:strCache>
                <c:ptCount val="1"/>
                <c:pt idx="0">
                  <c:v>2020</c:v>
                </c:pt>
              </c:strCache>
            </c:strRef>
          </c:tx>
          <c:spPr>
            <a:ln w="28575" cap="rnd">
              <a:solidFill>
                <a:schemeClr val="accent4"/>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espumoso'!$Q$29:$AB$29</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c:ext xmlns:c16="http://schemas.microsoft.com/office/drawing/2014/chart" uri="{C3380CC4-5D6E-409C-BE32-E72D297353CC}">
              <c16:uniqueId val="{00000002-1A08-4599-99BC-DFC1B0AAD252}"/>
            </c:ext>
          </c:extLst>
        </c:ser>
        <c:ser>
          <c:idx val="3"/>
          <c:order val="2"/>
          <c:tx>
            <c:strRef>
              <c:f>'Gráficos vino espumoso'!$P$30</c:f>
              <c:strCache>
                <c:ptCount val="1"/>
                <c:pt idx="0">
                  <c:v>2021</c:v>
                </c:pt>
              </c:strCache>
            </c:strRef>
          </c:tx>
          <c:spPr>
            <a:ln w="28575" cap="rnd">
              <a:solidFill>
                <a:schemeClr val="accent5"/>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espumoso'!$Q$30:$AB$30</c:f>
              <c:numCache>
                <c:formatCode>0.00</c:formatCode>
                <c:ptCount val="12"/>
                <c:pt idx="0">
                  <c:v>4.5750153804713802</c:v>
                </c:pt>
                <c:pt idx="1">
                  <c:v>3.8392963051335753</c:v>
                </c:pt>
                <c:pt idx="2">
                  <c:v>4.0674741215852865</c:v>
                </c:pt>
                <c:pt idx="3">
                  <c:v>4.1521882329924491</c:v>
                </c:pt>
                <c:pt idx="4">
                  <c:v>3.5805153813269777</c:v>
                </c:pt>
                <c:pt idx="5">
                  <c:v>4.3186666443809303</c:v>
                </c:pt>
                <c:pt idx="6">
                  <c:v>4.0771028674584917</c:v>
                </c:pt>
                <c:pt idx="7">
                  <c:v>4.1363708174486895</c:v>
                </c:pt>
                <c:pt idx="8">
                  <c:v>4.0218833098296969</c:v>
                </c:pt>
                <c:pt idx="9">
                  <c:v>4.071031272658634</c:v>
                </c:pt>
                <c:pt idx="10">
                  <c:v>4.3917457714697044</c:v>
                </c:pt>
                <c:pt idx="11">
                  <c:v>3.5542935659506876</c:v>
                </c:pt>
              </c:numCache>
            </c:numRef>
          </c:val>
          <c:smooth val="0"/>
          <c:extLst>
            <c:ext xmlns:c16="http://schemas.microsoft.com/office/drawing/2014/chart" uri="{C3380CC4-5D6E-409C-BE32-E72D297353CC}">
              <c16:uniqueId val="{00000003-1A08-4599-99BC-DFC1B0AAD252}"/>
            </c:ext>
          </c:extLst>
        </c:ser>
        <c:ser>
          <c:idx val="4"/>
          <c:order val="3"/>
          <c:tx>
            <c:strRef>
              <c:f>'Gráficos vino espumoso'!$P$31</c:f>
              <c:strCache>
                <c:ptCount val="1"/>
                <c:pt idx="0">
                  <c:v>2022</c:v>
                </c:pt>
              </c:strCache>
            </c:strRef>
          </c:tx>
          <c:spPr>
            <a:ln w="28575" cap="rnd">
              <a:solidFill>
                <a:schemeClr val="accent6"/>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espumoso'!$Q$31:$AB$31</c:f>
              <c:numCache>
                <c:formatCode>0.00</c:formatCode>
                <c:ptCount val="12"/>
                <c:pt idx="0">
                  <c:v>3.783520421941311</c:v>
                </c:pt>
                <c:pt idx="1">
                  <c:v>3.9860763992282124</c:v>
                </c:pt>
                <c:pt idx="2">
                  <c:v>4.1709364868998824</c:v>
                </c:pt>
                <c:pt idx="3">
                  <c:v>4.2067712604460263</c:v>
                </c:pt>
                <c:pt idx="4">
                  <c:v>3.593372216783977</c:v>
                </c:pt>
                <c:pt idx="5">
                  <c:v>4.0474519490711129</c:v>
                </c:pt>
                <c:pt idx="6">
                  <c:v>4.040582004982693</c:v>
                </c:pt>
                <c:pt idx="7">
                  <c:v>3.9790404420274696</c:v>
                </c:pt>
                <c:pt idx="8">
                  <c:v>3.9451850119902896</c:v>
                </c:pt>
                <c:pt idx="9">
                  <c:v>3.8622684641320602</c:v>
                </c:pt>
                <c:pt idx="10">
                  <c:v>4.0071896261069346</c:v>
                </c:pt>
                <c:pt idx="11">
                  <c:v>3.8787099482877219</c:v>
                </c:pt>
              </c:numCache>
            </c:numRef>
          </c:val>
          <c:smooth val="0"/>
          <c:extLst>
            <c:ext xmlns:c16="http://schemas.microsoft.com/office/drawing/2014/chart" uri="{C3380CC4-5D6E-409C-BE32-E72D297353CC}">
              <c16:uniqueId val="{00000004-1A08-4599-99BC-DFC1B0AAD252}"/>
            </c:ext>
          </c:extLst>
        </c:ser>
        <c:dLbls>
          <c:showLegendKey val="0"/>
          <c:showVal val="0"/>
          <c:showCatName val="0"/>
          <c:showSerName val="0"/>
          <c:showPercent val="0"/>
          <c:showBubbleSize val="0"/>
        </c:dLbls>
        <c:smooth val="0"/>
        <c:axId val="-1545868224"/>
        <c:axId val="-1545865472"/>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ax val="5.8"/>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29.  Valor de exportaciones de vino espumoso elaborado con uvas orgánicas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4"/>
          <c:order val="0"/>
          <c:tx>
            <c:strRef>
              <c:f>'Gráficos vino espum org'!$Q$5</c:f>
              <c:strCache>
                <c:ptCount val="1"/>
                <c:pt idx="0">
                  <c:v>2022</c:v>
                </c:pt>
              </c:strCache>
            </c:strRef>
          </c:tx>
          <c:spPr>
            <a:ln w="28575" cap="rnd">
              <a:solidFill>
                <a:schemeClr val="accent5"/>
              </a:solidFill>
              <a:round/>
            </a:ln>
            <a:effectLst/>
          </c:spPr>
          <c:marker>
            <c:symbol val="none"/>
          </c:marker>
          <c:cat>
            <c:strRef>
              <c:f>'Gráficos vino espum org'!$R$1:$AC$1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 org'!$R$5:$AC$5</c:f>
              <c:numCache>
                <c:formatCode>_(* #,##0_);_(* \(#,##0\);_(* "-"_);_(@_)</c:formatCode>
                <c:ptCount val="12"/>
                <c:pt idx="0">
                  <c:v>55.630749999999999</c:v>
                </c:pt>
                <c:pt idx="1">
                  <c:v>62.263460000000002</c:v>
                </c:pt>
                <c:pt idx="2">
                  <c:v>97.725399999999993</c:v>
                </c:pt>
                <c:pt idx="3">
                  <c:v>83.822699999999998</c:v>
                </c:pt>
                <c:pt idx="4">
                  <c:v>39.767269999999996</c:v>
                </c:pt>
                <c:pt idx="5">
                  <c:v>13.62776</c:v>
                </c:pt>
                <c:pt idx="6">
                  <c:v>23.499510000000001</c:v>
                </c:pt>
                <c:pt idx="7">
                  <c:v>70.742519999999999</c:v>
                </c:pt>
                <c:pt idx="8">
                  <c:v>84.863820000000004</c:v>
                </c:pt>
                <c:pt idx="9">
                  <c:v>16.832889999999999</c:v>
                </c:pt>
                <c:pt idx="10">
                  <c:v>57.5</c:v>
                </c:pt>
                <c:pt idx="11">
                  <c:v>9.6129999999999995</c:v>
                </c:pt>
              </c:numCache>
            </c:numRef>
          </c:val>
          <c:smooth val="0"/>
          <c:extLst>
            <c:ext xmlns:c16="http://schemas.microsoft.com/office/drawing/2014/chart" uri="{C3380CC4-5D6E-409C-BE32-E72D297353CC}">
              <c16:uniqueId val="{00000003-3BAA-41AB-878D-07F29871D81A}"/>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1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30. Precio medio de exportación de vino espumoso elaborado con uvas orgánicas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4"/>
          <c:order val="0"/>
          <c:tx>
            <c:strRef>
              <c:f>'Gráficos vino espum org'!$Q$10</c:f>
              <c:strCache>
                <c:ptCount val="1"/>
                <c:pt idx="0">
                  <c:v>2022</c:v>
                </c:pt>
              </c:strCache>
            </c:strRef>
          </c:tx>
          <c:spPr>
            <a:ln w="28575" cap="rnd">
              <a:solidFill>
                <a:schemeClr val="accent5"/>
              </a:solidFill>
              <a:round/>
            </a:ln>
            <a:effectLst/>
          </c:spPr>
          <c:marker>
            <c:symbol val="none"/>
          </c:marker>
          <c:cat>
            <c:strRef>
              <c:f>'Gráficos vino espum org'!$R$1:$AC$1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 org'!$R$10:$AC$10</c:f>
              <c:numCache>
                <c:formatCode>0.00</c:formatCode>
                <c:ptCount val="12"/>
                <c:pt idx="0">
                  <c:v>5.1042068079640339</c:v>
                </c:pt>
                <c:pt idx="1">
                  <c:v>4.6430618941088744</c:v>
                </c:pt>
                <c:pt idx="2">
                  <c:v>5.3097201847324094</c:v>
                </c:pt>
                <c:pt idx="3">
                  <c:v>4.9845508875211841</c:v>
                </c:pt>
                <c:pt idx="4">
                  <c:v>7.1963934129569305</c:v>
                </c:pt>
                <c:pt idx="5">
                  <c:v>6.7297580246913586</c:v>
                </c:pt>
                <c:pt idx="6">
                  <c:v>6.5276416666666668</c:v>
                </c:pt>
                <c:pt idx="7">
                  <c:v>7.0181071428571427</c:v>
                </c:pt>
                <c:pt idx="8">
                  <c:v>6.7642132950741276</c:v>
                </c:pt>
                <c:pt idx="9">
                  <c:v>7.193542735042735</c:v>
                </c:pt>
                <c:pt idx="10">
                  <c:v>6.7251461988304087</c:v>
                </c:pt>
                <c:pt idx="11">
                  <c:v>7.1207407407407404</c:v>
                </c:pt>
              </c:numCache>
            </c:numRef>
          </c:val>
          <c:smooth val="0"/>
          <c:extLst>
            <c:ext xmlns:c16="http://schemas.microsoft.com/office/drawing/2014/chart" uri="{C3380CC4-5D6E-409C-BE32-E72D297353CC}">
              <c16:uniqueId val="{00000003-217D-442B-B9FF-70C38611FB1E}"/>
            </c:ext>
          </c:extLst>
        </c:ser>
        <c:dLbls>
          <c:showLegendKey val="0"/>
          <c:showVal val="0"/>
          <c:showCatName val="0"/>
          <c:showSerName val="0"/>
          <c:showPercent val="0"/>
          <c:showBubbleSize val="0"/>
        </c:dLbls>
        <c:smooth val="0"/>
        <c:axId val="-1545868224"/>
        <c:axId val="-1545865472"/>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ax val="10"/>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2002 - 2022</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export'!$S$8:$AM$9</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export'!$S$10:$AM$10</c:f>
              <c:numCache>
                <c:formatCode>#,##0</c:formatCode>
                <c:ptCount val="21"/>
                <c:pt idx="0">
                  <c:v>175.49329445519999</c:v>
                </c:pt>
                <c:pt idx="1">
                  <c:v>192.93670056670001</c:v>
                </c:pt>
                <c:pt idx="2">
                  <c:v>233.3400807802</c:v>
                </c:pt>
                <c:pt idx="3">
                  <c:v>242.48022453990001</c:v>
                </c:pt>
                <c:pt idx="4">
                  <c:v>258.75041966539999</c:v>
                </c:pt>
                <c:pt idx="5">
                  <c:v>317.69890552209995</c:v>
                </c:pt>
                <c:pt idx="6">
                  <c:v>326.99190337199997</c:v>
                </c:pt>
                <c:pt idx="7">
                  <c:v>348.41301345569997</c:v>
                </c:pt>
                <c:pt idx="8">
                  <c:v>382.55308354490001</c:v>
                </c:pt>
                <c:pt idx="9">
                  <c:v>396.57615365309999</c:v>
                </c:pt>
                <c:pt idx="10">
                  <c:v>401.84123653259996</c:v>
                </c:pt>
                <c:pt idx="11">
                  <c:v>398.37695106059999</c:v>
                </c:pt>
                <c:pt idx="12">
                  <c:v>413.56919094929998</c:v>
                </c:pt>
                <c:pt idx="13">
                  <c:v>437.84699999999998</c:v>
                </c:pt>
                <c:pt idx="14">
                  <c:v>451.06700000000001</c:v>
                </c:pt>
                <c:pt idx="15">
                  <c:v>477.19299999999998</c:v>
                </c:pt>
                <c:pt idx="16">
                  <c:v>456.7</c:v>
                </c:pt>
                <c:pt idx="17">
                  <c:v>444.00099999999998</c:v>
                </c:pt>
                <c:pt idx="18">
                  <c:v>445.9</c:v>
                </c:pt>
                <c:pt idx="19">
                  <c:v>448.18783447550004</c:v>
                </c:pt>
                <c:pt idx="20">
                  <c:v>443.7</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export'!$S$8:$AM$9</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export'!$S$11:$AM$11</c:f>
              <c:numCache>
                <c:formatCode>#,##0</c:formatCode>
                <c:ptCount val="21"/>
                <c:pt idx="0">
                  <c:v>471.66601617999999</c:v>
                </c:pt>
                <c:pt idx="1">
                  <c:v>524.11470127999996</c:v>
                </c:pt>
                <c:pt idx="2">
                  <c:v>650.14249059000008</c:v>
                </c:pt>
                <c:pt idx="3">
                  <c:v>696.04023954000002</c:v>
                </c:pt>
                <c:pt idx="4">
                  <c:v>772.21546238999997</c:v>
                </c:pt>
                <c:pt idx="5">
                  <c:v>1012.17846896</c:v>
                </c:pt>
                <c:pt idx="6">
                  <c:v>1095.4763609000001</c:v>
                </c:pt>
                <c:pt idx="7">
                  <c:v>1069.12207951</c:v>
                </c:pt>
                <c:pt idx="8">
                  <c:v>1186.4632452799999</c:v>
                </c:pt>
                <c:pt idx="9">
                  <c:v>1321.6412109100002</c:v>
                </c:pt>
                <c:pt idx="10">
                  <c:v>1337.7155418900002</c:v>
                </c:pt>
                <c:pt idx="11">
                  <c:v>1362.5547327000002</c:v>
                </c:pt>
                <c:pt idx="12">
                  <c:v>1422.0179057400001</c:v>
                </c:pt>
                <c:pt idx="13">
                  <c:v>1443.4</c:v>
                </c:pt>
                <c:pt idx="14">
                  <c:v>1427.481</c:v>
                </c:pt>
                <c:pt idx="15">
                  <c:v>1520.2370000000001</c:v>
                </c:pt>
                <c:pt idx="16">
                  <c:v>1507.3</c:v>
                </c:pt>
                <c:pt idx="17">
                  <c:v>1444.989</c:v>
                </c:pt>
                <c:pt idx="18">
                  <c:v>1394.1</c:v>
                </c:pt>
                <c:pt idx="19">
                  <c:v>1503.9203183799993</c:v>
                </c:pt>
                <c:pt idx="20">
                  <c:v>1459.3</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28.  Volumen de exportaciones de vino espumoso elaborado con uvas orgánicas (miles lts)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4"/>
          <c:order val="0"/>
          <c:tx>
            <c:strRef>
              <c:f>'Gráficos vino espum org'!$Q$2</c:f>
              <c:strCache>
                <c:ptCount val="1"/>
                <c:pt idx="0">
                  <c:v>2022</c:v>
                </c:pt>
              </c:strCache>
            </c:strRef>
          </c:tx>
          <c:spPr>
            <a:ln w="28575" cap="rnd">
              <a:solidFill>
                <a:schemeClr val="accent5"/>
              </a:solidFill>
              <a:round/>
            </a:ln>
            <a:effectLst/>
          </c:spPr>
          <c:marker>
            <c:symbol val="none"/>
          </c:marker>
          <c:cat>
            <c:strRef>
              <c:f>'Gráficos vino espum org'!$R$1:$AC$1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 org'!$R$2:$AC$2</c:f>
              <c:numCache>
                <c:formatCode>_ * #,##0.0_ ;_ * \-#,##0.0_ ;_ * "-"_ ;_ @_ </c:formatCode>
                <c:ptCount val="12"/>
                <c:pt idx="0">
                  <c:v>10.898999999999999</c:v>
                </c:pt>
                <c:pt idx="1">
                  <c:v>13.41</c:v>
                </c:pt>
                <c:pt idx="2">
                  <c:v>18.405000000000001</c:v>
                </c:pt>
                <c:pt idx="3">
                  <c:v>16.816500000000001</c:v>
                </c:pt>
                <c:pt idx="4">
                  <c:v>5.5259999999999998</c:v>
                </c:pt>
                <c:pt idx="5">
                  <c:v>2.0249999999999999</c:v>
                </c:pt>
                <c:pt idx="6">
                  <c:v>3.6</c:v>
                </c:pt>
                <c:pt idx="7">
                  <c:v>10.08</c:v>
                </c:pt>
                <c:pt idx="8">
                  <c:v>12.545999999999999</c:v>
                </c:pt>
                <c:pt idx="9">
                  <c:v>2.34</c:v>
                </c:pt>
                <c:pt idx="10">
                  <c:v>8.5500000000000007</c:v>
                </c:pt>
                <c:pt idx="11">
                  <c:v>1.35</c:v>
                </c:pt>
              </c:numCache>
            </c:numRef>
          </c:val>
          <c:smooth val="0"/>
          <c:extLst>
            <c:ext xmlns:c16="http://schemas.microsoft.com/office/drawing/2014/chart" uri="{C3380CC4-5D6E-409C-BE32-E72D297353CC}">
              <c16:uniqueId val="{00000000-645A-4697-8727-0A2B13456C20}"/>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 #,##0.0_ ;_ * \-#,##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31. Valor</a:t>
            </a:r>
            <a:r>
              <a:rPr lang="es-CL" sz="1100" b="1" baseline="0"/>
              <a:t> medio de exportación vino a granel</a:t>
            </a:r>
          </a:p>
          <a:p>
            <a:pPr>
              <a:defRPr sz="1100" b="1"/>
            </a:pPr>
            <a:r>
              <a:rPr lang="es-CL" sz="1100" b="1" baseline="0"/>
              <a:t>USD/litro</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925625122547756"/>
          <c:y val="0.13661141804788213"/>
          <c:w val="0.83921420978818817"/>
          <c:h val="0.49275094344550219"/>
        </c:manualLayout>
      </c:layout>
      <c:lineChart>
        <c:grouping val="standard"/>
        <c:varyColors val="0"/>
        <c:ser>
          <c:idx val="2"/>
          <c:order val="2"/>
          <c:tx>
            <c:strRef>
              <c:f>'Valor granel exp'!$Y$1</c:f>
              <c:strCache>
                <c:ptCount val="1"/>
                <c:pt idx="0">
                  <c:v>Vinos Blancos</c:v>
                </c:pt>
              </c:strCache>
            </c:strRef>
          </c:tx>
          <c:spPr>
            <a:ln w="28575" cap="rnd">
              <a:solidFill>
                <a:srgbClr val="92D050"/>
              </a:solidFill>
              <a:round/>
            </a:ln>
            <a:effectLst/>
          </c:spPr>
          <c:marker>
            <c:symbol val="none"/>
          </c:marker>
          <c:cat>
            <c:numRef>
              <c:f>'Valor granel exp'!$U$4:$U$27</c:f>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'Valor granel exp'!$AA$4:$AA$27</c:f>
              <c:numCache>
                <c:formatCode>_ * #,##0.00_ ;_ * \-#,##0.00_ ;_ * "-"_ ;_ @_ </c:formatCode>
                <c:ptCount val="24"/>
                <c:pt idx="0">
                  <c:v>0.72637539435250487</c:v>
                </c:pt>
                <c:pt idx="1">
                  <c:v>0.75391454749319098</c:v>
                </c:pt>
                <c:pt idx="2">
                  <c:v>0.72884931527897667</c:v>
                </c:pt>
                <c:pt idx="3">
                  <c:v>0.75880534619469153</c:v>
                </c:pt>
                <c:pt idx="4">
                  <c:v>0.75510014075787635</c:v>
                </c:pt>
                <c:pt idx="5">
                  <c:v>0.78990974340857323</c:v>
                </c:pt>
                <c:pt idx="6">
                  <c:v>0.80338663995857007</c:v>
                </c:pt>
                <c:pt idx="7">
                  <c:v>0.76444588421790149</c:v>
                </c:pt>
                <c:pt idx="8">
                  <c:v>0.80509489296276593</c:v>
                </c:pt>
                <c:pt idx="9">
                  <c:v>0.77611590536407538</c:v>
                </c:pt>
                <c:pt idx="10">
                  <c:v>0.81070180939212233</c:v>
                </c:pt>
                <c:pt idx="11">
                  <c:v>0.86769918656138845</c:v>
                </c:pt>
                <c:pt idx="12">
                  <c:v>0.8513543541409454</c:v>
                </c:pt>
                <c:pt idx="13">
                  <c:v>0.82800790438184757</c:v>
                </c:pt>
                <c:pt idx="14">
                  <c:v>0.86618629504425682</c:v>
                </c:pt>
                <c:pt idx="15">
                  <c:v>0.8926489890889836</c:v>
                </c:pt>
                <c:pt idx="16">
                  <c:v>0.80875524335841276</c:v>
                </c:pt>
                <c:pt idx="17">
                  <c:v>0.93506323621684517</c:v>
                </c:pt>
                <c:pt idx="18">
                  <c:v>0.85862059290661596</c:v>
                </c:pt>
                <c:pt idx="19">
                  <c:v>0.98583792500254619</c:v>
                </c:pt>
                <c:pt idx="20">
                  <c:v>0.84867410737423865</c:v>
                </c:pt>
                <c:pt idx="21">
                  <c:v>0.92249483543740585</c:v>
                </c:pt>
                <c:pt idx="22">
                  <c:v>0.93782087402883962</c:v>
                </c:pt>
                <c:pt idx="23">
                  <c:v>0.84211740578882766</c:v>
                </c:pt>
              </c:numCache>
            </c:numRef>
          </c:val>
          <c:smooth val="0"/>
          <c:extLst>
            <c:ext xmlns:c16="http://schemas.microsoft.com/office/drawing/2014/chart" uri="{C3380CC4-5D6E-409C-BE32-E72D297353CC}">
              <c16:uniqueId val="{00000002-98A8-44E5-9A4C-1EEE66311D46}"/>
            </c:ext>
          </c:extLst>
        </c:ser>
        <c:ser>
          <c:idx val="5"/>
          <c:order val="5"/>
          <c:tx>
            <c:strRef>
              <c:f>'Valor granel exp'!$V$1</c:f>
              <c:strCache>
                <c:ptCount val="1"/>
                <c:pt idx="0">
                  <c:v>Vinos tintos  </c:v>
                </c:pt>
              </c:strCache>
            </c:strRef>
          </c:tx>
          <c:spPr>
            <a:ln w="28575" cap="rnd">
              <a:solidFill>
                <a:srgbClr val="C00000"/>
              </a:solidFill>
              <a:round/>
            </a:ln>
            <a:effectLst/>
          </c:spPr>
          <c:marker>
            <c:symbol val="none"/>
          </c:marker>
          <c:cat>
            <c:numRef>
              <c:f>'Valor granel exp'!$U$4:$U$27</c:f>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'Valor granel exp'!$X$4:$X$27</c:f>
              <c:numCache>
                <c:formatCode>_ * #,##0.00_ ;_ * \-#,##0.00_ ;_ * "-"_ ;_ @_ </c:formatCode>
                <c:ptCount val="24"/>
                <c:pt idx="0">
                  <c:v>0.68189663446757187</c:v>
                </c:pt>
                <c:pt idx="1">
                  <c:v>0.72061444479909664</c:v>
                </c:pt>
                <c:pt idx="2">
                  <c:v>0.71874687616854893</c:v>
                </c:pt>
                <c:pt idx="3">
                  <c:v>0.68728517315085802</c:v>
                </c:pt>
                <c:pt idx="4">
                  <c:v>0.72951400391112109</c:v>
                </c:pt>
                <c:pt idx="5">
                  <c:v>0.74983347428048919</c:v>
                </c:pt>
                <c:pt idx="6">
                  <c:v>0.64593360527097743</c:v>
                </c:pt>
                <c:pt idx="7">
                  <c:v>0.67142016420345152</c:v>
                </c:pt>
                <c:pt idx="8">
                  <c:v>0.70305215643391139</c:v>
                </c:pt>
                <c:pt idx="9">
                  <c:v>0.70845363793705918</c:v>
                </c:pt>
                <c:pt idx="10">
                  <c:v>0.69526352525661761</c:v>
                </c:pt>
                <c:pt idx="11">
                  <c:v>0.68335309781427689</c:v>
                </c:pt>
                <c:pt idx="12">
                  <c:v>0.68943946993582972</c:v>
                </c:pt>
                <c:pt idx="13">
                  <c:v>0.69178445840169811</c:v>
                </c:pt>
                <c:pt idx="14">
                  <c:v>0.77222189583177092</c:v>
                </c:pt>
                <c:pt idx="15">
                  <c:v>0.73485407840313677</c:v>
                </c:pt>
                <c:pt idx="16">
                  <c:v>0.67715838782851834</c:v>
                </c:pt>
                <c:pt idx="17">
                  <c:v>0.75805149541633055</c:v>
                </c:pt>
                <c:pt idx="18">
                  <c:v>0.71883766136174687</c:v>
                </c:pt>
                <c:pt idx="19">
                  <c:v>0.69214262749327471</c:v>
                </c:pt>
                <c:pt idx="20">
                  <c:v>0.67422239395643446</c:v>
                </c:pt>
                <c:pt idx="21">
                  <c:v>0.65683008159114664</c:v>
                </c:pt>
                <c:pt idx="22">
                  <c:v>0.65767165776962233</c:v>
                </c:pt>
                <c:pt idx="23">
                  <c:v>0.64413855331358971</c:v>
                </c:pt>
              </c:numCache>
            </c:numRef>
          </c:val>
          <c:smooth val="0"/>
          <c:extLst>
            <c:ext xmlns:c16="http://schemas.microsoft.com/office/drawing/2014/chart" uri="{C3380CC4-5D6E-409C-BE32-E72D297353CC}">
              <c16:uniqueId val="{00000005-98A8-44E5-9A4C-1EEE66311D46}"/>
            </c:ext>
          </c:extLst>
        </c:ser>
        <c:ser>
          <c:idx val="8"/>
          <c:order val="8"/>
          <c:tx>
            <c:strRef>
              <c:f>'Valor granel exp'!$AB$1</c:f>
              <c:strCache>
                <c:ptCount val="1"/>
                <c:pt idx="0">
                  <c:v>Otros vinos</c:v>
                </c:pt>
              </c:strCache>
            </c:strRef>
          </c:tx>
          <c:spPr>
            <a:ln w="28575" cap="rnd">
              <a:solidFill>
                <a:schemeClr val="accent3">
                  <a:lumMod val="60000"/>
                </a:schemeClr>
              </a:solidFill>
              <a:round/>
            </a:ln>
            <a:effectLst/>
          </c:spPr>
          <c:marker>
            <c:symbol val="none"/>
          </c:marker>
          <c:cat>
            <c:numRef>
              <c:f>'Valor granel exp'!$U$4:$U$27</c:f>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'Valor granel exp'!$AD$4:$AD$27</c:f>
              <c:numCache>
                <c:formatCode>0.00</c:formatCode>
                <c:ptCount val="24"/>
                <c:pt idx="0">
                  <c:v>0.77787241666666673</c:v>
                </c:pt>
                <c:pt idx="1">
                  <c:v>0.92571437656091016</c:v>
                </c:pt>
                <c:pt idx="2">
                  <c:v>0.74</c:v>
                </c:pt>
                <c:pt idx="3">
                  <c:v>0.69750000000000001</c:v>
                </c:pt>
                <c:pt idx="4">
                  <c:v>0.69925341745531022</c:v>
                </c:pt>
                <c:pt idx="5">
                  <c:v>0.65</c:v>
                </c:pt>
                <c:pt idx="6">
                  <c:v>0.68833333333333335</c:v>
                </c:pt>
                <c:pt idx="7">
                  <c:v>0.65</c:v>
                </c:pt>
                <c:pt idx="8">
                  <c:v>0.73698553097345121</c:v>
                </c:pt>
                <c:pt idx="9">
                  <c:v>0.7113834722222222</c:v>
                </c:pt>
                <c:pt idx="10">
                  <c:v>0.69881612683014149</c:v>
                </c:pt>
                <c:pt idx="11">
                  <c:v>0.79200000000000004</c:v>
                </c:pt>
                <c:pt idx="12">
                  <c:v>0.65696535929000854</c:v>
                </c:pt>
                <c:pt idx="13">
                  <c:v>0.7156522023809524</c:v>
                </c:pt>
                <c:pt idx="14">
                  <c:v>0.62545420289855069</c:v>
                </c:pt>
                <c:pt idx="15">
                  <c:v>1.22526196050551</c:v>
                </c:pt>
                <c:pt idx="16">
                  <c:v>1.1295066046940088</c:v>
                </c:pt>
                <c:pt idx="17">
                  <c:v>0.72698149621034891</c:v>
                </c:pt>
                <c:pt idx="18">
                  <c:v>0.86256128623188388</c:v>
                </c:pt>
                <c:pt idx="19">
                  <c:v>0.8504485780414669</c:v>
                </c:pt>
                <c:pt idx="20">
                  <c:v>0.88232721985201001</c:v>
                </c:pt>
                <c:pt idx="21">
                  <c:v>0.96073791666666675</c:v>
                </c:pt>
                <c:pt idx="22">
                  <c:v>0.72806315674964461</c:v>
                </c:pt>
                <c:pt idx="23">
                  <c:v>0.77364874999999989</c:v>
                </c:pt>
              </c:numCache>
            </c:numRef>
          </c:val>
          <c:smooth val="0"/>
          <c:extLst>
            <c:ext xmlns:c16="http://schemas.microsoft.com/office/drawing/2014/chart" uri="{C3380CC4-5D6E-409C-BE32-E72D297353CC}">
              <c16:uniqueId val="{00000008-98A8-44E5-9A4C-1EEE66311D46}"/>
            </c:ext>
          </c:extLst>
        </c:ser>
        <c:ser>
          <c:idx val="9"/>
          <c:order val="9"/>
          <c:tx>
            <c:strRef>
              <c:f>'Valor granel exp'!$AE$1:$AG$1</c:f>
              <c:strCache>
                <c:ptCount val="1"/>
                <c:pt idx="0">
                  <c:v>Total</c:v>
                </c:pt>
              </c:strCache>
            </c:strRef>
          </c:tx>
          <c:spPr>
            <a:ln w="28575" cap="rnd">
              <a:solidFill>
                <a:schemeClr val="accent4">
                  <a:lumMod val="60000"/>
                </a:schemeClr>
              </a:solidFill>
              <a:round/>
            </a:ln>
            <a:effectLst/>
          </c:spPr>
          <c:marker>
            <c:symbol val="none"/>
          </c:marker>
          <c:cat>
            <c:numRef>
              <c:f>'Valor granel exp'!$U$4:$U$27</c:f>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'Valor granel exp'!$AG$4:$AG$27</c:f>
              <c:numCache>
                <c:formatCode>0.00</c:formatCode>
                <c:ptCount val="24"/>
                <c:pt idx="0">
                  <c:v>0.69546578032975259</c:v>
                </c:pt>
                <c:pt idx="1">
                  <c:v>0.73521877800085644</c:v>
                </c:pt>
                <c:pt idx="2">
                  <c:v>0.72136700273245014</c:v>
                </c:pt>
                <c:pt idx="3">
                  <c:v>0.70824517121192876</c:v>
                </c:pt>
                <c:pt idx="4">
                  <c:v>0.73535609371297017</c:v>
                </c:pt>
                <c:pt idx="5">
                  <c:v>0.75770032335484272</c:v>
                </c:pt>
                <c:pt idx="6">
                  <c:v>0.69342591179418156</c:v>
                </c:pt>
                <c:pt idx="7">
                  <c:v>0.70330995653608808</c:v>
                </c:pt>
                <c:pt idx="8">
                  <c:v>0.75709894781479048</c:v>
                </c:pt>
                <c:pt idx="9">
                  <c:v>0.72851319580297647</c:v>
                </c:pt>
                <c:pt idx="10">
                  <c:v>0.73480793165124647</c:v>
                </c:pt>
                <c:pt idx="11">
                  <c:v>0.72918859400097658</c:v>
                </c:pt>
                <c:pt idx="12">
                  <c:v>0.74487153570330178</c:v>
                </c:pt>
                <c:pt idx="13">
                  <c:v>0.74019576978784707</c:v>
                </c:pt>
                <c:pt idx="14">
                  <c:v>0.80293386292140523</c:v>
                </c:pt>
                <c:pt idx="15">
                  <c:v>0.78571876361001058</c:v>
                </c:pt>
                <c:pt idx="16">
                  <c:v>0.71932120867790461</c:v>
                </c:pt>
                <c:pt idx="17">
                  <c:v>0.80645031657421862</c:v>
                </c:pt>
                <c:pt idx="18">
                  <c:v>0.78260362364503933</c:v>
                </c:pt>
                <c:pt idx="19">
                  <c:v>0.83951422344604354</c:v>
                </c:pt>
                <c:pt idx="20">
                  <c:v>0.73154465998814278</c:v>
                </c:pt>
                <c:pt idx="21">
                  <c:v>0.77546403414182619</c:v>
                </c:pt>
                <c:pt idx="22">
                  <c:v>0.75389306783500476</c:v>
                </c:pt>
                <c:pt idx="23">
                  <c:v>0.72013436471315218</c:v>
                </c:pt>
              </c:numCache>
            </c:numRef>
          </c:val>
          <c:smooth val="0"/>
          <c:extLst>
            <c:ext xmlns:c16="http://schemas.microsoft.com/office/drawing/2014/chart" uri="{C3380CC4-5D6E-409C-BE32-E72D297353CC}">
              <c16:uniqueId val="{00000000-234E-4B57-8161-8F80A43F9886}"/>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exp'!$Y$1:$Y$3</c15:sqref>
                        </c15:formulaRef>
                      </c:ext>
                    </c:extLst>
                    <c:strCache>
                      <c:ptCount val="3"/>
                      <c:pt idx="0">
                        <c:v>Vinos Blancos</c:v>
                      </c:pt>
                      <c:pt idx="1">
                        <c:v>22042996</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c:ext uri="{02D57815-91ED-43cb-92C2-25804820EDAC}">
                        <c15:formulaRef>
                          <c15:sqref>'Valor granel exp'!$Y$4:$Y$18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7702781.639999995</c:v>
                      </c:pt>
                    </c:numCache>
                  </c:numRef>
                </c:val>
                <c:smooth val="0"/>
                <c:extLst>
                  <c:ext xmlns:c16="http://schemas.microsoft.com/office/drawing/2014/chart" uri="{C3380CC4-5D6E-409C-BE32-E72D297353CC}">
                    <c16:uniqueId val="{00000000-98A8-44E5-9A4C-1EEE66311D4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Blancos</c:v>
                      </c:pt>
                      <c:pt idx="1">
                        <c:v>22042996</c:v>
                      </c:pt>
                      <c:pt idx="2">
                        <c:v>Vol</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8892754</c:v>
                      </c:pt>
                    </c:numCache>
                  </c:numRef>
                </c:val>
                <c:smooth val="0"/>
                <c:extLst xmlns:c15="http://schemas.microsoft.com/office/drawing/2012/chart">
                  <c:ext xmlns:c16="http://schemas.microsoft.com/office/drawing/2014/chart" uri="{C3380CC4-5D6E-409C-BE32-E72D297353CC}">
                    <c16:uniqueId val="{00000001-98A8-44E5-9A4C-1EEE66311D4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exp'!$V$1:$V$3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xmlns:c15="http://schemas.microsoft.com/office/drawing/2012/chart">
                      <c:ext xmlns:c15="http://schemas.microsoft.com/office/drawing/2012/chart" uri="{02D57815-91ED-43cb-92C2-25804820EDAC}">
                        <c15:formulaRef>
                          <c15:sqref>'Valor granel exp'!$V$4:$V$18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3-98A8-44E5-9A4C-1EEE66311D4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4-98A8-44E5-9A4C-1EEE66311D4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1">
                        <c:v>22042999</c:v>
                      </c:pt>
                      <c:pt idx="2">
                        <c:v>Val</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6-98A8-44E5-9A4C-1EEE66311D4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1">
                        <c:v>22042999</c:v>
                      </c:pt>
                      <c:pt idx="2">
                        <c:v>Vol</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7-98A8-44E5-9A4C-1EEE66311D4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32. Valor</a:t>
            </a:r>
            <a:r>
              <a:rPr lang="es-CL" sz="1100" b="1" baseline="0"/>
              <a:t> medio de exportación vino a granel</a:t>
            </a:r>
          </a:p>
          <a:p>
            <a:pPr>
              <a:defRPr sz="1100" b="1"/>
            </a:pPr>
            <a:r>
              <a:rPr lang="es-CL" sz="1100" b="1" baseline="0"/>
              <a:t>CLP / litro</a:t>
            </a:r>
          </a:p>
        </c:rich>
      </c:tx>
      <c:layout>
        <c:manualLayout>
          <c:xMode val="edge"/>
          <c:yMode val="edge"/>
          <c:x val="0.3203871905045812"/>
          <c:y val="1.666666666666666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051881129537708"/>
          <c:y val="0.13292817679558011"/>
          <c:w val="0.82078107209075934"/>
          <c:h val="0.48940154749844528"/>
        </c:manualLayout>
      </c:layout>
      <c:lineChart>
        <c:grouping val="standard"/>
        <c:varyColors val="0"/>
        <c:ser>
          <c:idx val="2"/>
          <c:order val="2"/>
          <c:tx>
            <c:strRef>
              <c:f>'Valor granel exp'!$AJ$1</c:f>
              <c:strCache>
                <c:ptCount val="1"/>
                <c:pt idx="0">
                  <c:v>Vinos Blancos</c:v>
                </c:pt>
              </c:strCache>
            </c:strRef>
          </c:tx>
          <c:spPr>
            <a:ln w="28575" cap="rnd">
              <a:solidFill>
                <a:srgbClr val="92D050"/>
              </a:solidFill>
              <a:round/>
            </a:ln>
            <a:effectLst/>
          </c:spPr>
          <c:marker>
            <c:symbol val="none"/>
          </c:marker>
          <c:cat>
            <c:numRef>
              <c:f>'Valor granel exp'!$U$4:$U$27</c:f>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'Valor granel exp'!$AJ$4:$AJ$27</c:f>
              <c:numCache>
                <c:formatCode>_(* #,##0_);_(* \(#,##0\);_(* "-"_);_(@_)</c:formatCode>
                <c:ptCount val="24"/>
                <c:pt idx="0">
                  <c:v>525.57618033769836</c:v>
                </c:pt>
                <c:pt idx="1">
                  <c:v>544.80126945500456</c:v>
                </c:pt>
                <c:pt idx="2">
                  <c:v>529.41427713919029</c:v>
                </c:pt>
                <c:pt idx="3">
                  <c:v>537.12036430391242</c:v>
                </c:pt>
                <c:pt idx="4">
                  <c:v>537.82762625620501</c:v>
                </c:pt>
                <c:pt idx="5">
                  <c:v>573.90102497606472</c:v>
                </c:pt>
                <c:pt idx="6">
                  <c:v>602.89347009050937</c:v>
                </c:pt>
                <c:pt idx="7">
                  <c:v>596.13783388964612</c:v>
                </c:pt>
                <c:pt idx="8">
                  <c:v>630.89651097241222</c:v>
                </c:pt>
                <c:pt idx="9">
                  <c:v>631.71954117108919</c:v>
                </c:pt>
                <c:pt idx="10">
                  <c:v>658.79250434822643</c:v>
                </c:pt>
                <c:pt idx="11">
                  <c:v>736.78073329300616</c:v>
                </c:pt>
                <c:pt idx="12">
                  <c:v>699.85584682156411</c:v>
                </c:pt>
                <c:pt idx="13">
                  <c:v>668.26033938945773</c:v>
                </c:pt>
                <c:pt idx="14">
                  <c:v>692.24742513641968</c:v>
                </c:pt>
                <c:pt idx="15">
                  <c:v>727.61604398621228</c:v>
                </c:pt>
                <c:pt idx="16">
                  <c:v>686.94861615620221</c:v>
                </c:pt>
                <c:pt idx="17">
                  <c:v>802.06919212972332</c:v>
                </c:pt>
                <c:pt idx="18">
                  <c:v>818.87504566096879</c:v>
                </c:pt>
                <c:pt idx="19">
                  <c:v>891.54252747605267</c:v>
                </c:pt>
                <c:pt idx="20">
                  <c:v>781.63733963274751</c:v>
                </c:pt>
                <c:pt idx="21">
                  <c:v>881.80358824626182</c:v>
                </c:pt>
                <c:pt idx="22">
                  <c:v>860.02863252814734</c:v>
                </c:pt>
                <c:pt idx="23">
                  <c:v>737.40852755304479</c:v>
                </c:pt>
              </c:numCache>
            </c:numRef>
          </c:val>
          <c:smooth val="0"/>
          <c:extLst>
            <c:ext xmlns:c16="http://schemas.microsoft.com/office/drawing/2014/chart" uri="{C3380CC4-5D6E-409C-BE32-E72D297353CC}">
              <c16:uniqueId val="{00000000-D806-4E5B-84C5-19BB6B9EF906}"/>
            </c:ext>
          </c:extLst>
        </c:ser>
        <c:ser>
          <c:idx val="5"/>
          <c:order val="5"/>
          <c:tx>
            <c:strRef>
              <c:f>'Valor granel exp'!$AI$1</c:f>
              <c:strCache>
                <c:ptCount val="1"/>
                <c:pt idx="0">
                  <c:v>Vinos Tintos</c:v>
                </c:pt>
              </c:strCache>
            </c:strRef>
          </c:tx>
          <c:spPr>
            <a:ln w="28575" cap="rnd">
              <a:solidFill>
                <a:srgbClr val="C00000"/>
              </a:solidFill>
              <a:round/>
            </a:ln>
            <a:effectLst/>
          </c:spPr>
          <c:marker>
            <c:symbol val="none"/>
          </c:marker>
          <c:cat>
            <c:numRef>
              <c:f>'Valor granel exp'!$U$4:$U$27</c:f>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'Valor granel exp'!$AI$4:$AI$27</c:f>
              <c:numCache>
                <c:formatCode>_(* #,##0_);_(* \(#,##0\);_(* "-"_);_(@_)</c:formatCode>
                <c:ptCount val="24"/>
                <c:pt idx="0">
                  <c:v>493.39312883535626</c:v>
                </c:pt>
                <c:pt idx="1">
                  <c:v>520.73761624517124</c:v>
                </c:pt>
                <c:pt idx="2">
                  <c:v>522.07616844254892</c:v>
                </c:pt>
                <c:pt idx="3">
                  <c:v>486.49480981483487</c:v>
                </c:pt>
                <c:pt idx="4">
                  <c:v>519.60364442573507</c:v>
                </c:pt>
                <c:pt idx="5">
                  <c:v>544.7840124037466</c:v>
                </c:pt>
                <c:pt idx="6">
                  <c:v>484.73441473955234</c:v>
                </c:pt>
                <c:pt idx="7">
                  <c:v>523.59358665077764</c:v>
                </c:pt>
                <c:pt idx="8">
                  <c:v>550.93276134630594</c:v>
                </c:pt>
                <c:pt idx="9">
                  <c:v>576.64583859886932</c:v>
                </c:pt>
                <c:pt idx="10">
                  <c:v>564.98504589403262</c:v>
                </c:pt>
                <c:pt idx="11">
                  <c:v>580.24878241605882</c:v>
                </c:pt>
                <c:pt idx="12">
                  <c:v>566.75371626074877</c:v>
                </c:pt>
                <c:pt idx="13">
                  <c:v>558.3184828422585</c:v>
                </c:pt>
                <c:pt idx="14">
                  <c:v>617.15201692979304</c:v>
                </c:pt>
                <c:pt idx="15">
                  <c:v>598.99425638796481</c:v>
                </c:pt>
                <c:pt idx="16">
                  <c:v>575.17156303766524</c:v>
                </c:pt>
                <c:pt idx="17">
                  <c:v>650.23383122326584</c:v>
                </c:pt>
                <c:pt idx="18">
                  <c:v>685.56266601731159</c:v>
                </c:pt>
                <c:pt idx="19">
                  <c:v>625.93918517354302</c:v>
                </c:pt>
                <c:pt idx="20">
                  <c:v>620.96556705781575</c:v>
                </c:pt>
                <c:pt idx="21">
                  <c:v>627.85730669216116</c:v>
                </c:pt>
                <c:pt idx="22">
                  <c:v>603.11779375763217</c:v>
                </c:pt>
                <c:pt idx="23">
                  <c:v>564.04636559457799</c:v>
                </c:pt>
              </c:numCache>
            </c:numRef>
          </c:val>
          <c:smooth val="0"/>
          <c:extLst>
            <c:ext xmlns:c16="http://schemas.microsoft.com/office/drawing/2014/chart" uri="{C3380CC4-5D6E-409C-BE32-E72D297353CC}">
              <c16:uniqueId val="{00000001-D806-4E5B-84C5-19BB6B9EF906}"/>
            </c:ext>
          </c:extLst>
        </c:ser>
        <c:ser>
          <c:idx val="8"/>
          <c:order val="8"/>
          <c:tx>
            <c:strRef>
              <c:f>'Valor granel exp'!$AK$1</c:f>
              <c:strCache>
                <c:ptCount val="1"/>
                <c:pt idx="0">
                  <c:v>Otros Vinos</c:v>
                </c:pt>
              </c:strCache>
            </c:strRef>
          </c:tx>
          <c:spPr>
            <a:ln w="28575" cap="rnd">
              <a:solidFill>
                <a:schemeClr val="accent3">
                  <a:lumMod val="60000"/>
                </a:schemeClr>
              </a:solidFill>
              <a:round/>
            </a:ln>
            <a:effectLst/>
          </c:spPr>
          <c:marker>
            <c:symbol val="none"/>
          </c:marker>
          <c:cat>
            <c:numRef>
              <c:f>'Valor granel exp'!$U$4:$U$27</c:f>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'Valor granel exp'!$AK$4:$AK$27</c:f>
              <c:numCache>
                <c:formatCode>_(* #,##0_);_(* \(#,##0\);_(* "-"_);_(@_)</c:formatCode>
                <c:ptCount val="24"/>
                <c:pt idx="0">
                  <c:v>562.83736580333334</c:v>
                </c:pt>
                <c:pt idx="1">
                  <c:v>668.94897993421046</c:v>
                </c:pt>
                <c:pt idx="2">
                  <c:v>537.51379999999995</c:v>
                </c:pt>
                <c:pt idx="3">
                  <c:v>493.72537500000004</c:v>
                </c:pt>
                <c:pt idx="4">
                  <c:v>498.05023911671924</c:v>
                </c:pt>
                <c:pt idx="5">
                  <c:v>472.25099999999998</c:v>
                </c:pt>
                <c:pt idx="6">
                  <c:v>516.55286666666677</c:v>
                </c:pt>
                <c:pt idx="7">
                  <c:v>506.88950000000006</c:v>
                </c:pt>
                <c:pt idx="8">
                  <c:v>577.52397163672561</c:v>
                </c:pt>
                <c:pt idx="9">
                  <c:v>579.03057721527784</c:v>
                </c:pt>
                <c:pt idx="10">
                  <c:v>567.87196098470963</c:v>
                </c:pt>
                <c:pt idx="11">
                  <c:v>672.50304000000006</c:v>
                </c:pt>
                <c:pt idx="12">
                  <c:v>540.05837360435146</c:v>
                </c:pt>
                <c:pt idx="13">
                  <c:v>577.58142297559527</c:v>
                </c:pt>
                <c:pt idx="14">
                  <c:v>499.85674441449277</c:v>
                </c:pt>
                <c:pt idx="15">
                  <c:v>998.73552924725129</c:v>
                </c:pt>
                <c:pt idx="16">
                  <c:v>959.39161496104407</c:v>
                </c:pt>
                <c:pt idx="17">
                  <c:v>623.58291800435097</c:v>
                </c:pt>
                <c:pt idx="18">
                  <c:v>822.63332429220998</c:v>
                </c:pt>
                <c:pt idx="19">
                  <c:v>769.10317155180064</c:v>
                </c:pt>
                <c:pt idx="20">
                  <c:v>812.63219275589972</c:v>
                </c:pt>
                <c:pt idx="21">
                  <c:v>918.35976716250002</c:v>
                </c:pt>
                <c:pt idx="22">
                  <c:v>667.67031789726161</c:v>
                </c:pt>
                <c:pt idx="23">
                  <c:v>677.45326442499993</c:v>
                </c:pt>
              </c:numCache>
            </c:numRef>
          </c:val>
          <c:smooth val="0"/>
          <c:extLst>
            <c:ext xmlns:c16="http://schemas.microsoft.com/office/drawing/2014/chart" uri="{C3380CC4-5D6E-409C-BE32-E72D297353CC}">
              <c16:uniqueId val="{00000002-D806-4E5B-84C5-19BB6B9EF906}"/>
            </c:ext>
          </c:extLst>
        </c:ser>
        <c:ser>
          <c:idx val="9"/>
          <c:order val="9"/>
          <c:tx>
            <c:strRef>
              <c:f>'Valor granel exp'!$AL$1</c:f>
              <c:strCache>
                <c:ptCount val="1"/>
                <c:pt idx="0">
                  <c:v>Total</c:v>
                </c:pt>
              </c:strCache>
            </c:strRef>
          </c:tx>
          <c:spPr>
            <a:ln w="28575" cap="rnd">
              <a:solidFill>
                <a:schemeClr val="accent4">
                  <a:lumMod val="60000"/>
                </a:schemeClr>
              </a:solidFill>
              <a:round/>
            </a:ln>
            <a:effectLst/>
          </c:spPr>
          <c:marker>
            <c:symbol val="none"/>
          </c:marker>
          <c:cat>
            <c:numRef>
              <c:f>'Valor granel exp'!$U$4:$U$27</c:f>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f>'Valor granel exp'!$AL$4:$AL$27</c:f>
              <c:numCache>
                <c:formatCode>_(* #,##0_);_(* \(#,##0\);_(* "-"_);_(@_)</c:formatCode>
                <c:ptCount val="24"/>
                <c:pt idx="0">
                  <c:v>503.21122001539572</c:v>
                </c:pt>
                <c:pt idx="1">
                  <c:v>531.29114554675891</c:v>
                </c:pt>
                <c:pt idx="2">
                  <c:v>523.97934977476984</c:v>
                </c:pt>
                <c:pt idx="3">
                  <c:v>501.33134444236379</c:v>
                </c:pt>
                <c:pt idx="4">
                  <c:v>523.76473130800014</c:v>
                </c:pt>
                <c:pt idx="5">
                  <c:v>550.49959293022744</c:v>
                </c:pt>
                <c:pt idx="6">
                  <c:v>520.37454124682563</c:v>
                </c:pt>
                <c:pt idx="7">
                  <c:v>548.46220340553759</c:v>
                </c:pt>
                <c:pt idx="8">
                  <c:v>593.28544847610431</c:v>
                </c:pt>
                <c:pt idx="9">
                  <c:v>592.97331572383268</c:v>
                </c:pt>
                <c:pt idx="10">
                  <c:v>597.11962141843594</c:v>
                </c:pt>
                <c:pt idx="11">
                  <c:v>619.16861893810926</c:v>
                </c:pt>
                <c:pt idx="12">
                  <c:v>612.32164592489914</c:v>
                </c:pt>
                <c:pt idx="13">
                  <c:v>597.38979992267775</c:v>
                </c:pt>
                <c:pt idx="14">
                  <c:v>641.6967139081579</c:v>
                </c:pt>
                <c:pt idx="15">
                  <c:v>640.45507859379188</c:v>
                </c:pt>
                <c:pt idx="16">
                  <c:v>610.98424143892544</c:v>
                </c:pt>
                <c:pt idx="17">
                  <c:v>691.74888804786747</c:v>
                </c:pt>
                <c:pt idx="18">
                  <c:v>746.37690190651051</c:v>
                </c:pt>
                <c:pt idx="19">
                  <c:v>759.21468797342948</c:v>
                </c:pt>
                <c:pt idx="20">
                  <c:v>673.75994729567935</c:v>
                </c:pt>
                <c:pt idx="21">
                  <c:v>741.25831559583025</c:v>
                </c:pt>
                <c:pt idx="22">
                  <c:v>691.35763785809104</c:v>
                </c:pt>
                <c:pt idx="23">
                  <c:v>630.59285780471885</c:v>
                </c:pt>
              </c:numCache>
            </c:numRef>
          </c:val>
          <c:smooth val="0"/>
          <c:extLst>
            <c:ext xmlns:c16="http://schemas.microsoft.com/office/drawing/2014/chart" uri="{C3380CC4-5D6E-409C-BE32-E72D297353CC}">
              <c16:uniqueId val="{00000000-2972-4A71-ACA5-DEA18549DAA8}"/>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exp'!$Y$1:$Y$3</c15:sqref>
                        </c15:formulaRef>
                      </c:ext>
                    </c:extLst>
                    <c:strCache>
                      <c:ptCount val="3"/>
                      <c:pt idx="0">
                        <c:v>Vinos Blancos</c:v>
                      </c:pt>
                      <c:pt idx="1">
                        <c:v>22042996</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c:ext uri="{02D57815-91ED-43cb-92C2-25804820EDAC}">
                        <c15:formulaRef>
                          <c15:sqref>'Valor granel exp'!$Y$4:$Y$18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7702781.639999995</c:v>
                      </c:pt>
                    </c:numCache>
                  </c:numRef>
                </c:val>
                <c:smooth val="0"/>
                <c:extLst>
                  <c:ext xmlns:c16="http://schemas.microsoft.com/office/drawing/2014/chart" uri="{C3380CC4-5D6E-409C-BE32-E72D297353CC}">
                    <c16:uniqueId val="{00000003-D806-4E5B-84C5-19BB6B9EF90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Blancos</c:v>
                      </c:pt>
                      <c:pt idx="1">
                        <c:v>22042996</c:v>
                      </c:pt>
                      <c:pt idx="2">
                        <c:v>Vol</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8892754</c:v>
                      </c:pt>
                    </c:numCache>
                  </c:numRef>
                </c:val>
                <c:smooth val="0"/>
                <c:extLst xmlns:c15="http://schemas.microsoft.com/office/drawing/2012/chart">
                  <c:ext xmlns:c16="http://schemas.microsoft.com/office/drawing/2014/chart" uri="{C3380CC4-5D6E-409C-BE32-E72D297353CC}">
                    <c16:uniqueId val="{00000004-D806-4E5B-84C5-19BB6B9EF90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exp'!$V$1:$V$3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xmlns:c15="http://schemas.microsoft.com/office/drawing/2012/chart">
                      <c:ext xmlns:c15="http://schemas.microsoft.com/office/drawing/2012/chart" uri="{02D57815-91ED-43cb-92C2-25804820EDAC}">
                        <c15:formulaRef>
                          <c15:sqref>'Valor granel exp'!$V$4:$V$18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5-D806-4E5B-84C5-19BB6B9EF90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6-D806-4E5B-84C5-19BB6B9EF90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1">
                        <c:v>22042999</c:v>
                      </c:pt>
                      <c:pt idx="2">
                        <c:v>Val</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7-D806-4E5B-84C5-19BB6B9EF90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1">
                        <c:v>22042999</c:v>
                      </c:pt>
                      <c:pt idx="2">
                        <c:v>Vol</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exp'!$U$4:$U$27</c15:sqref>
                        </c15:formulaRef>
                      </c:ext>
                    </c:extLst>
                    <c:numCache>
                      <c:formatCode>mmm\-yy</c:formatCode>
                      <c:ptCount val="24"/>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8-D806-4E5B-84C5-19BB6B9EF90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ax val="1000"/>
          <c:min val="45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CLP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33. Evolución de la producción de vinos con DO por cepa</a:t>
            </a:r>
          </a:p>
          <a:p>
            <a:pPr algn="ctr">
              <a:defRPr sz="1100"/>
            </a:pPr>
            <a:r>
              <a:rPr lang="en-US" sz="1100" b="0" i="0" baseline="0">
                <a:effectLst/>
              </a:rPr>
              <a:t>(miles de litros)</a:t>
            </a:r>
            <a:endParaRPr lang="es-CL" sz="1100">
              <a:effectLst/>
            </a:endParaRPr>
          </a:p>
        </c:rich>
      </c:tx>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664719329438658"/>
          <c:y val="0.15181356520379086"/>
          <c:w val="0.78346377317754634"/>
          <c:h val="0.47283097992639184"/>
        </c:manualLayout>
      </c:layout>
      <c:lineChart>
        <c:grouping val="standard"/>
        <c:varyColors val="0"/>
        <c:ser>
          <c:idx val="0"/>
          <c:order val="0"/>
          <c:tx>
            <c:strRef>
              <c:f>'Evol. prod. vino DO por cepa'!$A$4</c:f>
              <c:strCache>
                <c:ptCount val="1"/>
                <c:pt idx="0">
                  <c:v>Cabernet Sauvignon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cepa'!$B$4:$L$4</c:f>
              <c:numCache>
                <c:formatCode>#,##0</c:formatCode>
                <c:ptCount val="11"/>
                <c:pt idx="0">
                  <c:v>338735.69400000002</c:v>
                </c:pt>
                <c:pt idx="1">
                  <c:v>371599.26400000002</c:v>
                </c:pt>
                <c:pt idx="2">
                  <c:v>299541.43</c:v>
                </c:pt>
                <c:pt idx="3">
                  <c:v>382942.91899999999</c:v>
                </c:pt>
                <c:pt idx="4">
                  <c:v>277133.39299999998</c:v>
                </c:pt>
                <c:pt idx="5">
                  <c:v>228733.307</c:v>
                </c:pt>
                <c:pt idx="6">
                  <c:v>302226.57799999998</c:v>
                </c:pt>
                <c:pt idx="7">
                  <c:v>358482.89199999999</c:v>
                </c:pt>
                <c:pt idx="8">
                  <c:v>271975.64299999998</c:v>
                </c:pt>
                <c:pt idx="9">
                  <c:v>356471.14500000002</c:v>
                </c:pt>
                <c:pt idx="10">
                  <c:v>340922.31800000003</c:v>
                </c:pt>
              </c:numCache>
            </c:numRef>
          </c:val>
          <c:smooth val="0"/>
          <c:extLst>
            <c:ext xmlns:c16="http://schemas.microsoft.com/office/drawing/2014/chart" uri="{C3380CC4-5D6E-409C-BE32-E72D297353CC}">
              <c16:uniqueId val="{00000000-03FC-4D63-B343-7DE851085A89}"/>
            </c:ext>
          </c:extLst>
        </c:ser>
        <c:ser>
          <c:idx val="1"/>
          <c:order val="1"/>
          <c:tx>
            <c:strRef>
              <c:f>'Evol. prod. vino DO por cepa'!$A$5</c:f>
              <c:strCache>
                <c:ptCount val="1"/>
                <c:pt idx="0">
                  <c:v>Sauvignon Blanc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cepa'!$B$5:$L$5</c:f>
              <c:numCache>
                <c:formatCode>#,##0</c:formatCode>
                <c:ptCount val="11"/>
                <c:pt idx="0">
                  <c:v>136956.77299999999</c:v>
                </c:pt>
                <c:pt idx="1">
                  <c:v>159909.79</c:v>
                </c:pt>
                <c:pt idx="2">
                  <c:v>117792.588</c:v>
                </c:pt>
                <c:pt idx="3">
                  <c:v>147379.98300000001</c:v>
                </c:pt>
                <c:pt idx="4">
                  <c:v>121299.899</c:v>
                </c:pt>
                <c:pt idx="5">
                  <c:v>123127.952</c:v>
                </c:pt>
                <c:pt idx="6">
                  <c:v>146741.81599999999</c:v>
                </c:pt>
                <c:pt idx="7">
                  <c:v>148118.51699999999</c:v>
                </c:pt>
                <c:pt idx="8">
                  <c:v>129387.04300000001</c:v>
                </c:pt>
                <c:pt idx="9">
                  <c:v>145152.685</c:v>
                </c:pt>
                <c:pt idx="10">
                  <c:v>141061.37100000001</c:v>
                </c:pt>
              </c:numCache>
            </c:numRef>
          </c:val>
          <c:smooth val="0"/>
          <c:extLst>
            <c:ext xmlns:c16="http://schemas.microsoft.com/office/drawing/2014/chart" uri="{C3380CC4-5D6E-409C-BE32-E72D297353CC}">
              <c16:uniqueId val="{00000001-03FC-4D63-B343-7DE851085A89}"/>
            </c:ext>
          </c:extLst>
        </c:ser>
        <c:ser>
          <c:idx val="2"/>
          <c:order val="2"/>
          <c:tx>
            <c:strRef>
              <c:f>'Evol. prod. vino DO por cepa'!$A$6</c:f>
              <c:strCache>
                <c:ptCount val="1"/>
                <c:pt idx="0">
                  <c:v>Merlot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cepa'!$B$6:$L$6</c:f>
              <c:numCache>
                <c:formatCode>#,##0</c:formatCode>
                <c:ptCount val="11"/>
                <c:pt idx="0">
                  <c:v>121080.89599999999</c:v>
                </c:pt>
                <c:pt idx="1">
                  <c:v>128407.243</c:v>
                </c:pt>
                <c:pt idx="2">
                  <c:v>99494.642999999996</c:v>
                </c:pt>
                <c:pt idx="3">
                  <c:v>138831.554</c:v>
                </c:pt>
                <c:pt idx="4">
                  <c:v>107050.094</c:v>
                </c:pt>
                <c:pt idx="5">
                  <c:v>107248.80499999999</c:v>
                </c:pt>
                <c:pt idx="6">
                  <c:v>132493.28700000001</c:v>
                </c:pt>
                <c:pt idx="7">
                  <c:v>121262.86500000001</c:v>
                </c:pt>
                <c:pt idx="8">
                  <c:v>102890.82799999999</c:v>
                </c:pt>
                <c:pt idx="9">
                  <c:v>129761.22500000001</c:v>
                </c:pt>
                <c:pt idx="10">
                  <c:v>123222.61</c:v>
                </c:pt>
              </c:numCache>
            </c:numRef>
          </c:val>
          <c:smooth val="0"/>
          <c:extLst>
            <c:ext xmlns:c16="http://schemas.microsoft.com/office/drawing/2014/chart" uri="{C3380CC4-5D6E-409C-BE32-E72D297353CC}">
              <c16:uniqueId val="{00000002-03FC-4D63-B343-7DE851085A89}"/>
            </c:ext>
          </c:extLst>
        </c:ser>
        <c:ser>
          <c:idx val="3"/>
          <c:order val="3"/>
          <c:tx>
            <c:strRef>
              <c:f>'Evol. prod. vino DO por cepa'!$A$7</c:f>
              <c:strCache>
                <c:ptCount val="1"/>
                <c:pt idx="0">
                  <c:v>Chardonnay</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cepa'!$B$7:$L$7</c:f>
              <c:numCache>
                <c:formatCode>#,##0</c:formatCode>
                <c:ptCount val="11"/>
                <c:pt idx="0">
                  <c:v>94618.622000000003</c:v>
                </c:pt>
                <c:pt idx="1">
                  <c:v>93834.361999999994</c:v>
                </c:pt>
                <c:pt idx="2">
                  <c:v>58133.726000000002</c:v>
                </c:pt>
                <c:pt idx="3">
                  <c:v>92442.466</c:v>
                </c:pt>
                <c:pt idx="4">
                  <c:v>81945.692999999999</c:v>
                </c:pt>
                <c:pt idx="5">
                  <c:v>74308.028000000006</c:v>
                </c:pt>
                <c:pt idx="6">
                  <c:v>101364.386</c:v>
                </c:pt>
                <c:pt idx="7">
                  <c:v>91269.048999999999</c:v>
                </c:pt>
                <c:pt idx="8">
                  <c:v>80426.101999999999</c:v>
                </c:pt>
                <c:pt idx="9">
                  <c:v>103267.196</c:v>
                </c:pt>
                <c:pt idx="10">
                  <c:v>104103.156</c:v>
                </c:pt>
              </c:numCache>
            </c:numRef>
          </c:val>
          <c:smooth val="0"/>
          <c:extLst>
            <c:ext xmlns:c16="http://schemas.microsoft.com/office/drawing/2014/chart" uri="{C3380CC4-5D6E-409C-BE32-E72D297353CC}">
              <c16:uniqueId val="{00000003-03FC-4D63-B343-7DE851085A89}"/>
            </c:ext>
          </c:extLst>
        </c:ser>
        <c:ser>
          <c:idx val="4"/>
          <c:order val="4"/>
          <c:tx>
            <c:strRef>
              <c:f>'Evol. prod. vino DO por cepa'!$A$8</c:f>
              <c:strCache>
                <c:ptCount val="1"/>
                <c:pt idx="0">
                  <c:v>Carménère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cepa'!$B$8:$L$8</c:f>
              <c:numCache>
                <c:formatCode>#,##0</c:formatCode>
                <c:ptCount val="11"/>
                <c:pt idx="0">
                  <c:v>85138.429000000004</c:v>
                </c:pt>
                <c:pt idx="1">
                  <c:v>95861.706000000006</c:v>
                </c:pt>
                <c:pt idx="2">
                  <c:v>62244.786</c:v>
                </c:pt>
                <c:pt idx="3">
                  <c:v>95987.126999999993</c:v>
                </c:pt>
                <c:pt idx="4">
                  <c:v>61201.010999999999</c:v>
                </c:pt>
                <c:pt idx="5">
                  <c:v>53860.764000000003</c:v>
                </c:pt>
                <c:pt idx="6">
                  <c:v>77502.972999999998</c:v>
                </c:pt>
                <c:pt idx="7">
                  <c:v>88681.398000000001</c:v>
                </c:pt>
                <c:pt idx="8">
                  <c:v>67269.255999999994</c:v>
                </c:pt>
                <c:pt idx="9">
                  <c:v>89299.183999999994</c:v>
                </c:pt>
                <c:pt idx="10">
                  <c:v>88431.267999999996</c:v>
                </c:pt>
              </c:numCache>
            </c:numRef>
          </c:val>
          <c:smooth val="0"/>
          <c:extLst>
            <c:ext xmlns:c16="http://schemas.microsoft.com/office/drawing/2014/chart" uri="{C3380CC4-5D6E-409C-BE32-E72D297353CC}">
              <c16:uniqueId val="{00000004-03FC-4D63-B343-7DE851085A89}"/>
            </c:ext>
          </c:extLst>
        </c:ser>
        <c:ser>
          <c:idx val="5"/>
          <c:order val="5"/>
          <c:tx>
            <c:strRef>
              <c:f>'Evol. prod. vino DO por cepa'!$A$9</c:f>
              <c:strCache>
                <c:ptCount val="1"/>
                <c:pt idx="0">
                  <c:v>Syrah</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cepa'!$B$9:$L$9</c:f>
              <c:numCache>
                <c:formatCode>#,##0</c:formatCode>
                <c:ptCount val="11"/>
                <c:pt idx="0">
                  <c:v>68454.87</c:v>
                </c:pt>
                <c:pt idx="1">
                  <c:v>79059.006999999998</c:v>
                </c:pt>
                <c:pt idx="2">
                  <c:v>66476.902000000002</c:v>
                </c:pt>
                <c:pt idx="3">
                  <c:v>74723.073000000004</c:v>
                </c:pt>
                <c:pt idx="4">
                  <c:v>59201.275000000001</c:v>
                </c:pt>
                <c:pt idx="5">
                  <c:v>63642.875</c:v>
                </c:pt>
                <c:pt idx="6">
                  <c:v>72922.379000000001</c:v>
                </c:pt>
                <c:pt idx="7">
                  <c:v>63888.031000000003</c:v>
                </c:pt>
                <c:pt idx="8">
                  <c:v>51358.394</c:v>
                </c:pt>
                <c:pt idx="9">
                  <c:v>58624.139000000003</c:v>
                </c:pt>
                <c:pt idx="10">
                  <c:v>61230.065000000002</c:v>
                </c:pt>
              </c:numCache>
            </c:numRef>
          </c:val>
          <c:smooth val="0"/>
          <c:extLst>
            <c:ext xmlns:c16="http://schemas.microsoft.com/office/drawing/2014/chart" uri="{C3380CC4-5D6E-409C-BE32-E72D297353CC}">
              <c16:uniqueId val="{00000005-03FC-4D63-B343-7DE851085A89}"/>
            </c:ext>
          </c:extLst>
        </c:ser>
        <c:ser>
          <c:idx val="6"/>
          <c:order val="6"/>
          <c:tx>
            <c:strRef>
              <c:f>'Evol. prod. vino DO por cepa'!$A$10</c:f>
              <c:strCache>
                <c:ptCount val="1"/>
                <c:pt idx="0">
                  <c:v>Pedro Jiménez</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cepa'!$B$10:$L$10</c:f>
              <c:numCache>
                <c:formatCode>#,##0</c:formatCode>
                <c:ptCount val="11"/>
                <c:pt idx="0">
                  <c:v>21042.874</c:v>
                </c:pt>
                <c:pt idx="1">
                  <c:v>17084.405999999999</c:v>
                </c:pt>
                <c:pt idx="2">
                  <c:v>23724.564999999999</c:v>
                </c:pt>
                <c:pt idx="3">
                  <c:v>16345.252</c:v>
                </c:pt>
                <c:pt idx="4">
                  <c:v>19151.685000000001</c:v>
                </c:pt>
                <c:pt idx="5">
                  <c:v>25946.812000000002</c:v>
                </c:pt>
                <c:pt idx="6">
                  <c:v>54897.921000000002</c:v>
                </c:pt>
                <c:pt idx="7">
                  <c:v>39563.391000000003</c:v>
                </c:pt>
                <c:pt idx="8">
                  <c:v>46031.659</c:v>
                </c:pt>
                <c:pt idx="9">
                  <c:v>54754.248</c:v>
                </c:pt>
                <c:pt idx="10">
                  <c:v>31495.200000000001</c:v>
                </c:pt>
              </c:numCache>
            </c:numRef>
          </c:val>
          <c:smooth val="0"/>
          <c:extLst>
            <c:ext xmlns:c16="http://schemas.microsoft.com/office/drawing/2014/chart" uri="{C3380CC4-5D6E-409C-BE32-E72D297353CC}">
              <c16:uniqueId val="{00000006-03FC-4D63-B343-7DE851085A89}"/>
            </c:ext>
          </c:extLst>
        </c:ser>
        <c:ser>
          <c:idx val="7"/>
          <c:order val="7"/>
          <c:tx>
            <c:strRef>
              <c:f>'Evol. prod. vino DO por cepa'!$A$11</c:f>
              <c:strCache>
                <c:ptCount val="1"/>
                <c:pt idx="0">
                  <c:v>Malbec</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cepa'!$B$11:$L$11</c:f>
              <c:numCache>
                <c:formatCode>#,##0</c:formatCode>
                <c:ptCount val="11"/>
                <c:pt idx="0">
                  <c:v>12589.758</c:v>
                </c:pt>
                <c:pt idx="1">
                  <c:v>13524.266</c:v>
                </c:pt>
                <c:pt idx="2">
                  <c:v>12305.128000000001</c:v>
                </c:pt>
                <c:pt idx="3">
                  <c:v>19028.348999999998</c:v>
                </c:pt>
                <c:pt idx="4">
                  <c:v>13645.607</c:v>
                </c:pt>
                <c:pt idx="5">
                  <c:v>18144.418000000001</c:v>
                </c:pt>
                <c:pt idx="6">
                  <c:v>21937.399000000001</c:v>
                </c:pt>
                <c:pt idx="7">
                  <c:v>22583.955000000002</c:v>
                </c:pt>
                <c:pt idx="8">
                  <c:v>19012.752</c:v>
                </c:pt>
                <c:pt idx="9">
                  <c:v>29262.522000000001</c:v>
                </c:pt>
                <c:pt idx="10">
                  <c:v>25691.383000000002</c:v>
                </c:pt>
              </c:numCache>
            </c:numRef>
          </c:val>
          <c:smooth val="0"/>
          <c:extLst>
            <c:ext xmlns:c16="http://schemas.microsoft.com/office/drawing/2014/chart" uri="{C3380CC4-5D6E-409C-BE32-E72D297353CC}">
              <c16:uniqueId val="{00000007-03FC-4D63-B343-7DE851085A89}"/>
            </c:ext>
          </c:extLst>
        </c:ser>
        <c:ser>
          <c:idx val="8"/>
          <c:order val="8"/>
          <c:tx>
            <c:strRef>
              <c:f>'Evol. prod. vino DO por cepa'!$A$12</c:f>
              <c:strCache>
                <c:ptCount val="1"/>
                <c:pt idx="0">
                  <c:v>Pinot Noir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cepa'!$B$12:$L$12</c:f>
              <c:numCache>
                <c:formatCode>#,##0</c:formatCode>
                <c:ptCount val="11"/>
                <c:pt idx="0">
                  <c:v>23823.706999999999</c:v>
                </c:pt>
                <c:pt idx="1">
                  <c:v>26160.901999999998</c:v>
                </c:pt>
                <c:pt idx="2">
                  <c:v>19884.831999999999</c:v>
                </c:pt>
                <c:pt idx="3">
                  <c:v>25596.091</c:v>
                </c:pt>
                <c:pt idx="4">
                  <c:v>26134.602999999999</c:v>
                </c:pt>
                <c:pt idx="5">
                  <c:v>23719.378000000001</c:v>
                </c:pt>
                <c:pt idx="6">
                  <c:v>26661.965</c:v>
                </c:pt>
                <c:pt idx="7">
                  <c:v>25858.561000000002</c:v>
                </c:pt>
                <c:pt idx="8">
                  <c:v>21013.623</c:v>
                </c:pt>
                <c:pt idx="9">
                  <c:v>24935.200000000001</c:v>
                </c:pt>
                <c:pt idx="10">
                  <c:v>26946.832999999999</c:v>
                </c:pt>
              </c:numCache>
            </c:numRef>
          </c:val>
          <c:smooth val="0"/>
          <c:extLst>
            <c:ext xmlns:c16="http://schemas.microsoft.com/office/drawing/2014/chart" uri="{C3380CC4-5D6E-409C-BE32-E72D297353CC}">
              <c16:uniqueId val="{00000008-03FC-4D63-B343-7DE851085A89}"/>
            </c:ext>
          </c:extLst>
        </c:ser>
        <c:ser>
          <c:idx val="9"/>
          <c:order val="9"/>
          <c:tx>
            <c:strRef>
              <c:f>'Evol. prod. vino DO por cepa'!$A$13</c:f>
              <c:strCache>
                <c:ptCount val="1"/>
                <c:pt idx="0">
                  <c:v>País - Mission</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cepa'!$B$13:$L$13</c:f>
              <c:numCache>
                <c:formatCode>#,##0</c:formatCode>
                <c:ptCount val="11"/>
                <c:pt idx="0">
                  <c:v>28842.839</c:v>
                </c:pt>
                <c:pt idx="1">
                  <c:v>18310.151999999998</c:v>
                </c:pt>
                <c:pt idx="2">
                  <c:v>15716.58</c:v>
                </c:pt>
                <c:pt idx="3">
                  <c:v>19821.627</c:v>
                </c:pt>
                <c:pt idx="4">
                  <c:v>24033.350999999999</c:v>
                </c:pt>
                <c:pt idx="5">
                  <c:v>20375.241000000002</c:v>
                </c:pt>
                <c:pt idx="6">
                  <c:v>35512.849000000002</c:v>
                </c:pt>
                <c:pt idx="7">
                  <c:v>33883.722999999998</c:v>
                </c:pt>
                <c:pt idx="8">
                  <c:v>26794.792000000001</c:v>
                </c:pt>
                <c:pt idx="9">
                  <c:v>19941.007000000001</c:v>
                </c:pt>
                <c:pt idx="10">
                  <c:v>15946.671</c:v>
                </c:pt>
              </c:numCache>
            </c:numRef>
          </c:val>
          <c:smooth val="0"/>
          <c:extLst>
            <c:ext xmlns:c16="http://schemas.microsoft.com/office/drawing/2014/chart" uri="{C3380CC4-5D6E-409C-BE32-E72D297353CC}">
              <c16:uniqueId val="{00000009-03FC-4D63-B343-7DE851085A89}"/>
            </c:ext>
          </c:extLst>
        </c:ser>
        <c:ser>
          <c:idx val="10"/>
          <c:order val="10"/>
          <c:tx>
            <c:strRef>
              <c:f>'Evol. prod. vino DO por cepa'!$A$14</c:f>
              <c:strCache>
                <c:ptCount val="1"/>
                <c:pt idx="0">
                  <c:v>Moscatel de Alejandría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cepa'!$B$14:$L$14</c:f>
              <c:numCache>
                <c:formatCode>#,##0</c:formatCode>
                <c:ptCount val="11"/>
                <c:pt idx="0">
                  <c:v>33589.83</c:v>
                </c:pt>
                <c:pt idx="1">
                  <c:v>17614.305</c:v>
                </c:pt>
                <c:pt idx="2">
                  <c:v>16874.953000000001</c:v>
                </c:pt>
                <c:pt idx="3">
                  <c:v>15420.183999999999</c:v>
                </c:pt>
                <c:pt idx="4">
                  <c:v>15326.906000000001</c:v>
                </c:pt>
                <c:pt idx="5">
                  <c:v>18395.760999999999</c:v>
                </c:pt>
                <c:pt idx="6">
                  <c:v>18654.705000000002</c:v>
                </c:pt>
                <c:pt idx="7">
                  <c:v>16367.661</c:v>
                </c:pt>
                <c:pt idx="8">
                  <c:v>21472.255000000001</c:v>
                </c:pt>
                <c:pt idx="9">
                  <c:v>15278.168</c:v>
                </c:pt>
                <c:pt idx="10">
                  <c:v>11989.893</c:v>
                </c:pt>
              </c:numCache>
            </c:numRef>
          </c:val>
          <c:smooth val="0"/>
          <c:extLst>
            <c:ext xmlns:c16="http://schemas.microsoft.com/office/drawing/2014/chart" uri="{C3380CC4-5D6E-409C-BE32-E72D297353CC}">
              <c16:uniqueId val="{0000000A-03FC-4D63-B343-7DE851085A89}"/>
            </c:ext>
          </c:extLst>
        </c:ser>
        <c:ser>
          <c:idx val="11"/>
          <c:order val="11"/>
          <c:tx>
            <c:strRef>
              <c:f>'Evol. prod. vino DO por cepa'!$A$15</c:f>
              <c:strCache>
                <c:ptCount val="1"/>
                <c:pt idx="0">
                  <c:v>Otras </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cepa'!$B$15:$L$15</c:f>
              <c:numCache>
                <c:formatCode>#,##0</c:formatCode>
                <c:ptCount val="11"/>
                <c:pt idx="0">
                  <c:v>51111.241000000002</c:v>
                </c:pt>
                <c:pt idx="1">
                  <c:v>53274.555999999997</c:v>
                </c:pt>
                <c:pt idx="2">
                  <c:v>48774.767</c:v>
                </c:pt>
                <c:pt idx="3">
                  <c:v>52768.055999999997</c:v>
                </c:pt>
                <c:pt idx="4">
                  <c:v>46360.313000000002</c:v>
                </c:pt>
                <c:pt idx="5">
                  <c:v>47558.072999999997</c:v>
                </c:pt>
                <c:pt idx="6">
                  <c:v>61865.686000000002</c:v>
                </c:pt>
                <c:pt idx="7">
                  <c:v>20087.521000000001</c:v>
                </c:pt>
                <c:pt idx="8">
                  <c:v>50574.358</c:v>
                </c:pt>
                <c:pt idx="9">
                  <c:v>62611.133999999998</c:v>
                </c:pt>
                <c:pt idx="10">
                  <c:v>64445.440000000061</c:v>
                </c:pt>
              </c:numCache>
            </c:numRef>
          </c:val>
          <c:smooth val="0"/>
          <c:extLst>
            <c:ext xmlns:c16="http://schemas.microsoft.com/office/drawing/2014/chart" uri="{C3380CC4-5D6E-409C-BE32-E72D297353CC}">
              <c16:uniqueId val="{0000000B-03FC-4D63-B343-7DE851085A89}"/>
            </c:ext>
          </c:extLst>
        </c:ser>
        <c:dLbls>
          <c:showLegendKey val="0"/>
          <c:showVal val="0"/>
          <c:showCatName val="0"/>
          <c:showSerName val="0"/>
          <c:showPercent val="0"/>
          <c:showBubbleSize val="0"/>
        </c:dLbls>
        <c:marker val="1"/>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layout>
            <c:manualLayout>
              <c:xMode val="edge"/>
              <c:yMode val="edge"/>
              <c:x val="4.1009837228007801E-2"/>
              <c:y val="0.312392024485854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0745203426004871"/>
          <c:y val="0.7331305177761871"/>
          <c:w val="0.86065388323274872"/>
          <c:h val="0.12833164663194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34. Producción de vinos con DO por variedades. Año 2022</a:t>
            </a:r>
            <a:endParaRPr lang="en-US"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AA8DA929-1FF0-4EA8-8C2D-A689A2AADFB6}" type="CELLRANGE">
                      <a:rPr lang="en-US" baseline="0"/>
                      <a:pPr/>
                      <a:t>[CELLRANGE]</a:t>
                    </a:fld>
                    <a:r>
                      <a:rPr lang="en-US" baseline="0"/>
                      <a:t>; </a:t>
                    </a:r>
                    <a:fld id="{CFB1EA3B-D31B-4E0F-AFB2-E859D533227A}"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4BB2C70A-E33B-4A41-B5A6-EB4F08106CF3}" type="CELLRANGE">
                      <a:rPr lang="en-US" baseline="0"/>
                      <a:pPr/>
                      <a:t>[CELLRANGE]</a:t>
                    </a:fld>
                    <a:r>
                      <a:rPr lang="en-US" baseline="0"/>
                      <a:t>; </a:t>
                    </a:r>
                    <a:fld id="{634B6949-BD42-4EAB-99A3-15716CF6E086}"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1ECDDB15-F110-4285-B73F-C6208B3A092B}" type="CELLRANGE">
                      <a:rPr lang="en-US" baseline="0"/>
                      <a:pPr/>
                      <a:t>[CELLRANGE]</a:t>
                    </a:fld>
                    <a:r>
                      <a:rPr lang="en-US" baseline="0"/>
                      <a:t>; </a:t>
                    </a:r>
                    <a:fld id="{76CA55A5-7241-45A1-8EBA-EFB39057EAE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2.0015001877578178E-2"/>
                  <c:y val="-2.8422499108762031E-2"/>
                </c:manualLayout>
              </c:layout>
              <c:tx>
                <c:rich>
                  <a:bodyPr/>
                  <a:lstStyle/>
                  <a:p>
                    <a:fld id="{07B1B1E9-A569-4563-8382-178EB59AC0E2}" type="CELLRANGE">
                      <a:rPr lang="en-US" baseline="0"/>
                      <a:pPr/>
                      <a:t>[CELLRANGE]</a:t>
                    </a:fld>
                    <a:r>
                      <a:rPr lang="en-US" baseline="0"/>
                      <a:t>; </a:t>
                    </a:r>
                    <a:fld id="{706ABF8E-DE84-4BFF-BB15-0E3BF9F1D4BA}"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85F53B6C-7BD5-4420-A6EE-5490408C6880}" type="CELLRANGE">
                      <a:rPr lang="en-US" baseline="0"/>
                      <a:pPr/>
                      <a:t>[CELLRANGE]</a:t>
                    </a:fld>
                    <a:r>
                      <a:rPr lang="en-US" baseline="0"/>
                      <a:t>; </a:t>
                    </a:r>
                    <a:fld id="{E91699F3-D6E3-45D3-9AC0-8A11F9EF1B10}"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6037A673-5D7A-46E6-9584-DDBC7AC918D8}" type="CELLRANGE">
                      <a:rPr lang="en-US" baseline="0"/>
                      <a:pPr/>
                      <a:t>[CELLRANGE]</a:t>
                    </a:fld>
                    <a:r>
                      <a:rPr lang="en-US" baseline="0"/>
                      <a:t>; </a:t>
                    </a:r>
                    <a:fld id="{FF614BB5-1B17-4733-AFD8-DDB41083E3D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466CF867-0DA4-4EEC-B88E-9857074BB2B4}" type="CELLRANGE">
                      <a:rPr lang="es-CL"/>
                      <a:pPr/>
                      <a:t>[CELLRANGE]</a:t>
                    </a:fld>
                    <a:r>
                      <a:rPr lang="es-CL" baseline="0"/>
                      <a:t>; </a:t>
                    </a:r>
                    <a:fld id="{C8C176C3-B705-472C-AC0E-4011754E62CF}"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40E1A7C7-6E44-4170-919D-44E2F8A9BBFF}" type="CELLRANGE">
                      <a:rPr lang="es-CL"/>
                      <a:pPr/>
                      <a:t>[CELLRANGE]</a:t>
                    </a:fld>
                    <a:r>
                      <a:rPr lang="es-CL" baseline="0"/>
                      <a:t>; </a:t>
                    </a:r>
                    <a:fld id="{32ED5112-5CF6-45EC-905A-86B13A320B2F}"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A540FC0D-B2CF-4D4E-8CC0-A5F21DD34B95}" type="CELLRANGE">
                      <a:rPr lang="es-CL"/>
                      <a:pPr/>
                      <a:t>[CELLRANGE]</a:t>
                    </a:fld>
                    <a:r>
                      <a:rPr lang="es-CL" baseline="0"/>
                      <a:t>; </a:t>
                    </a:r>
                    <a:fld id="{DAD27873-C35C-4ECD-8FC6-19D585EBE179}"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3AA50BCF-D2EE-4118-92A8-4107C76A3A04}" type="CELLRANGE">
                      <a:rPr lang="en-US" baseline="0"/>
                      <a:pPr/>
                      <a:t>[CELLRANGE]</a:t>
                    </a:fld>
                    <a:r>
                      <a:rPr lang="en-US" baseline="0"/>
                      <a:t>; </a:t>
                    </a:r>
                    <a:fld id="{3FCE1BA6-17D1-4C5F-8294-719E810E25A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F2C30E80-B0F8-4699-A8F0-58C8E0870ECA}" type="CELLRANGE">
                      <a:rPr lang="en-US" baseline="0"/>
                      <a:pPr/>
                      <a:t>[CELLRANGE]</a:t>
                    </a:fld>
                    <a:r>
                      <a:rPr lang="en-US" baseline="0"/>
                      <a:t>; </a:t>
                    </a:r>
                    <a:fld id="{2BDF5C8E-ACD0-42C8-9114-25E19CDB0A0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graf'!$P$2:$P$12</c:f>
              <c:numCache>
                <c:formatCode>#,##0</c:formatCode>
                <c:ptCount val="11"/>
                <c:pt idx="0">
                  <c:v>340922318</c:v>
                </c:pt>
                <c:pt idx="1">
                  <c:v>141061371</c:v>
                </c:pt>
                <c:pt idx="2">
                  <c:v>123222610</c:v>
                </c:pt>
                <c:pt idx="3">
                  <c:v>104103156</c:v>
                </c:pt>
                <c:pt idx="4">
                  <c:v>88431268</c:v>
                </c:pt>
                <c:pt idx="5">
                  <c:v>61235365</c:v>
                </c:pt>
                <c:pt idx="6">
                  <c:v>31495200</c:v>
                </c:pt>
                <c:pt idx="7">
                  <c:v>25691383</c:v>
                </c:pt>
                <c:pt idx="8">
                  <c:v>26946833</c:v>
                </c:pt>
                <c:pt idx="9">
                  <c:v>15948021</c:v>
                </c:pt>
                <c:pt idx="10">
                  <c:v>76428675</c:v>
                </c:pt>
              </c:numCache>
            </c:numRef>
          </c:val>
          <c:extLst>
            <c:ext xmlns:c15="http://schemas.microsoft.com/office/drawing/2012/chart" uri="{02D57815-91ED-43cb-92C2-25804820EDAC}">
              <c15:datalabelsRange>
                <c15:f>'Prod vino graf'!$Q$2:$Q$12</c15:f>
                <c15:dlblRangeCache>
                  <c:ptCount val="11"/>
                  <c:pt idx="0">
                    <c:v>32,9%</c:v>
                  </c:pt>
                  <c:pt idx="1">
                    <c:v>13,6%</c:v>
                  </c:pt>
                  <c:pt idx="2">
                    <c:v>11,9%</c:v>
                  </c:pt>
                  <c:pt idx="3">
                    <c:v>10,1%</c:v>
                  </c:pt>
                  <c:pt idx="4">
                    <c:v>8,5%</c:v>
                  </c:pt>
                  <c:pt idx="5">
                    <c:v>5,9%</c:v>
                  </c:pt>
                  <c:pt idx="6">
                    <c:v>3,0%</c:v>
                  </c:pt>
                  <c:pt idx="7">
                    <c:v>2,5%</c:v>
                  </c:pt>
                  <c:pt idx="8">
                    <c:v>2,6%</c:v>
                  </c:pt>
                  <c:pt idx="9">
                    <c:v>1,5%</c:v>
                  </c:pt>
                  <c:pt idx="10">
                    <c:v>7,4%</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35.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4200581854978966"/>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graf'!$P$19:$P$42</c:f>
              <c:numCache>
                <c:formatCode>#,##0</c:formatCode>
                <c:ptCount val="24"/>
                <c:pt idx="0">
                  <c:v>2395729</c:v>
                </c:pt>
                <c:pt idx="1">
                  <c:v>3748213</c:v>
                </c:pt>
                <c:pt idx="2">
                  <c:v>4460397</c:v>
                </c:pt>
                <c:pt idx="3">
                  <c:v>4430500</c:v>
                </c:pt>
                <c:pt idx="4">
                  <c:v>5460865</c:v>
                </c:pt>
                <c:pt idx="5">
                  <c:v>5474888</c:v>
                </c:pt>
                <c:pt idx="6">
                  <c:v>6303212</c:v>
                </c:pt>
                <c:pt idx="7">
                  <c:v>7163043</c:v>
                </c:pt>
                <c:pt idx="8">
                  <c:v>7038874</c:v>
                </c:pt>
                <c:pt idx="9">
                  <c:v>6927908</c:v>
                </c:pt>
                <c:pt idx="10">
                  <c:v>8665659</c:v>
                </c:pt>
                <c:pt idx="11">
                  <c:v>7445528</c:v>
                </c:pt>
                <c:pt idx="12">
                  <c:v>8286392</c:v>
                </c:pt>
                <c:pt idx="13">
                  <c:v>10159853</c:v>
                </c:pt>
                <c:pt idx="14">
                  <c:v>10746399.59</c:v>
                </c:pt>
                <c:pt idx="15">
                  <c:v>8409649</c:v>
                </c:pt>
                <c:pt idx="16">
                  <c:v>10812866.810000001</c:v>
                </c:pt>
                <c:pt idx="17">
                  <c:v>8524838.3000000007</c:v>
                </c:pt>
                <c:pt idx="18">
                  <c:v>8050614.1399999997</c:v>
                </c:pt>
                <c:pt idx="19">
                  <c:v>10527819.439999999</c:v>
                </c:pt>
                <c:pt idx="20">
                  <c:v>10300475</c:v>
                </c:pt>
                <c:pt idx="21">
                  <c:v>8882067</c:v>
                </c:pt>
                <c:pt idx="22">
                  <c:v>10893578.529999999</c:v>
                </c:pt>
                <c:pt idx="23">
                  <c:v>10354862</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graf'!$Q$19:$Q$42</c:f>
              <c:numCache>
                <c:formatCode>#,##0</c:formatCode>
                <c:ptCount val="24"/>
                <c:pt idx="0">
                  <c:v>1318548</c:v>
                </c:pt>
                <c:pt idx="1">
                  <c:v>1956098</c:v>
                </c:pt>
                <c:pt idx="2">
                  <c:v>583290</c:v>
                </c:pt>
                <c:pt idx="3">
                  <c:v>834463</c:v>
                </c:pt>
                <c:pt idx="4">
                  <c:v>947611</c:v>
                </c:pt>
                <c:pt idx="5">
                  <c:v>577173</c:v>
                </c:pt>
                <c:pt idx="6">
                  <c:v>1047796</c:v>
                </c:pt>
                <c:pt idx="7">
                  <c:v>861365</c:v>
                </c:pt>
                <c:pt idx="8">
                  <c:v>879062</c:v>
                </c:pt>
                <c:pt idx="9">
                  <c:v>1318511</c:v>
                </c:pt>
                <c:pt idx="10">
                  <c:v>1152065</c:v>
                </c:pt>
                <c:pt idx="11">
                  <c:v>1271633</c:v>
                </c:pt>
                <c:pt idx="12">
                  <c:v>1180010</c:v>
                </c:pt>
                <c:pt idx="13">
                  <c:v>1716869</c:v>
                </c:pt>
                <c:pt idx="14">
                  <c:v>1361019.94</c:v>
                </c:pt>
                <c:pt idx="15">
                  <c:v>1101227.26</c:v>
                </c:pt>
                <c:pt idx="16">
                  <c:v>1522542.81</c:v>
                </c:pt>
                <c:pt idx="17">
                  <c:v>1217747.5</c:v>
                </c:pt>
                <c:pt idx="18">
                  <c:v>1103298.02</c:v>
                </c:pt>
                <c:pt idx="19">
                  <c:v>1358918.94</c:v>
                </c:pt>
                <c:pt idx="20">
                  <c:v>1339894</c:v>
                </c:pt>
                <c:pt idx="21">
                  <c:v>1219875</c:v>
                </c:pt>
                <c:pt idx="22">
                  <c:v>1874779</c:v>
                </c:pt>
                <c:pt idx="23">
                  <c:v>1905859</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graf'!$R$19:$R$42</c:f>
              <c:numCache>
                <c:formatCode>#,##0</c:formatCode>
                <c:ptCount val="24"/>
                <c:pt idx="0">
                  <c:v>565874</c:v>
                </c:pt>
                <c:pt idx="1">
                  <c:v>715063</c:v>
                </c:pt>
                <c:pt idx="2">
                  <c:v>408098</c:v>
                </c:pt>
                <c:pt idx="3">
                  <c:v>358267</c:v>
                </c:pt>
                <c:pt idx="4">
                  <c:v>273745</c:v>
                </c:pt>
                <c:pt idx="5">
                  <c:v>248675</c:v>
                </c:pt>
                <c:pt idx="6">
                  <c:v>534503</c:v>
                </c:pt>
                <c:pt idx="7">
                  <c:v>424370</c:v>
                </c:pt>
                <c:pt idx="8">
                  <c:v>359524</c:v>
                </c:pt>
                <c:pt idx="9">
                  <c:v>436551</c:v>
                </c:pt>
                <c:pt idx="10">
                  <c:v>275198</c:v>
                </c:pt>
                <c:pt idx="11">
                  <c:v>435221</c:v>
                </c:pt>
                <c:pt idx="12">
                  <c:v>997406</c:v>
                </c:pt>
                <c:pt idx="13">
                  <c:v>676985</c:v>
                </c:pt>
                <c:pt idx="14">
                  <c:v>713532.72</c:v>
                </c:pt>
                <c:pt idx="15">
                  <c:v>385395</c:v>
                </c:pt>
                <c:pt idx="16">
                  <c:v>531451.97</c:v>
                </c:pt>
                <c:pt idx="17">
                  <c:v>401034.54</c:v>
                </c:pt>
                <c:pt idx="18">
                  <c:v>338145.85</c:v>
                </c:pt>
                <c:pt idx="19">
                  <c:v>1012231.45</c:v>
                </c:pt>
                <c:pt idx="20">
                  <c:v>298388</c:v>
                </c:pt>
                <c:pt idx="21">
                  <c:v>235286</c:v>
                </c:pt>
                <c:pt idx="22">
                  <c:v>668928.74</c:v>
                </c:pt>
                <c:pt idx="23">
                  <c:v>182978</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9370989452133888"/>
          <c:y val="0.8653603916980257"/>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36. Evolución de la existencia de vinos años 1997 - 2021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Existencias!$S$5:$S$26</c:f>
              <c:numCache>
                <c:formatCode>#,##0</c:formatCode>
                <c:ptCount val="22"/>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pt idx="21">
                  <c:v>1138154351</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Existencias!$T$5:$T$26</c:f>
              <c:numCache>
                <c:formatCode>#,##0</c:formatCode>
                <c:ptCount val="22"/>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pt idx="21">
                  <c:v>128728892</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Existencias!$U$5:$U$26</c:f>
              <c:numCache>
                <c:formatCode>#,##0</c:formatCode>
                <c:ptCount val="22"/>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pt idx="21">
                  <c:v>20569924</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Existencias!$V$5:$V$26</c:f>
              <c:numCache>
                <c:formatCode>#,##0</c:formatCode>
                <c:ptCount val="22"/>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pt idx="21">
                  <c:v>1287453167</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37. Evolución de la superficie de vides por cepaje (ha)</a:t>
            </a:r>
            <a:endParaRPr lang="es-CL" sz="1050">
              <a:effectLst/>
            </a:endParaRPr>
          </a:p>
        </c:rich>
      </c:tx>
      <c:layout>
        <c:manualLayout>
          <c:xMode val="edge"/>
          <c:yMode val="edge"/>
          <c:x val="0.30215438949396417"/>
          <c:y val="5.0980392156862744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4489451444832021E-2"/>
          <c:y val="0.17262323841582899"/>
          <c:w val="0.84290616143723252"/>
          <c:h val="0.5374214749795619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(2)'!$B$4:$P$4</c15:sqref>
                  </c15:fullRef>
                </c:ext>
              </c:extLst>
              <c:f>'Sup plantada vides (2)'!$F$4:$P$4</c:f>
              <c:numCache>
                <c:formatCode>#,##0</c:formatCode>
                <c:ptCount val="11"/>
                <c:pt idx="0">
                  <c:v>40836.949999999997</c:v>
                </c:pt>
                <c:pt idx="1">
                  <c:v>41521.930000000008</c:v>
                </c:pt>
                <c:pt idx="2">
                  <c:v>42195.360000000001</c:v>
                </c:pt>
                <c:pt idx="3">
                  <c:v>44176.37</c:v>
                </c:pt>
                <c:pt idx="4">
                  <c:v>43211.01</c:v>
                </c:pt>
                <c:pt idx="5">
                  <c:v>42408.65</c:v>
                </c:pt>
                <c:pt idx="6">
                  <c:v>41155.97</c:v>
                </c:pt>
                <c:pt idx="7">
                  <c:v>41098.58</c:v>
                </c:pt>
                <c:pt idx="8">
                  <c:v>40204.730000000003</c:v>
                </c:pt>
                <c:pt idx="9">
                  <c:v>40053.480000000032</c:v>
                </c:pt>
                <c:pt idx="10">
                  <c:v>37754.089999999982</c:v>
                </c:pt>
              </c:numCache>
            </c:numRef>
          </c:val>
          <c:extLst>
            <c:ext xmlns:c16="http://schemas.microsoft.com/office/drawing/2014/chart" uri="{C3380CC4-5D6E-409C-BE32-E72D297353CC}">
              <c16:uniqueId val="{00000000-DC70-459D-98DC-0554272EBDCC}"/>
            </c:ext>
          </c:extLst>
        </c:ser>
        <c:ser>
          <c:idx val="1"/>
          <c:order val="1"/>
          <c:tx>
            <c:strRef>
              <c:f>'Sup plantada vides (2)'!$A$5</c:f>
              <c:strCache>
                <c:ptCount val="1"/>
                <c:pt idx="0">
                  <c:v>S. Blanc</c:v>
                </c:pt>
              </c:strCache>
            </c:strRef>
          </c:tx>
          <c:spPr>
            <a:solidFill>
              <a:schemeClr val="accent2"/>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(2)'!$B$5:$P$5</c15:sqref>
                  </c15:fullRef>
                </c:ext>
              </c:extLst>
              <c:f>'Sup plantada vides (2)'!$F$5:$P$5</c:f>
              <c:numCache>
                <c:formatCode>#,##0</c:formatCode>
                <c:ptCount val="11"/>
                <c:pt idx="0">
                  <c:v>13922.32</c:v>
                </c:pt>
                <c:pt idx="1">
                  <c:v>14131.97</c:v>
                </c:pt>
                <c:pt idx="2">
                  <c:v>14392.98</c:v>
                </c:pt>
                <c:pt idx="3">
                  <c:v>15142.33</c:v>
                </c:pt>
                <c:pt idx="4">
                  <c:v>15172.99</c:v>
                </c:pt>
                <c:pt idx="5">
                  <c:v>14999.23</c:v>
                </c:pt>
                <c:pt idx="6">
                  <c:v>15161.98</c:v>
                </c:pt>
                <c:pt idx="7">
                  <c:v>15383.48</c:v>
                </c:pt>
                <c:pt idx="8">
                  <c:v>15222.18</c:v>
                </c:pt>
                <c:pt idx="9">
                  <c:v>15224.260000000009</c:v>
                </c:pt>
                <c:pt idx="10">
                  <c:v>14316.490000000005</c:v>
                </c:pt>
              </c:numCache>
            </c:numRef>
          </c:val>
          <c:extLst>
            <c:ext xmlns:c16="http://schemas.microsoft.com/office/drawing/2014/chart" uri="{C3380CC4-5D6E-409C-BE32-E72D297353CC}">
              <c16:uniqueId val="{00000001-DC70-459D-98DC-0554272EBDCC}"/>
            </c:ext>
          </c:extLst>
        </c:ser>
        <c:ser>
          <c:idx val="2"/>
          <c:order val="2"/>
          <c:tx>
            <c:strRef>
              <c:f>'Sup plantada vides (2)'!$A$6</c:f>
              <c:strCache>
                <c:ptCount val="1"/>
                <c:pt idx="0">
                  <c:v>Merlot</c:v>
                </c:pt>
              </c:strCache>
            </c:strRef>
          </c:tx>
          <c:spPr>
            <a:solidFill>
              <a:schemeClr val="accent3"/>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(2)'!$B$6:$P$6</c15:sqref>
                  </c15:fullRef>
                </c:ext>
              </c:extLst>
              <c:f>'Sup plantada vides (2)'!$F$6:$P$6</c:f>
              <c:numCache>
                <c:formatCode>#,##0</c:formatCode>
                <c:ptCount val="11"/>
                <c:pt idx="0">
                  <c:v>11431.95</c:v>
                </c:pt>
                <c:pt idx="1">
                  <c:v>11649.07</c:v>
                </c:pt>
                <c:pt idx="2">
                  <c:v>11925.19</c:v>
                </c:pt>
                <c:pt idx="3">
                  <c:v>12480.13</c:v>
                </c:pt>
                <c:pt idx="4">
                  <c:v>12242.78</c:v>
                </c:pt>
                <c:pt idx="5">
                  <c:v>12056.67</c:v>
                </c:pt>
                <c:pt idx="6">
                  <c:v>11702.929999999998</c:v>
                </c:pt>
                <c:pt idx="7">
                  <c:v>11843.75</c:v>
                </c:pt>
                <c:pt idx="8">
                  <c:v>11757.17</c:v>
                </c:pt>
                <c:pt idx="9">
                  <c:v>11366.2</c:v>
                </c:pt>
                <c:pt idx="10">
                  <c:v>10819.090000000007</c:v>
                </c:pt>
              </c:numCache>
            </c:numRef>
          </c:val>
          <c:extLst>
            <c:ext xmlns:c16="http://schemas.microsoft.com/office/drawing/2014/chart" uri="{C3380CC4-5D6E-409C-BE32-E72D297353CC}">
              <c16:uniqueId val="{00000002-DC70-459D-98DC-0554272EBDCC}"/>
            </c:ext>
          </c:extLst>
        </c:ser>
        <c:ser>
          <c:idx val="3"/>
          <c:order val="3"/>
          <c:tx>
            <c:strRef>
              <c:f>'Sup plantada vides (2)'!$A$7</c:f>
              <c:strCache>
                <c:ptCount val="1"/>
                <c:pt idx="0">
                  <c:v>Chardonnay</c:v>
                </c:pt>
              </c:strCache>
            </c:strRef>
          </c:tx>
          <c:spPr>
            <a:solidFill>
              <a:schemeClr val="accent4"/>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(2)'!$B$7:$P$7</c15:sqref>
                  </c15:fullRef>
                </c:ext>
              </c:extLst>
              <c:f>'Sup plantada vides (2)'!$F$7:$P$7</c:f>
              <c:numCache>
                <c:formatCode>#,##0</c:formatCode>
                <c:ptCount val="11"/>
                <c:pt idx="0">
                  <c:v>10970.36</c:v>
                </c:pt>
                <c:pt idx="1">
                  <c:v>10570.910000000002</c:v>
                </c:pt>
                <c:pt idx="2">
                  <c:v>10693.92</c:v>
                </c:pt>
                <c:pt idx="3">
                  <c:v>11633.83</c:v>
                </c:pt>
                <c:pt idx="4">
                  <c:v>11698.3</c:v>
                </c:pt>
                <c:pt idx="5">
                  <c:v>11434.73</c:v>
                </c:pt>
                <c:pt idx="6">
                  <c:v>11297.15</c:v>
                </c:pt>
                <c:pt idx="7">
                  <c:v>11241.53</c:v>
                </c:pt>
                <c:pt idx="8">
                  <c:v>11124.33</c:v>
                </c:pt>
                <c:pt idx="9">
                  <c:v>10919.79</c:v>
                </c:pt>
                <c:pt idx="10">
                  <c:v>10345.259999999998</c:v>
                </c:pt>
              </c:numCache>
            </c:numRef>
          </c:val>
          <c:extLst>
            <c:ext xmlns:c16="http://schemas.microsoft.com/office/drawing/2014/chart" uri="{C3380CC4-5D6E-409C-BE32-E72D297353CC}">
              <c16:uniqueId val="{00000003-DC70-459D-98DC-0554272EBDCC}"/>
            </c:ext>
          </c:extLst>
        </c:ser>
        <c:ser>
          <c:idx val="4"/>
          <c:order val="4"/>
          <c:tx>
            <c:strRef>
              <c:f>'Sup plantada vides (2)'!$A$8</c:f>
              <c:strCache>
                <c:ptCount val="1"/>
                <c:pt idx="0">
                  <c:v>Carmenère</c:v>
                </c:pt>
              </c:strCache>
            </c:strRef>
          </c:tx>
          <c:spPr>
            <a:solidFill>
              <a:schemeClr val="accent5"/>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(2)'!$B$8:$P$8</c15:sqref>
                  </c15:fullRef>
                </c:ext>
              </c:extLst>
              <c:f>'Sup plantada vides (2)'!$F$8:$P$8</c:f>
              <c:numCache>
                <c:formatCode>#,##0</c:formatCode>
                <c:ptCount val="11"/>
                <c:pt idx="0">
                  <c:v>10040</c:v>
                </c:pt>
                <c:pt idx="1">
                  <c:v>10418.06</c:v>
                </c:pt>
                <c:pt idx="2">
                  <c:v>10732.48</c:v>
                </c:pt>
                <c:pt idx="3">
                  <c:v>11319.49</c:v>
                </c:pt>
                <c:pt idx="4">
                  <c:v>10860.86</c:v>
                </c:pt>
                <c:pt idx="5">
                  <c:v>10503.29</c:v>
                </c:pt>
                <c:pt idx="6">
                  <c:v>10249.56</c:v>
                </c:pt>
                <c:pt idx="7">
                  <c:v>10646.77</c:v>
                </c:pt>
                <c:pt idx="8">
                  <c:v>10732.12</c:v>
                </c:pt>
                <c:pt idx="9">
                  <c:v>10836.809999999994</c:v>
                </c:pt>
                <c:pt idx="10">
                  <c:v>10318.800000000003</c:v>
                </c:pt>
              </c:numCache>
            </c:numRef>
          </c:val>
          <c:extLst>
            <c:ext xmlns:c16="http://schemas.microsoft.com/office/drawing/2014/chart" uri="{C3380CC4-5D6E-409C-BE32-E72D297353CC}">
              <c16:uniqueId val="{00000004-DC70-459D-98DC-0554272EBDCC}"/>
            </c:ext>
          </c:extLst>
        </c:ser>
        <c:ser>
          <c:idx val="5"/>
          <c:order val="5"/>
          <c:tx>
            <c:strRef>
              <c:f>'Sup plantada vides (2)'!$A$9</c:f>
              <c:strCache>
                <c:ptCount val="1"/>
                <c:pt idx="0">
                  <c:v>País</c:v>
                </c:pt>
              </c:strCache>
            </c:strRef>
          </c:tx>
          <c:spPr>
            <a:solidFill>
              <a:schemeClr val="accent6"/>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(2)'!$B$9:$P$9</c15:sqref>
                  </c15:fullRef>
                </c:ext>
              </c:extLst>
              <c:f>'Sup plantada vides (2)'!$F$9:$P$9</c:f>
              <c:numCache>
                <c:formatCode>#,##0</c:formatCode>
                <c:ptCount val="11"/>
                <c:pt idx="0">
                  <c:v>7079.16</c:v>
                </c:pt>
                <c:pt idx="1">
                  <c:v>7247.52</c:v>
                </c:pt>
                <c:pt idx="2">
                  <c:v>7338.68</c:v>
                </c:pt>
                <c:pt idx="3">
                  <c:v>7652.58</c:v>
                </c:pt>
                <c:pt idx="4">
                  <c:v>12520.57</c:v>
                </c:pt>
                <c:pt idx="5">
                  <c:v>9684.2000000000007</c:v>
                </c:pt>
                <c:pt idx="6">
                  <c:v>10056.119999999999</c:v>
                </c:pt>
                <c:pt idx="7">
                  <c:v>10236.540000000001</c:v>
                </c:pt>
                <c:pt idx="8">
                  <c:v>10319.379999999999</c:v>
                </c:pt>
                <c:pt idx="9">
                  <c:v>10442.589999999984</c:v>
                </c:pt>
                <c:pt idx="10">
                  <c:v>10464.719999999981</c:v>
                </c:pt>
              </c:numCache>
            </c:numRef>
          </c:val>
          <c:extLst>
            <c:ext xmlns:c16="http://schemas.microsoft.com/office/drawing/2014/chart" uri="{C3380CC4-5D6E-409C-BE32-E72D297353CC}">
              <c16:uniqueId val="{00000005-DC70-459D-98DC-0554272EBDCC}"/>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(2)'!$B$10:$P$10</c15:sqref>
                  </c15:fullRef>
                </c:ext>
              </c:extLst>
              <c:f>'Sup plantada vides (2)'!$F$10:$P$10</c:f>
              <c:numCache>
                <c:formatCode>#,##0</c:formatCode>
                <c:ptCount val="11"/>
                <c:pt idx="0">
                  <c:v>7393.45</c:v>
                </c:pt>
                <c:pt idx="1">
                  <c:v>7744.63</c:v>
                </c:pt>
                <c:pt idx="2">
                  <c:v>7933.12</c:v>
                </c:pt>
                <c:pt idx="3">
                  <c:v>8432.24</c:v>
                </c:pt>
                <c:pt idx="4">
                  <c:v>8232.68</c:v>
                </c:pt>
                <c:pt idx="5">
                  <c:v>7994.35</c:v>
                </c:pt>
                <c:pt idx="6">
                  <c:v>7737.7099999999982</c:v>
                </c:pt>
                <c:pt idx="7">
                  <c:v>7668.49</c:v>
                </c:pt>
                <c:pt idx="8">
                  <c:v>7528.54</c:v>
                </c:pt>
                <c:pt idx="9">
                  <c:v>7399.92</c:v>
                </c:pt>
                <c:pt idx="10">
                  <c:v>6755.4699999999984</c:v>
                </c:pt>
              </c:numCache>
            </c:numRef>
          </c:val>
          <c:extLst>
            <c:ext xmlns:c16="http://schemas.microsoft.com/office/drawing/2014/chart" uri="{C3380CC4-5D6E-409C-BE32-E72D297353CC}">
              <c16:uniqueId val="{00000006-DC70-459D-98DC-0554272EBDCC}"/>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(2)'!$B$11:$P$11</c15:sqref>
                  </c15:fullRef>
                </c:ext>
              </c:extLst>
              <c:f>'Sup plantada vides (2)'!$F$11:$P$11</c:f>
              <c:numCache>
                <c:formatCode>#,##0</c:formatCode>
                <c:ptCount val="11"/>
                <c:pt idx="0">
                  <c:v>3266.01</c:v>
                </c:pt>
                <c:pt idx="1">
                  <c:v>3320.6999999999994</c:v>
                </c:pt>
                <c:pt idx="2">
                  <c:v>3344.42</c:v>
                </c:pt>
                <c:pt idx="3">
                  <c:v>3574.28</c:v>
                </c:pt>
                <c:pt idx="4">
                  <c:v>4031.5</c:v>
                </c:pt>
                <c:pt idx="5">
                  <c:v>4274.8</c:v>
                </c:pt>
                <c:pt idx="6">
                  <c:v>4327.8100000000004</c:v>
                </c:pt>
                <c:pt idx="7">
                  <c:v>4285.3599999999997</c:v>
                </c:pt>
                <c:pt idx="8">
                  <c:v>4368.7700000000004</c:v>
                </c:pt>
                <c:pt idx="9">
                  <c:v>4298.3199999999879</c:v>
                </c:pt>
                <c:pt idx="10">
                  <c:v>4317.51</c:v>
                </c:pt>
              </c:numCache>
            </c:numRef>
          </c:val>
          <c:extLst>
            <c:ext xmlns:c16="http://schemas.microsoft.com/office/drawing/2014/chart" uri="{C3380CC4-5D6E-409C-BE32-E72D297353CC}">
              <c16:uniqueId val="{00000007-DC70-459D-98DC-0554272EBDCC}"/>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(2)'!$B$12:$P$12</c15:sqref>
                  </c15:fullRef>
                </c:ext>
              </c:extLst>
              <c:f>'Sup plantada vides (2)'!$F$12:$P$12</c:f>
              <c:numCache>
                <c:formatCode>#,##0</c:formatCode>
                <c:ptCount val="11"/>
                <c:pt idx="0">
                  <c:v>3729.32</c:v>
                </c:pt>
                <c:pt idx="1">
                  <c:v>4012.4500000000003</c:v>
                </c:pt>
                <c:pt idx="2">
                  <c:v>4059.89</c:v>
                </c:pt>
                <c:pt idx="3">
                  <c:v>4195.8500000000004</c:v>
                </c:pt>
                <c:pt idx="4">
                  <c:v>4148.55</c:v>
                </c:pt>
                <c:pt idx="5">
                  <c:v>4090.53</c:v>
                </c:pt>
                <c:pt idx="6">
                  <c:v>4041.0400000000004</c:v>
                </c:pt>
                <c:pt idx="7">
                  <c:v>4143.6099999999997</c:v>
                </c:pt>
                <c:pt idx="8">
                  <c:v>4045.01</c:v>
                </c:pt>
                <c:pt idx="9">
                  <c:v>4178.7800000000007</c:v>
                </c:pt>
                <c:pt idx="10">
                  <c:v>3909.8900000000003</c:v>
                </c:pt>
              </c:numCache>
            </c:numRef>
          </c:val>
          <c:extLst>
            <c:ext xmlns:c16="http://schemas.microsoft.com/office/drawing/2014/chart" uri="{C3380CC4-5D6E-409C-BE32-E72D297353CC}">
              <c16:uniqueId val="{00000008-DC70-459D-98DC-0554272EBDCC}"/>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(2)'!$B$13:$P$13</c15:sqref>
                  </c15:fullRef>
                </c:ext>
              </c:extLst>
              <c:f>'Sup plantada vides (2)'!$F$13:$P$13</c:f>
              <c:numCache>
                <c:formatCode>#,##0</c:formatCode>
                <c:ptCount val="11"/>
                <c:pt idx="0">
                  <c:v>1827.86</c:v>
                </c:pt>
                <c:pt idx="1">
                  <c:v>1980.61</c:v>
                </c:pt>
                <c:pt idx="2">
                  <c:v>2103.85</c:v>
                </c:pt>
                <c:pt idx="3">
                  <c:v>2309.5100000000002</c:v>
                </c:pt>
                <c:pt idx="4">
                  <c:v>2312.94</c:v>
                </c:pt>
                <c:pt idx="5">
                  <c:v>2292.8200000000002</c:v>
                </c:pt>
                <c:pt idx="6">
                  <c:v>2248.6999999999998</c:v>
                </c:pt>
                <c:pt idx="7">
                  <c:v>2340.2399999999998</c:v>
                </c:pt>
                <c:pt idx="8">
                  <c:v>2336.54</c:v>
                </c:pt>
                <c:pt idx="9">
                  <c:v>2361.5399999999995</c:v>
                </c:pt>
                <c:pt idx="10">
                  <c:v>2468.5099999999993</c:v>
                </c:pt>
              </c:numCache>
            </c:numRef>
          </c:val>
          <c:extLst>
            <c:ext xmlns:c16="http://schemas.microsoft.com/office/drawing/2014/chart" uri="{C3380CC4-5D6E-409C-BE32-E72D297353CC}">
              <c16:uniqueId val="{00000009-DC70-459D-98DC-0554272EBDCC}"/>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(2)'!$B$14:$P$14</c15:sqref>
                  </c15:fullRef>
                </c:ext>
              </c:extLst>
              <c:f>'Sup plantada vides (2)'!$F$14:$P$14</c:f>
              <c:numCache>
                <c:formatCode>#,##0</c:formatCode>
                <c:ptCount val="11"/>
                <c:pt idx="0">
                  <c:v>1450.96</c:v>
                </c:pt>
                <c:pt idx="1">
                  <c:v>1533.2800000000002</c:v>
                </c:pt>
                <c:pt idx="2">
                  <c:v>1591.26</c:v>
                </c:pt>
                <c:pt idx="3">
                  <c:v>1661.46</c:v>
                </c:pt>
                <c:pt idx="4">
                  <c:v>1671.84</c:v>
                </c:pt>
                <c:pt idx="5">
                  <c:v>1578.39</c:v>
                </c:pt>
                <c:pt idx="6">
                  <c:v>1578.34</c:v>
                </c:pt>
                <c:pt idx="7">
                  <c:v>1646.29</c:v>
                </c:pt>
                <c:pt idx="8">
                  <c:v>1684.55</c:v>
                </c:pt>
                <c:pt idx="9">
                  <c:v>1691.9899999999998</c:v>
                </c:pt>
                <c:pt idx="10">
                  <c:v>1626.7799999999995</c:v>
                </c:pt>
              </c:numCache>
            </c:numRef>
          </c:val>
          <c:extLst>
            <c:ext xmlns:c16="http://schemas.microsoft.com/office/drawing/2014/chart" uri="{C3380CC4-5D6E-409C-BE32-E72D297353CC}">
              <c16:uniqueId val="{0000000A-DC70-459D-98DC-0554272EBDCC}"/>
            </c:ext>
          </c:extLst>
        </c:ser>
        <c:ser>
          <c:idx val="11"/>
          <c:order val="11"/>
          <c:tx>
            <c:strRef>
              <c:f>'Sup plantada vides (2)'!$A$15</c:f>
              <c:strCache>
                <c:ptCount val="1"/>
                <c:pt idx="0">
                  <c:v>Otros</c:v>
                </c:pt>
              </c:strCache>
            </c:strRef>
          </c:tx>
          <c:spPr>
            <a:solidFill>
              <a:schemeClr val="accent6">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xmlns:c15="http://schemas.microsoft.com/office/drawing/2012/chart" uri="{02D57815-91ED-43cb-92C2-25804820EDAC}">
                  <c15:fullRef>
                    <c15:sqref>'Sup plantada vides (2)'!$B$15:$P$15</c15:sqref>
                  </c15:fullRef>
                </c:ext>
              </c:extLst>
              <c:f>'Sup plantada vides (2)'!$F$15:$P$15</c:f>
              <c:numCache>
                <c:formatCode>#,##0</c:formatCode>
                <c:ptCount val="11"/>
                <c:pt idx="0">
                  <c:v>13997.89</c:v>
                </c:pt>
                <c:pt idx="1">
                  <c:v>14506.74</c:v>
                </c:pt>
                <c:pt idx="2">
                  <c:v>14050.550000000001</c:v>
                </c:pt>
                <c:pt idx="3">
                  <c:v>15014.37</c:v>
                </c:pt>
                <c:pt idx="4">
                  <c:v>15814.11</c:v>
                </c:pt>
                <c:pt idx="5">
                  <c:v>16057.27</c:v>
                </c:pt>
                <c:pt idx="6">
                  <c:v>16350.44</c:v>
                </c:pt>
                <c:pt idx="7">
                  <c:v>16655.95</c:v>
                </c:pt>
                <c:pt idx="8">
                  <c:v>16965.22</c:v>
                </c:pt>
                <c:pt idx="9">
                  <c:v>17392.560000000005</c:v>
                </c:pt>
                <c:pt idx="10">
                  <c:v>16989.559999999998</c:v>
                </c:pt>
              </c:numCache>
            </c:numRef>
          </c:val>
          <c:extLst xmlns:c15="http://schemas.microsoft.com/office/drawing/2012/chart">
            <c:ext xmlns:c16="http://schemas.microsoft.com/office/drawing/2014/chart" uri="{C3380CC4-5D6E-409C-BE32-E72D297353CC}">
              <c16:uniqueId val="{0000000B-DC70-459D-98DC-0554272EBDCC}"/>
            </c:ext>
          </c:extLst>
        </c:ser>
        <c:dLbls>
          <c:showLegendKey val="0"/>
          <c:showVal val="0"/>
          <c:showCatName val="0"/>
          <c:showSerName val="0"/>
          <c:showPercent val="0"/>
          <c:showBubbleSize val="0"/>
        </c:dLbls>
        <c:gapWidth val="219"/>
        <c:overlap val="-27"/>
        <c:axId val="-1400996048"/>
        <c:axId val="-1400993296"/>
        <c:extLst/>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Superficie (ha)</a:t>
                </a:r>
              </a:p>
            </c:rich>
          </c:tx>
          <c:layout>
            <c:manualLayout>
              <c:xMode val="edge"/>
              <c:yMode val="edge"/>
              <c:x val="1.0916943462875223E-2"/>
              <c:y val="0.32903337813233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b"/>
      <c:layout>
        <c:manualLayout>
          <c:xMode val="edge"/>
          <c:yMode val="edge"/>
          <c:x val="8.7737423589281507E-2"/>
          <c:y val="0.80971854696441636"/>
          <c:w val="0.81228255478790568"/>
          <c:h val="6.5761046167498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2002 - 2022</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1676743236767846"/>
          <c:y val="0.21816906065762837"/>
          <c:w val="0.85740642691923163"/>
          <c:h val="0.51145501029766816"/>
        </c:manualLayout>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export'!$S$13:$AM$14</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export'!$S$15:$AM$15</c:f>
              <c:numCache>
                <c:formatCode>#,##0</c:formatCode>
                <c:ptCount val="21"/>
                <c:pt idx="0">
                  <c:v>118.40353100519999</c:v>
                </c:pt>
                <c:pt idx="1">
                  <c:v>149.88732758360001</c:v>
                </c:pt>
                <c:pt idx="2">
                  <c:v>188.22032426440001</c:v>
                </c:pt>
                <c:pt idx="3">
                  <c:v>131.14229065469999</c:v>
                </c:pt>
                <c:pt idx="4">
                  <c:v>161.83011181999998</c:v>
                </c:pt>
                <c:pt idx="5">
                  <c:v>233.30518985</c:v>
                </c:pt>
                <c:pt idx="6">
                  <c:v>208.40995900999999</c:v>
                </c:pt>
                <c:pt idx="7">
                  <c:v>289.61965530000003</c:v>
                </c:pt>
                <c:pt idx="8">
                  <c:v>290.92445788999999</c:v>
                </c:pt>
                <c:pt idx="9">
                  <c:v>210.15477798930002</c:v>
                </c:pt>
                <c:pt idx="10">
                  <c:v>290.69355034739999</c:v>
                </c:pt>
                <c:pt idx="11">
                  <c:v>410.26098474999998</c:v>
                </c:pt>
                <c:pt idx="12">
                  <c:v>329.41743557000001</c:v>
                </c:pt>
                <c:pt idx="13">
                  <c:v>385.04199999999997</c:v>
                </c:pt>
                <c:pt idx="14">
                  <c:v>401.93400000000003</c:v>
                </c:pt>
                <c:pt idx="15">
                  <c:v>393.92899999999997</c:v>
                </c:pt>
                <c:pt idx="16">
                  <c:v>319.5</c:v>
                </c:pt>
                <c:pt idx="17">
                  <c:v>360.04599999999999</c:v>
                </c:pt>
                <c:pt idx="18">
                  <c:v>339.8</c:v>
                </c:pt>
                <c:pt idx="19">
                  <c:v>353.08593122000002</c:v>
                </c:pt>
                <c:pt idx="20">
                  <c:v>322.89999999999998</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export'!$S$13:$AM$14</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export'!$S$16:$AM$16</c:f>
              <c:numCache>
                <c:formatCode>#,##0</c:formatCode>
                <c:ptCount val="21"/>
                <c:pt idx="0">
                  <c:v>54.666370960000002</c:v>
                </c:pt>
                <c:pt idx="1">
                  <c:v>74.318585330000005</c:v>
                </c:pt>
                <c:pt idx="2">
                  <c:v>116.18971509000001</c:v>
                </c:pt>
                <c:pt idx="3">
                  <c:v>114.17217457</c:v>
                </c:pt>
                <c:pt idx="4">
                  <c:v>114.31705675000001</c:v>
                </c:pt>
                <c:pt idx="5">
                  <c:v>150.5098686</c:v>
                </c:pt>
                <c:pt idx="6">
                  <c:v>182.46038066</c:v>
                </c:pt>
                <c:pt idx="7">
                  <c:v>211.21099818000002</c:v>
                </c:pt>
                <c:pt idx="8">
                  <c:v>243.25538308</c:v>
                </c:pt>
                <c:pt idx="9">
                  <c:v>245.24177114</c:v>
                </c:pt>
                <c:pt idx="10">
                  <c:v>330.16294305999998</c:v>
                </c:pt>
                <c:pt idx="11">
                  <c:v>390.96416416000005</c:v>
                </c:pt>
                <c:pt idx="12">
                  <c:v>296.75839437000002</c:v>
                </c:pt>
                <c:pt idx="13">
                  <c:v>292.47399999999999</c:v>
                </c:pt>
                <c:pt idx="14">
                  <c:v>303.22699999999998</c:v>
                </c:pt>
                <c:pt idx="15">
                  <c:v>340.12900000000002</c:v>
                </c:pt>
                <c:pt idx="16">
                  <c:v>327.2</c:v>
                </c:pt>
                <c:pt idx="17">
                  <c:v>335.96699999999998</c:v>
                </c:pt>
                <c:pt idx="18">
                  <c:v>293.10000000000002</c:v>
                </c:pt>
                <c:pt idx="19">
                  <c:v>308.49193701000002</c:v>
                </c:pt>
                <c:pt idx="20">
                  <c:v>299.2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con capacidad menor o igual a 2 litros.</a:t>
            </a:r>
          </a:p>
          <a:p>
            <a:pPr>
              <a:defRPr sz="1100"/>
            </a:pPr>
            <a:r>
              <a:rPr lang="es-CL" sz="1100" baseline="0"/>
              <a:t>Período 2002 - 2022</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export'!$S$18:$AM$19</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export'!$S$20:$AM$20</c:f>
              <c:numCache>
                <c:formatCode>#,##0</c:formatCode>
                <c:ptCount val="21"/>
                <c:pt idx="0">
                  <c:v>49.388238392700003</c:v>
                </c:pt>
                <c:pt idx="1">
                  <c:v>47.342706783399997</c:v>
                </c:pt>
                <c:pt idx="2">
                  <c:v>42.646569212499998</c:v>
                </c:pt>
                <c:pt idx="3">
                  <c:v>38.658926530000002</c:v>
                </c:pt>
                <c:pt idx="4">
                  <c:v>47.957571909999999</c:v>
                </c:pt>
                <c:pt idx="5">
                  <c:v>46.841828729999996</c:v>
                </c:pt>
                <c:pt idx="6">
                  <c:v>43.590714210000002</c:v>
                </c:pt>
                <c:pt idx="7">
                  <c:v>47.185891670000004</c:v>
                </c:pt>
                <c:pt idx="8">
                  <c:v>48.600438652000001</c:v>
                </c:pt>
                <c:pt idx="9">
                  <c:v>49.518246762000004</c:v>
                </c:pt>
                <c:pt idx="10">
                  <c:v>47.411845679999999</c:v>
                </c:pt>
                <c:pt idx="11">
                  <c:v>61.3923323</c:v>
                </c:pt>
                <c:pt idx="12">
                  <c:v>49.354199690000002</c:v>
                </c:pt>
                <c:pt idx="13">
                  <c:v>47.796999999999997</c:v>
                </c:pt>
                <c:pt idx="14">
                  <c:v>48.23</c:v>
                </c:pt>
                <c:pt idx="15">
                  <c:v>43.374000000000002</c:v>
                </c:pt>
                <c:pt idx="16">
                  <c:v>43.8</c:v>
                </c:pt>
                <c:pt idx="17">
                  <c:v>41.093000000000004</c:v>
                </c:pt>
                <c:pt idx="18">
                  <c:v>37.700000000000003</c:v>
                </c:pt>
                <c:pt idx="19">
                  <c:v>39.216195233699999</c:v>
                </c:pt>
                <c:pt idx="20">
                  <c:v>40.299999999999997</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export'!$S$18:$AM$19</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export'!$S$21:$AM$21</c:f>
              <c:numCache>
                <c:formatCode>#,##0</c:formatCode>
                <c:ptCount val="21"/>
                <c:pt idx="0">
                  <c:v>70.012456389999997</c:v>
                </c:pt>
                <c:pt idx="1">
                  <c:v>65.760063479999999</c:v>
                </c:pt>
                <c:pt idx="2">
                  <c:v>63.218226420000001</c:v>
                </c:pt>
                <c:pt idx="3">
                  <c:v>58.501507850000003</c:v>
                </c:pt>
                <c:pt idx="4">
                  <c:v>66.993644709999998</c:v>
                </c:pt>
                <c:pt idx="5">
                  <c:v>78.070875520000001</c:v>
                </c:pt>
                <c:pt idx="6">
                  <c:v>78.936040340000005</c:v>
                </c:pt>
                <c:pt idx="7">
                  <c:v>82.32576641</c:v>
                </c:pt>
                <c:pt idx="8">
                  <c:v>90.073937659999999</c:v>
                </c:pt>
                <c:pt idx="9">
                  <c:v>98.660379769999992</c:v>
                </c:pt>
                <c:pt idx="10">
                  <c:v>93.425791289999992</c:v>
                </c:pt>
                <c:pt idx="11">
                  <c:v>98.948317870000011</c:v>
                </c:pt>
                <c:pt idx="12">
                  <c:v>98.224757839999995</c:v>
                </c:pt>
                <c:pt idx="13">
                  <c:v>89.888999999999996</c:v>
                </c:pt>
                <c:pt idx="14">
                  <c:v>92.328000000000003</c:v>
                </c:pt>
                <c:pt idx="15">
                  <c:v>87.179000000000002</c:v>
                </c:pt>
                <c:pt idx="16">
                  <c:v>90.2</c:v>
                </c:pt>
                <c:pt idx="17">
                  <c:v>87.796000000000006</c:v>
                </c:pt>
                <c:pt idx="18">
                  <c:v>79.8</c:v>
                </c:pt>
                <c:pt idx="19">
                  <c:v>86.390422040000033</c:v>
                </c:pt>
                <c:pt idx="20">
                  <c:v>89.2</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2002 - 2022</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export'!$S$23:$AM$24</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export'!$S$25:$AM$25</c:f>
              <c:numCache>
                <c:formatCode>#,##0</c:formatCode>
                <c:ptCount val="21"/>
                <c:pt idx="0">
                  <c:v>0.78024550000000004</c:v>
                </c:pt>
                <c:pt idx="1">
                  <c:v>0.79339510000000002</c:v>
                </c:pt>
                <c:pt idx="2">
                  <c:v>1.1323433000000001</c:v>
                </c:pt>
                <c:pt idx="3">
                  <c:v>1.3746780000000001</c:v>
                </c:pt>
                <c:pt idx="4">
                  <c:v>1.5564555</c:v>
                </c:pt>
                <c:pt idx="5">
                  <c:v>1.9405427</c:v>
                </c:pt>
                <c:pt idx="6">
                  <c:v>2.7278942499999999</c:v>
                </c:pt>
                <c:pt idx="7">
                  <c:v>2.4381650000000001</c:v>
                </c:pt>
                <c:pt idx="8">
                  <c:v>3.3065371800000003</c:v>
                </c:pt>
                <c:pt idx="9">
                  <c:v>3.7969488</c:v>
                </c:pt>
                <c:pt idx="10">
                  <c:v>4.0014485999999998</c:v>
                </c:pt>
                <c:pt idx="11">
                  <c:v>3.4850324800000001</c:v>
                </c:pt>
                <c:pt idx="12">
                  <c:v>4.0899954695999998</c:v>
                </c:pt>
                <c:pt idx="13">
                  <c:v>4.3470000000000004</c:v>
                </c:pt>
                <c:pt idx="14">
                  <c:v>5.0970000000000004</c:v>
                </c:pt>
                <c:pt idx="15">
                  <c:v>5.444</c:v>
                </c:pt>
                <c:pt idx="16">
                  <c:v>4.5999999999999996</c:v>
                </c:pt>
                <c:pt idx="17">
                  <c:v>4.6079999999999997</c:v>
                </c:pt>
                <c:pt idx="18">
                  <c:v>3.5</c:v>
                </c:pt>
                <c:pt idx="19">
                  <c:v>3.5817562599999997</c:v>
                </c:pt>
                <c:pt idx="20">
                  <c:v>3.9</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export'!$S$23:$AM$24</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'Evol export'!$S$26:$AM$26</c:f>
              <c:numCache>
                <c:formatCode>#,##0</c:formatCode>
                <c:ptCount val="21"/>
                <c:pt idx="0">
                  <c:v>2.0284767399999999</c:v>
                </c:pt>
                <c:pt idx="1">
                  <c:v>2.0935631699999999</c:v>
                </c:pt>
                <c:pt idx="2">
                  <c:v>3.0063805000000001</c:v>
                </c:pt>
                <c:pt idx="3">
                  <c:v>3.7762350599999999</c:v>
                </c:pt>
                <c:pt idx="4">
                  <c:v>4.5938774800000006</c:v>
                </c:pt>
                <c:pt idx="5">
                  <c:v>5.7537796200000004</c:v>
                </c:pt>
                <c:pt idx="6">
                  <c:v>9.8845079600000005</c:v>
                </c:pt>
                <c:pt idx="7">
                  <c:v>9.5663100600000011</c:v>
                </c:pt>
                <c:pt idx="8">
                  <c:v>12.871086029999999</c:v>
                </c:pt>
                <c:pt idx="9">
                  <c:v>14.653130470000001</c:v>
                </c:pt>
                <c:pt idx="10">
                  <c:v>15.92671947</c:v>
                </c:pt>
                <c:pt idx="11">
                  <c:v>14.577530269999999</c:v>
                </c:pt>
                <c:pt idx="12">
                  <c:v>17.259489590000001</c:v>
                </c:pt>
                <c:pt idx="13">
                  <c:v>17.762</c:v>
                </c:pt>
                <c:pt idx="14">
                  <c:v>20.472999999999999</c:v>
                </c:pt>
                <c:pt idx="15">
                  <c:v>21.908999999999999</c:v>
                </c:pt>
                <c:pt idx="16">
                  <c:v>19.2</c:v>
                </c:pt>
                <c:pt idx="17">
                  <c:v>18.536999999999999</c:v>
                </c:pt>
                <c:pt idx="18">
                  <c:v>14.7</c:v>
                </c:pt>
                <c:pt idx="19">
                  <c:v>14.47550646</c:v>
                </c:pt>
                <c:pt idx="20">
                  <c:v>15.5</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2017 - 2022</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export'!$AH$28:$AM$29</c:f>
              <c:strCache>
                <c:ptCount val="6"/>
                <c:pt idx="0">
                  <c:v>2017</c:v>
                </c:pt>
                <c:pt idx="1">
                  <c:v>2018</c:v>
                </c:pt>
                <c:pt idx="2">
                  <c:v>2019</c:v>
                </c:pt>
                <c:pt idx="3">
                  <c:v>2020</c:v>
                </c:pt>
                <c:pt idx="4">
                  <c:v>2021</c:v>
                </c:pt>
                <c:pt idx="5">
                  <c:v>2022</c:v>
                </c:pt>
              </c:strCache>
            </c:strRef>
          </c:cat>
          <c:val>
            <c:numRef>
              <c:f>'Evol export'!$AH$30:$AM$30</c:f>
              <c:numCache>
                <c:formatCode>#,##0</c:formatCode>
                <c:ptCount val="6"/>
                <c:pt idx="0">
                  <c:v>19.600000000000001</c:v>
                </c:pt>
                <c:pt idx="1">
                  <c:v>20.100000000000001</c:v>
                </c:pt>
                <c:pt idx="2">
                  <c:v>18.007000000000001</c:v>
                </c:pt>
                <c:pt idx="3">
                  <c:v>22.4</c:v>
                </c:pt>
                <c:pt idx="4">
                  <c:v>21.014181499999999</c:v>
                </c:pt>
                <c:pt idx="5">
                  <c:v>18.399999999999999</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export'!$AH$28:$AM$29</c:f>
              <c:strCache>
                <c:ptCount val="6"/>
                <c:pt idx="0">
                  <c:v>2017</c:v>
                </c:pt>
                <c:pt idx="1">
                  <c:v>2018</c:v>
                </c:pt>
                <c:pt idx="2">
                  <c:v>2019</c:v>
                </c:pt>
                <c:pt idx="3">
                  <c:v>2020</c:v>
                </c:pt>
                <c:pt idx="4">
                  <c:v>2021</c:v>
                </c:pt>
                <c:pt idx="5">
                  <c:v>2022</c:v>
                </c:pt>
              </c:strCache>
            </c:strRef>
          </c:cat>
          <c:val>
            <c:numRef>
              <c:f>'Evol export'!$AH$31:$AM$31</c:f>
              <c:numCache>
                <c:formatCode>#,##0</c:formatCode>
                <c:ptCount val="6"/>
                <c:pt idx="0">
                  <c:v>36.9</c:v>
                </c:pt>
                <c:pt idx="1">
                  <c:v>39.700000000000003</c:v>
                </c:pt>
                <c:pt idx="2">
                  <c:v>33.814999999999998</c:v>
                </c:pt>
                <c:pt idx="3">
                  <c:v>41.5</c:v>
                </c:pt>
                <c:pt idx="4">
                  <c:v>40.267596879999985</c:v>
                </c:pt>
                <c:pt idx="5">
                  <c:v>32.9</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2020 - 2021 - 2022</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anual rango precios'!$C$3</c:f>
              <c:strCache>
                <c:ptCount val="1"/>
                <c:pt idx="0">
                  <c:v>Vol 2020</c:v>
                </c:pt>
              </c:strCache>
            </c:strRef>
          </c:tx>
          <c:spPr>
            <a:solidFill>
              <a:schemeClr val="accent2"/>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precios'!$C$4:$C$9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1-994B-4969-B6B1-C1B36E0E93BD}"/>
            </c:ext>
          </c:extLst>
        </c:ser>
        <c:ser>
          <c:idx val="4"/>
          <c:order val="3"/>
          <c:tx>
            <c:strRef>
              <c:f>'expo anual rango precios'!$F$3</c:f>
              <c:strCache>
                <c:ptCount val="1"/>
                <c:pt idx="0">
                  <c:v>Vol 2021</c:v>
                </c:pt>
              </c:strCache>
            </c:strRef>
          </c:tx>
          <c:spPr>
            <a:solidFill>
              <a:schemeClr val="accent5"/>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precios'!$F$4:$F$9</c:f>
              <c:numCache>
                <c:formatCode>0.0</c:formatCode>
                <c:ptCount val="6"/>
                <c:pt idx="0">
                  <c:v>13.844855222222222</c:v>
                </c:pt>
                <c:pt idx="1">
                  <c:v>21.095279746666527</c:v>
                </c:pt>
                <c:pt idx="2">
                  <c:v>7.6221088911111092</c:v>
                </c:pt>
                <c:pt idx="3">
                  <c:v>4.8754200733333324</c:v>
                </c:pt>
                <c:pt idx="4">
                  <c:v>1.7680794822222223</c:v>
                </c:pt>
                <c:pt idx="5">
                  <c:v>0.59290485999999987</c:v>
                </c:pt>
              </c:numCache>
            </c:numRef>
          </c:val>
          <c:extLst>
            <c:ext xmlns:c16="http://schemas.microsoft.com/office/drawing/2014/chart" uri="{C3380CC4-5D6E-409C-BE32-E72D297353CC}">
              <c16:uniqueId val="{00000004-994B-4969-B6B1-C1B36E0E93BD}"/>
            </c:ext>
          </c:extLst>
        </c:ser>
        <c:ser>
          <c:idx val="7"/>
          <c:order val="5"/>
          <c:tx>
            <c:strRef>
              <c:f>'expo anual rango precios'!$I$3</c:f>
              <c:strCache>
                <c:ptCount val="1"/>
                <c:pt idx="0">
                  <c:v>Vol 2022</c:v>
                </c:pt>
              </c:strCache>
            </c:strRef>
          </c:tx>
          <c:spPr>
            <a:solidFill>
              <a:schemeClr val="accent2">
                <a:lumMod val="60000"/>
              </a:schemeClr>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precios'!$I$4:$I$9</c:f>
              <c:numCache>
                <c:formatCode>0.0</c:formatCode>
                <c:ptCount val="6"/>
                <c:pt idx="0">
                  <c:v>14.941840462222219</c:v>
                </c:pt>
                <c:pt idx="1">
                  <c:v>20.53686894444462</c:v>
                </c:pt>
                <c:pt idx="2">
                  <c:v>7.287090544444438</c:v>
                </c:pt>
                <c:pt idx="3" formatCode="_ * #,##0.0_ ;_ * \-#,##0.0_ ;_ * &quot;-&quot;_ ;_ @_ ">
                  <c:v>4.1509205366666651</c:v>
                </c:pt>
                <c:pt idx="4" formatCode="_ * #,##0.0_ ;_ * \-#,##0.0_ ;_ * &quot;-&quot;_ ;_ @_ ">
                  <c:v>1.7577640499999989</c:v>
                </c:pt>
                <c:pt idx="5">
                  <c:v>0.59943232888888909</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anual rango precios'!$B$3</c:f>
              <c:strCache>
                <c:ptCount val="1"/>
                <c:pt idx="0">
                  <c:v>Val 2020</c:v>
                </c:pt>
              </c:strCache>
            </c:strRef>
          </c:tx>
          <c:spPr>
            <a:ln w="28575" cap="rnd">
              <a:solidFill>
                <a:schemeClr val="accent1"/>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precios'!$B$4:$B$9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0-994B-4969-B6B1-C1B36E0E93BD}"/>
            </c:ext>
          </c:extLst>
        </c:ser>
        <c:ser>
          <c:idx val="3"/>
          <c:order val="2"/>
          <c:tx>
            <c:strRef>
              <c:f>'expo anual rango precios'!$E$3</c:f>
              <c:strCache>
                <c:ptCount val="1"/>
                <c:pt idx="0">
                  <c:v>Val 2021</c:v>
                </c:pt>
              </c:strCache>
            </c:strRef>
          </c:tx>
          <c:spPr>
            <a:ln w="28575" cap="rnd">
              <a:solidFill>
                <a:schemeClr val="accent4"/>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precios'!$E$4:$E$9</c:f>
              <c:numCache>
                <c:formatCode>0.0</c:formatCode>
                <c:ptCount val="6"/>
                <c:pt idx="0">
                  <c:v>234.57264577000092</c:v>
                </c:pt>
                <c:pt idx="1">
                  <c:v>501.93888110999256</c:v>
                </c:pt>
                <c:pt idx="2">
                  <c:v>263.23259948000083</c:v>
                </c:pt>
                <c:pt idx="3">
                  <c:v>226.92550004999924</c:v>
                </c:pt>
                <c:pt idx="4">
                  <c:v>134.84044649999973</c:v>
                </c:pt>
                <c:pt idx="5">
                  <c:v>142.41024547000029</c:v>
                </c:pt>
              </c:numCache>
            </c:numRef>
          </c:val>
          <c:smooth val="0"/>
          <c:extLst>
            <c:ext xmlns:c16="http://schemas.microsoft.com/office/drawing/2014/chart" uri="{C3380CC4-5D6E-409C-BE32-E72D297353CC}">
              <c16:uniqueId val="{00000003-994B-4969-B6B1-C1B36E0E93BD}"/>
            </c:ext>
          </c:extLst>
        </c:ser>
        <c:ser>
          <c:idx val="6"/>
          <c:order val="4"/>
          <c:tx>
            <c:strRef>
              <c:f>'expo anual rango precios'!$H$3</c:f>
              <c:strCache>
                <c:ptCount val="1"/>
                <c:pt idx="0">
                  <c:v>Val 2022</c:v>
                </c:pt>
              </c:strCache>
            </c:strRef>
          </c:tx>
          <c:spPr>
            <a:ln w="28575" cap="rnd">
              <a:solidFill>
                <a:schemeClr val="accent1">
                  <a:lumMod val="60000"/>
                </a:schemeClr>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precios'!$H$4:$H$9</c:f>
              <c:numCache>
                <c:formatCode>0.0</c:formatCode>
                <c:ptCount val="6"/>
                <c:pt idx="0">
                  <c:v>260.83426900999712</c:v>
                </c:pt>
                <c:pt idx="1">
                  <c:v>481.15254951999748</c:v>
                </c:pt>
                <c:pt idx="2">
                  <c:v>250.62740806999884</c:v>
                </c:pt>
                <c:pt idx="3">
                  <c:v>193.69943043000129</c:v>
                </c:pt>
                <c:pt idx="4">
                  <c:v>134.19071193000016</c:v>
                </c:pt>
                <c:pt idx="5">
                  <c:v>138.89914924000013</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2020 - 2021 -2022</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anual rango precios'!$C$35</c:f>
              <c:strCache>
                <c:ptCount val="1"/>
                <c:pt idx="0">
                  <c:v>Vol 2020</c:v>
                </c:pt>
              </c:strCache>
            </c:strRef>
          </c:tx>
          <c:spPr>
            <a:solidFill>
              <a:schemeClr val="accent2"/>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precios'!$C$36:$C$41</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1-22A2-4EF9-9199-25D20E91EC04}"/>
            </c:ext>
          </c:extLst>
        </c:ser>
        <c:ser>
          <c:idx val="4"/>
          <c:order val="3"/>
          <c:tx>
            <c:strRef>
              <c:f>'expo anual rango precios'!$F$35</c:f>
              <c:strCache>
                <c:ptCount val="1"/>
                <c:pt idx="0">
                  <c:v>Vol 2021</c:v>
                </c:pt>
              </c:strCache>
            </c:strRef>
          </c:tx>
          <c:spPr>
            <a:solidFill>
              <a:schemeClr val="accent5"/>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precios'!$F$36:$F$41</c:f>
              <c:numCache>
                <c:formatCode>0.0</c:formatCode>
                <c:ptCount val="6"/>
                <c:pt idx="0">
                  <c:v>197.34202999999999</c:v>
                </c:pt>
                <c:pt idx="1">
                  <c:v>99.539377999999999</c:v>
                </c:pt>
                <c:pt idx="2">
                  <c:v>32.173422729999999</c:v>
                </c:pt>
                <c:pt idx="3">
                  <c:v>21.005174490000002</c:v>
                </c:pt>
                <c:pt idx="4">
                  <c:v>3.0258180000000001</c:v>
                </c:pt>
                <c:pt idx="5" formatCode="0.0000">
                  <c:v>1.08E-4</c:v>
                </c:pt>
              </c:numCache>
            </c:numRef>
          </c:val>
          <c:extLst>
            <c:ext xmlns:c16="http://schemas.microsoft.com/office/drawing/2014/chart" uri="{C3380CC4-5D6E-409C-BE32-E72D297353CC}">
              <c16:uniqueId val="{00000004-22A2-4EF9-9199-25D20E91EC04}"/>
            </c:ext>
          </c:extLst>
        </c:ser>
        <c:ser>
          <c:idx val="7"/>
          <c:order val="5"/>
          <c:tx>
            <c:strRef>
              <c:f>'expo anual rango precios'!$I$35</c:f>
              <c:strCache>
                <c:ptCount val="1"/>
                <c:pt idx="0">
                  <c:v>Vol 2021</c:v>
                </c:pt>
              </c:strCache>
            </c:strRef>
          </c:tx>
          <c:spPr>
            <a:solidFill>
              <a:schemeClr val="accent2">
                <a:lumMod val="60000"/>
              </a:schemeClr>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precios'!$I$36:$I$41</c:f>
              <c:numCache>
                <c:formatCode>0.0</c:formatCode>
                <c:ptCount val="6"/>
                <c:pt idx="0">
                  <c:v>152.64111800000001</c:v>
                </c:pt>
                <c:pt idx="1">
                  <c:v>74.411051</c:v>
                </c:pt>
                <c:pt idx="2">
                  <c:v>67.30323258</c:v>
                </c:pt>
                <c:pt idx="3">
                  <c:v>26.533533500000001</c:v>
                </c:pt>
                <c:pt idx="4">
                  <c:v>1.9650920000000001</c:v>
                </c:pt>
                <c:pt idx="5" formatCode="0.000">
                  <c:v>2.1570000000000001E-3</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anual rango precios'!$B$35</c:f>
              <c:strCache>
                <c:ptCount val="1"/>
                <c:pt idx="0">
                  <c:v>Val 2020</c:v>
                </c:pt>
              </c:strCache>
            </c:strRef>
          </c:tx>
          <c:spPr>
            <a:ln w="28575" cap="rnd">
              <a:solidFill>
                <a:schemeClr val="accent1"/>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precios'!$B$36:$B$41</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0-22A2-4EF9-9199-25D20E91EC04}"/>
            </c:ext>
          </c:extLst>
        </c:ser>
        <c:ser>
          <c:idx val="3"/>
          <c:order val="2"/>
          <c:tx>
            <c:strRef>
              <c:f>'expo anual rango precios'!$E$35</c:f>
              <c:strCache>
                <c:ptCount val="1"/>
                <c:pt idx="0">
                  <c:v>Val 2021</c:v>
                </c:pt>
              </c:strCache>
            </c:strRef>
          </c:tx>
          <c:spPr>
            <a:ln w="28575" cap="rnd">
              <a:solidFill>
                <a:schemeClr val="accent4"/>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precios'!$E$36:$E$41</c:f>
              <c:numCache>
                <c:formatCode>0.0</c:formatCode>
                <c:ptCount val="6"/>
                <c:pt idx="0">
                  <c:v>131.64190890999987</c:v>
                </c:pt>
                <c:pt idx="1">
                  <c:v>86.444160560000199</c:v>
                </c:pt>
                <c:pt idx="2">
                  <c:v>37.874594289999983</c:v>
                </c:pt>
                <c:pt idx="3">
                  <c:v>40.624077769999921</c:v>
                </c:pt>
                <c:pt idx="4">
                  <c:v>12.166170699999999</c:v>
                </c:pt>
                <c:pt idx="5" formatCode="0.00">
                  <c:v>1.0004809999999999E-2</c:v>
                </c:pt>
              </c:numCache>
            </c:numRef>
          </c:val>
          <c:smooth val="0"/>
          <c:extLst>
            <c:ext xmlns:c16="http://schemas.microsoft.com/office/drawing/2014/chart" uri="{C3380CC4-5D6E-409C-BE32-E72D297353CC}">
              <c16:uniqueId val="{00000003-22A2-4EF9-9199-25D20E91EC04}"/>
            </c:ext>
          </c:extLst>
        </c:ser>
        <c:ser>
          <c:idx val="6"/>
          <c:order val="4"/>
          <c:tx>
            <c:strRef>
              <c:f>'expo anual rango precios'!$H$35</c:f>
              <c:strCache>
                <c:ptCount val="1"/>
                <c:pt idx="0">
                  <c:v>Val 2021</c:v>
                </c:pt>
              </c:strCache>
            </c:strRef>
          </c:tx>
          <c:spPr>
            <a:ln w="28575" cap="rnd">
              <a:solidFill>
                <a:schemeClr val="accent1">
                  <a:lumMod val="60000"/>
                </a:schemeClr>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precios'!$H$36:$H$41</c:f>
              <c:numCache>
                <c:formatCode>0.0</c:formatCode>
                <c:ptCount val="6"/>
                <c:pt idx="0">
                  <c:v>99.669625690000061</c:v>
                </c:pt>
                <c:pt idx="1">
                  <c:v>65.045665650000004</c:v>
                </c:pt>
                <c:pt idx="2">
                  <c:v>76.808309600000115</c:v>
                </c:pt>
                <c:pt idx="3">
                  <c:v>49.966719389999852</c:v>
                </c:pt>
                <c:pt idx="4">
                  <c:v>7.4352446899999993</c:v>
                </c:pt>
                <c:pt idx="5">
                  <c:v>0.32775185000000001</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704850</xdr:colOff>
      <xdr:row>14</xdr:row>
      <xdr:rowOff>180974</xdr:rowOff>
    </xdr:to>
    <xdr:graphicFrame macro="">
      <xdr:nvGraphicFramePr>
        <xdr:cNvPr id="2" name="Gráfico 1">
          <a:extLst>
            <a:ext uri="{FF2B5EF4-FFF2-40B4-BE49-F238E27FC236}">
              <a16:creationId xmlns:a16="http://schemas.microsoft.com/office/drawing/2014/main" id="{AA2F9563-6234-4D02-930B-BCD4BB1B2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714375</xdr:colOff>
      <xdr:row>30</xdr:row>
      <xdr:rowOff>180974</xdr:rowOff>
    </xdr:to>
    <xdr:graphicFrame macro="">
      <xdr:nvGraphicFramePr>
        <xdr:cNvPr id="3" name="Gráfico 2">
          <a:extLst>
            <a:ext uri="{FF2B5EF4-FFF2-40B4-BE49-F238E27FC236}">
              <a16:creationId xmlns:a16="http://schemas.microsoft.com/office/drawing/2014/main" id="{C74901DC-B466-4CDD-B20E-B37D3D0B94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36BB7561-6E5F-46BB-9345-825CC4D05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27621</xdr:rowOff>
    </xdr:from>
    <xdr:to>
      <xdr:col>6</xdr:col>
      <xdr:colOff>762000</xdr:colOff>
      <xdr:row>31</xdr:row>
      <xdr:rowOff>20954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16</xdr:row>
      <xdr:rowOff>27621</xdr:rowOff>
    </xdr:from>
    <xdr:to>
      <xdr:col>6</xdr:col>
      <xdr:colOff>714375</xdr:colOff>
      <xdr:row>31</xdr:row>
      <xdr:rowOff>20954</xdr:rowOff>
    </xdr:to>
    <xdr:graphicFrame macro="">
      <xdr:nvGraphicFramePr>
        <xdr:cNvPr id="3" name="Gráfico 2">
          <a:extLst>
            <a:ext uri="{FF2B5EF4-FFF2-40B4-BE49-F238E27FC236}">
              <a16:creationId xmlns:a16="http://schemas.microsoft.com/office/drawing/2014/main" id="{8D85D3FE-B92C-4011-8185-2DC2A88D0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31</xdr:row>
      <xdr:rowOff>180975</xdr:rowOff>
    </xdr:from>
    <xdr:to>
      <xdr:col>6</xdr:col>
      <xdr:colOff>723901</xdr:colOff>
      <xdr:row>46</xdr:row>
      <xdr:rowOff>157162</xdr:rowOff>
    </xdr:to>
    <xdr:graphicFrame macro="">
      <xdr:nvGraphicFramePr>
        <xdr:cNvPr id="4" name="Gráfico 3">
          <a:extLst>
            <a:ext uri="{FF2B5EF4-FFF2-40B4-BE49-F238E27FC236}">
              <a16:creationId xmlns:a16="http://schemas.microsoft.com/office/drawing/2014/main" id="{3C5225D0-ABD0-4BE2-BCEF-C39965253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6</xdr:col>
      <xdr:colOff>733425</xdr:colOff>
      <xdr:row>14</xdr:row>
      <xdr:rowOff>183833</xdr:rowOff>
    </xdr:to>
    <xdr:graphicFrame macro="">
      <xdr:nvGraphicFramePr>
        <xdr:cNvPr id="5" name="Gráfico 4">
          <a:extLst>
            <a:ext uri="{FF2B5EF4-FFF2-40B4-BE49-F238E27FC236}">
              <a16:creationId xmlns:a16="http://schemas.microsoft.com/office/drawing/2014/main" id="{32EF509D-476A-4BE9-BE9C-7702CD851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762001</xdr:colOff>
      <xdr:row>20</xdr:row>
      <xdr:rowOff>19050</xdr:rowOff>
    </xdr:to>
    <xdr:graphicFrame macro="">
      <xdr:nvGraphicFramePr>
        <xdr:cNvPr id="3" name="Gráfico 2">
          <a:extLst>
            <a:ext uri="{FF2B5EF4-FFF2-40B4-BE49-F238E27FC236}">
              <a16:creationId xmlns:a16="http://schemas.microsoft.com/office/drawing/2014/main" id="{07DC6F5C-381D-4348-A582-D9C0196622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22</xdr:row>
      <xdr:rowOff>188118</xdr:rowOff>
    </xdr:from>
    <xdr:to>
      <xdr:col>8</xdr:col>
      <xdr:colOff>752475</xdr:colOff>
      <xdr:row>46</xdr:row>
      <xdr:rowOff>166688</xdr:rowOff>
    </xdr:to>
    <xdr:graphicFrame macro="">
      <xdr:nvGraphicFramePr>
        <xdr:cNvPr id="4" name="Gráfico 3">
          <a:extLst>
            <a:ext uri="{FF2B5EF4-FFF2-40B4-BE49-F238E27FC236}">
              <a16:creationId xmlns:a16="http://schemas.microsoft.com/office/drawing/2014/main" id="{C4D5F2AD-B6A3-4AB6-9BF1-6C2BC6C7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0.91014</cdr:y>
    </cdr:from>
    <cdr:to>
      <cdr:x>0.90767</cdr:x>
      <cdr:y>0.97264</cdr:y>
    </cdr:to>
    <cdr:sp macro="" textlink="">
      <cdr:nvSpPr>
        <cdr:cNvPr id="2" name="1 CuadroTexto">
          <a:extLst xmlns:a="http://schemas.openxmlformats.org/drawingml/2006/main">
            <a:ext uri="{FF2B5EF4-FFF2-40B4-BE49-F238E27FC236}">
              <a16:creationId xmlns:a16="http://schemas.microsoft.com/office/drawing/2014/main" id="{9F7B0F9B-AF03-4483-A77D-6F3D0C91F92D}"/>
            </a:ext>
          </a:extLst>
        </cdr:cNvPr>
        <cdr:cNvSpPr txBox="1"/>
      </cdr:nvSpPr>
      <cdr:spPr>
        <a:xfrm xmlns:a="http://schemas.openxmlformats.org/drawingml/2006/main">
          <a:off x="0" y="3484955"/>
          <a:ext cx="6648450" cy="239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a:t>
          </a:r>
        </a:p>
        <a:p xmlns:a="http://schemas.openxmlformats.org/drawingml/2006/main">
          <a:r>
            <a:rPr lang="es-ES" sz="900" baseline="0"/>
            <a:t>* Considera el 80% del volumen total exportado, </a:t>
          </a:r>
          <a:r>
            <a:rPr lang="es-CL" sz="900" b="0" i="0" baseline="0">
              <a:effectLst/>
              <a:latin typeface="+mn-lt"/>
              <a:ea typeface="+mn-ea"/>
              <a:cs typeface="+mn-cs"/>
            </a:rPr>
            <a:t>correspondiente al segmento más representativo de la categoría</a:t>
          </a:r>
          <a:endParaRPr lang="es-ES" sz="900"/>
        </a:p>
      </cdr:txBody>
    </cdr:sp>
  </cdr:relSizeAnchor>
</c:userShapes>
</file>

<file path=xl/drawings/drawing17.xml><?xml version="1.0" encoding="utf-8"?>
<c:userShapes xmlns:c="http://schemas.openxmlformats.org/drawingml/2006/chart">
  <cdr:relSizeAnchor xmlns:cdr="http://schemas.openxmlformats.org/drawingml/2006/chartDrawing">
    <cdr:from>
      <cdr:x>0.00153</cdr:x>
      <cdr:y>0.89889</cdr:y>
    </cdr:from>
    <cdr:to>
      <cdr:x>0.91928</cdr:x>
      <cdr:y>0.92748</cdr:y>
    </cdr:to>
    <cdr:sp macro="" textlink="">
      <cdr:nvSpPr>
        <cdr:cNvPr id="2" name="1 CuadroTexto">
          <a:extLst xmlns:a="http://schemas.openxmlformats.org/drawingml/2006/main">
            <a:ext uri="{FF2B5EF4-FFF2-40B4-BE49-F238E27FC236}">
              <a16:creationId xmlns:a16="http://schemas.microsoft.com/office/drawing/2014/main" id="{BC07D2AA-F270-4D1D-9A85-FF427B90A4A9}"/>
            </a:ext>
          </a:extLst>
        </cdr:cNvPr>
        <cdr:cNvSpPr txBox="1"/>
      </cdr:nvSpPr>
      <cdr:spPr>
        <a:xfrm xmlns:a="http://schemas.openxmlformats.org/drawingml/2006/main">
          <a:off x="11906" y="4090481"/>
          <a:ext cx="7161530" cy="1301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 y Banco Central </a:t>
          </a:r>
        </a:p>
        <a:p xmlns:a="http://schemas.openxmlformats.org/drawingml/2006/main">
          <a:r>
            <a:rPr lang="es-ES" sz="900" baseline="0">
              <a:effectLst/>
              <a:latin typeface="+mn-lt"/>
              <a:ea typeface="+mn-ea"/>
              <a:cs typeface="+mn-cs"/>
            </a:rPr>
            <a:t>*Considera el 80% del volumen total exportado, </a:t>
          </a:r>
          <a:r>
            <a:rPr lang="es-CL" sz="900" b="0" i="0" baseline="0">
              <a:effectLst/>
              <a:latin typeface="+mn-lt"/>
              <a:ea typeface="+mn-ea"/>
              <a:cs typeface="+mn-cs"/>
            </a:rPr>
            <a:t>correspondiente al segmento más representativo de la categoría</a:t>
          </a:r>
          <a:endParaRPr lang="es-CL" sz="900">
            <a:effectLst/>
          </a:endParaRPr>
        </a:p>
        <a:p xmlns:a="http://schemas.openxmlformats.org/drawingml/2006/main">
          <a:endParaRPr lang="es-ES" sz="9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289560</xdr:colOff>
      <xdr:row>21</xdr:row>
      <xdr:rowOff>30480</xdr:rowOff>
    </xdr:from>
    <xdr:to>
      <xdr:col>11</xdr:col>
      <xdr:colOff>403860</xdr:colOff>
      <xdr:row>47</xdr:row>
      <xdr:rowOff>137160</xdr:rowOff>
    </xdr:to>
    <xdr:graphicFrame macro="">
      <xdr:nvGraphicFramePr>
        <xdr:cNvPr id="4" name="Gráfico 3">
          <a:extLst>
            <a:ext uri="{FF2B5EF4-FFF2-40B4-BE49-F238E27FC236}">
              <a16:creationId xmlns:a16="http://schemas.microsoft.com/office/drawing/2014/main" id="{2F0A3BB7-0D5F-45E3-AF96-2F0D59365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0.05163</cdr:x>
      <cdr:y>0.92434</cdr:y>
    </cdr:from>
    <cdr:to>
      <cdr:x>0.76631</cdr:x>
      <cdr:y>0.97179</cdr:y>
    </cdr:to>
    <cdr:sp macro="" textlink="">
      <cdr:nvSpPr>
        <cdr:cNvPr id="3" name="1 CuadroTexto">
          <a:extLst xmlns:a="http://schemas.openxmlformats.org/drawingml/2006/main">
            <a:ext uri="{FF2B5EF4-FFF2-40B4-BE49-F238E27FC236}">
              <a16:creationId xmlns:a16="http://schemas.microsoft.com/office/drawing/2014/main" id="{0073AE1B-5904-4A34-B166-80BBAE8EB375}"/>
            </a:ext>
          </a:extLst>
        </cdr:cNvPr>
        <cdr:cNvSpPr txBox="1"/>
      </cdr:nvSpPr>
      <cdr:spPr>
        <a:xfrm xmlns:a="http://schemas.openxmlformats.org/drawingml/2006/main">
          <a:off x="370569" y="4493723"/>
          <a:ext cx="5130068" cy="23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información del</a:t>
          </a:r>
          <a:r>
            <a:rPr lang="es-ES" sz="900" baseline="0"/>
            <a:t> SAG</a:t>
          </a:r>
          <a:endParaRPr lang="es-ES" sz="9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51819</xdr:colOff>
      <xdr:row>40</xdr:row>
      <xdr:rowOff>1218</xdr:rowOff>
    </xdr:from>
    <xdr:to>
      <xdr:col>6</xdr:col>
      <xdr:colOff>685801</xdr:colOff>
      <xdr:row>44</xdr:row>
      <xdr:rowOff>38099</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7819" y="7868868"/>
          <a:ext cx="2919982" cy="798881"/>
        </a:xfrm>
        <a:prstGeom prst="rect">
          <a:avLst/>
        </a:prstGeom>
        <a:noFill/>
        <a:ln>
          <a:noFill/>
        </a:ln>
        <a:scene3d>
          <a:camera prst="orthographicFront">
            <a:rot lat="0" lon="0" rev="0"/>
          </a:camera>
          <a:lightRig rig="threePt" dir="t"/>
        </a:scene3d>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30480</xdr:colOff>
      <xdr:row>0</xdr:row>
      <xdr:rowOff>60007</xdr:rowOff>
    </xdr:from>
    <xdr:to>
      <xdr:col>6</xdr:col>
      <xdr:colOff>762000</xdr:colOff>
      <xdr:row>21</xdr:row>
      <xdr:rowOff>45720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24</xdr:row>
      <xdr:rowOff>0</xdr:rowOff>
    </xdr:from>
    <xdr:to>
      <xdr:col>6</xdr:col>
      <xdr:colOff>769620</xdr:colOff>
      <xdr:row>44</xdr:row>
      <xdr:rowOff>60960</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472440</xdr:colOff>
      <xdr:row>43</xdr:row>
      <xdr:rowOff>13335</xdr:rowOff>
    </xdr:from>
    <xdr:to>
      <xdr:col>7</xdr:col>
      <xdr:colOff>440055</xdr:colOff>
      <xdr:row>44</xdr:row>
      <xdr:rowOff>34514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472440" y="8105775"/>
          <a:ext cx="5461635" cy="2040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616528</xdr:colOff>
      <xdr:row>21</xdr:row>
      <xdr:rowOff>125990</xdr:rowOff>
    </xdr:from>
    <xdr:to>
      <xdr:col>12</xdr:col>
      <xdr:colOff>103910</xdr:colOff>
      <xdr:row>34</xdr:row>
      <xdr:rowOff>121228</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188595</xdr:colOff>
      <xdr:row>19</xdr:row>
      <xdr:rowOff>171451</xdr:rowOff>
    </xdr:from>
    <xdr:to>
      <xdr:col>14</xdr:col>
      <xdr:colOff>560070</xdr:colOff>
      <xdr:row>34</xdr:row>
      <xdr:rowOff>0</xdr:rowOff>
    </xdr:to>
    <xdr:graphicFrame macro="">
      <xdr:nvGraphicFramePr>
        <xdr:cNvPr id="4" name="Gráfico 3">
          <a:extLst>
            <a:ext uri="{FF2B5EF4-FFF2-40B4-BE49-F238E27FC236}">
              <a16:creationId xmlns:a16="http://schemas.microsoft.com/office/drawing/2014/main" id="{75673481-B939-4E41-951D-29697831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0.90961</cdr:y>
    </cdr:from>
    <cdr:to>
      <cdr:x>1</cdr:x>
      <cdr:y>0.98775</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263922"/>
          <a:ext cx="7920990" cy="1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43</xdr:row>
      <xdr:rowOff>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305425" cy="8305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1100" b="1">
              <a:solidFill>
                <a:schemeClr val="dk1"/>
              </a:solidFill>
              <a:effectLst/>
              <a:latin typeface="+mn-lt"/>
              <a:ea typeface="+mn-ea"/>
              <a:cs typeface="+mn-cs"/>
            </a:rPr>
            <a:t>Comentarios</a:t>
          </a:r>
          <a:endParaRPr lang="es-CL" sz="1100">
            <a:solidFill>
              <a:schemeClr val="dk1"/>
            </a:solidFill>
            <a:effectLst/>
            <a:latin typeface="+mn-lt"/>
            <a:ea typeface="+mn-ea"/>
            <a:cs typeface="+mn-cs"/>
          </a:endParaRPr>
        </a:p>
        <a:p>
          <a:pPr algn="just"/>
          <a:r>
            <a:rPr lang="es-CL" sz="1100" b="1">
              <a:solidFill>
                <a:schemeClr val="dk1"/>
              </a:solidFill>
              <a:effectLst/>
              <a:latin typeface="+mn-lt"/>
              <a:ea typeface="+mn-ea"/>
              <a:cs typeface="+mn-cs"/>
            </a:rPr>
            <a:t>1.  Exportaciones 2022</a:t>
          </a:r>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Las exportaciones de vino durante 2022 alcanzaron un total de 829,4 millones de litros, siendo 4,2% inferior a lo exportado en 2021. De estas exportaciones el 53,5% corresponde a vinos con Denominación de origen; el 38,9% a vinos a granel y 0,5% a vinos espumosos.</a:t>
          </a:r>
        </a:p>
        <a:p>
          <a:pPr algn="just"/>
          <a:r>
            <a:rPr lang="es-CL" sz="1100">
              <a:solidFill>
                <a:schemeClr val="dk1"/>
              </a:solidFill>
              <a:effectLst/>
              <a:latin typeface="+mn-lt"/>
              <a:ea typeface="+mn-ea"/>
              <a:cs typeface="+mn-cs"/>
            </a:rPr>
            <a:t>La exportación de vinos a granel del año 2022 alcanzó 443,5 millones de litros, 1,1% inferior a lo exportado en 2021. El valor total de estas exportaciones alcanzó USD i.459,4 millones, inferior en 3,1% al año 2021, lo que se traduce en un precio medio de USD 3,29/ litro.</a:t>
          </a:r>
        </a:p>
        <a:p>
          <a:pPr algn="just"/>
          <a:r>
            <a:rPr lang="es-CL" sz="1100">
              <a:solidFill>
                <a:schemeClr val="dk1"/>
              </a:solidFill>
              <a:effectLst/>
              <a:latin typeface="+mn-lt"/>
              <a:ea typeface="+mn-ea"/>
              <a:cs typeface="+mn-cs"/>
            </a:rPr>
            <a:t>Por su parte el vino a granel también mostró disminuciones en la exportación total, tanto en valor como en volumen al comparar el año 2022 y 2021. En volumen se alcanzó 322,9 millones de litros por un monto total de USD 299,3 millones. El precio medio de estas exportaciones alcanzó USD 0,93/litro, lo que representa un alza de 5,9% respecto del periodo anterior.</a:t>
          </a:r>
        </a:p>
        <a:p>
          <a:pPr algn="just"/>
          <a:r>
            <a:rPr lang="es-CL" sz="1100">
              <a:solidFill>
                <a:schemeClr val="dk1"/>
              </a:solidFill>
              <a:effectLst/>
              <a:latin typeface="+mn-lt"/>
              <a:ea typeface="+mn-ea"/>
              <a:cs typeface="+mn-cs"/>
            </a:rPr>
            <a:t>Los vinos espumosos aumentaron sus exportaciones, tanto en volumen como en valor, alcanzando 3,9 millones de litros (+9,2%) y USD 15,5 millones (+6,7%).</a:t>
          </a:r>
        </a:p>
        <a:p>
          <a:pPr algn="just"/>
          <a:endParaRPr lang="es-CL" sz="1100">
            <a:solidFill>
              <a:schemeClr val="dk1"/>
            </a:solidFill>
            <a:effectLst/>
            <a:latin typeface="+mn-lt"/>
            <a:ea typeface="+mn-ea"/>
            <a:cs typeface="+mn-cs"/>
          </a:endParaRPr>
        </a:p>
        <a:p>
          <a:pPr algn="just"/>
          <a:r>
            <a:rPr lang="es-CL" sz="1100" b="1">
              <a:solidFill>
                <a:schemeClr val="dk1"/>
              </a:solidFill>
              <a:effectLst/>
              <a:latin typeface="+mn-lt"/>
              <a:ea typeface="+mn-ea"/>
              <a:cs typeface="+mn-cs"/>
            </a:rPr>
            <a:t>2. Catastro 2021</a:t>
          </a:r>
        </a:p>
        <a:p>
          <a:pPr algn="just"/>
          <a:r>
            <a:rPr lang="es-CL" sz="1100">
              <a:solidFill>
                <a:schemeClr val="dk1"/>
              </a:solidFill>
              <a:effectLst/>
              <a:latin typeface="+mn-lt"/>
              <a:ea typeface="+mn-ea"/>
              <a:cs typeface="+mn-cs"/>
            </a:rPr>
            <a:t>El Servicio Agrícola y Ganadero (SAG) publicó en diciembre el Catastro Vitícola Nacional 2021. </a:t>
          </a:r>
        </a:p>
        <a:p>
          <a:pPr algn="just"/>
          <a:r>
            <a:rPr lang="es-CL" sz="1100">
              <a:solidFill>
                <a:schemeClr val="dk1"/>
              </a:solidFill>
              <a:effectLst/>
              <a:latin typeface="+mn-lt"/>
              <a:ea typeface="+mn-ea"/>
              <a:cs typeface="+mn-cs"/>
            </a:rPr>
            <a:t>De acuerdo con dicho informe, la superficie de vides para vinificación alcanzó las 130.086,17 hectáreas, que en comparación al catastro presentado en el año 2020 (que fue de 136.166,24 hectáreas), representa una variación negativa de 4,5% en la superficie.  </a:t>
          </a:r>
        </a:p>
        <a:p>
          <a:pPr algn="just"/>
          <a:r>
            <a:rPr lang="es-CL" sz="1100">
              <a:solidFill>
                <a:schemeClr val="dk1"/>
              </a:solidFill>
              <a:effectLst/>
              <a:latin typeface="+mn-lt"/>
              <a:ea typeface="+mn-ea"/>
              <a:cs typeface="+mn-cs"/>
            </a:rPr>
            <a:t> Respecto del encepado nacional, el 73,8% del viñedo corresponde a cepajes tintos y el 26,2% a cepajes blancos, representados mayoritariamente por los cepajes Cabernet Sauvignon. </a:t>
          </a:r>
          <a:endParaRPr kumimoji="0" lang="es-CL" sz="1100" b="0" i="0" u="none" strike="noStrike" kern="0" cap="none" spc="0" normalizeH="0" baseline="0">
            <a:ln>
              <a:noFill/>
            </a:ln>
            <a:solidFill>
              <a:prstClr val="black"/>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xdr:colOff>
      <xdr:row>47</xdr:row>
      <xdr:rowOff>46037</xdr:rowOff>
    </xdr:from>
    <xdr:to>
      <xdr:col>6</xdr:col>
      <xdr:colOff>723900</xdr:colOff>
      <xdr:row>62</xdr:row>
      <xdr:rowOff>23019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63</xdr:row>
      <xdr:rowOff>30161</xdr:rowOff>
    </xdr:from>
    <xdr:to>
      <xdr:col>6</xdr:col>
      <xdr:colOff>752475</xdr:colOff>
      <xdr:row>78</xdr:row>
      <xdr:rowOff>21430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78</xdr:row>
      <xdr:rowOff>168275</xdr:rowOff>
    </xdr:from>
    <xdr:to>
      <xdr:col>6</xdr:col>
      <xdr:colOff>761047</xdr:colOff>
      <xdr:row>93</xdr:row>
      <xdr:rowOff>133350</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95</xdr:row>
      <xdr:rowOff>75565</xdr:rowOff>
    </xdr:from>
    <xdr:to>
      <xdr:col>6</xdr:col>
      <xdr:colOff>761999</xdr:colOff>
      <xdr:row>109</xdr:row>
      <xdr:rowOff>159385</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13</xdr:row>
      <xdr:rowOff>103293</xdr:rowOff>
    </xdr:from>
    <xdr:to>
      <xdr:col>9</xdr:col>
      <xdr:colOff>561975</xdr:colOff>
      <xdr:row>29</xdr:row>
      <xdr:rowOff>30480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0</xdr:colOff>
      <xdr:row>16</xdr:row>
      <xdr:rowOff>38100</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361950</xdr:colOff>
      <xdr:row>13</xdr:row>
      <xdr:rowOff>161925</xdr:rowOff>
    </xdr:to>
    <xdr:graphicFrame macro="">
      <xdr:nvGraphicFramePr>
        <xdr:cNvPr id="2" name="Gráfico 1">
          <a:extLst>
            <a:ext uri="{FF2B5EF4-FFF2-40B4-BE49-F238E27FC236}">
              <a16:creationId xmlns:a16="http://schemas.microsoft.com/office/drawing/2014/main" id="{32725564-67A6-4445-AE2A-A068E527BA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9525</xdr:rowOff>
    </xdr:from>
    <xdr:to>
      <xdr:col>7</xdr:col>
      <xdr:colOff>381000</xdr:colOff>
      <xdr:row>30</xdr:row>
      <xdr:rowOff>0</xdr:rowOff>
    </xdr:to>
    <xdr:graphicFrame macro="">
      <xdr:nvGraphicFramePr>
        <xdr:cNvPr id="3" name="Gráfico 2">
          <a:extLst>
            <a:ext uri="{FF2B5EF4-FFF2-40B4-BE49-F238E27FC236}">
              <a16:creationId xmlns:a16="http://schemas.microsoft.com/office/drawing/2014/main" id="{34370264-D331-42EB-93B2-C8F9B6269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19052</xdr:colOff>
      <xdr:row>30</xdr:row>
      <xdr:rowOff>189442</xdr:rowOff>
    </xdr:from>
    <xdr:to>
      <xdr:col>7</xdr:col>
      <xdr:colOff>371476</xdr:colOff>
      <xdr:row>46</xdr:row>
      <xdr:rowOff>180975</xdr:rowOff>
    </xdr:to>
    <xdr:graphicFrame macro="">
      <xdr:nvGraphicFramePr>
        <xdr:cNvPr id="4" name="Gráfico 3">
          <a:extLst>
            <a:ext uri="{FF2B5EF4-FFF2-40B4-BE49-F238E27FC236}">
              <a16:creationId xmlns:a16="http://schemas.microsoft.com/office/drawing/2014/main" id="{F1BCB04C-3064-425E-996A-A106FFE66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arolina del Rosario Buzzetti Horta" id="{30BA787B-16AF-4A7F-A9EF-1A774A901AC7}" userId="S::cbuzzetti@odepa.gob.cl::6446da3e-47e9-4ab3-9694-b54ee238906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2-06-22T14:48:57.93" personId="{30BA787B-16AF-4A7F-A9EF-1A774A901AC7}" id="{F9BD1B64-5757-41CC-B699-C162031ED6E3}">
    <text>Considera vino con DO, Granel y elaborado con uva de mesa</text>
  </threadedComment>
  <threadedComment ref="A6" dT="2022-06-22T14:49:23.36" personId="{30BA787B-16AF-4A7F-A9EF-1A774A901AC7}" id="{3672861F-D210-45C1-9970-4CF62457600D}">
    <text>Considera vino con DO, Espumoso y envasado menor a 2 lts</text>
  </threadedComment>
  <threadedComment ref="A7" dT="2022-06-22T14:49:44.83" personId="{30BA787B-16AF-4A7F-A9EF-1A774A901AC7}" id="{760D7E71-A72B-4024-ACF7-10CADA0BB627}">
    <text>Considera Vino a granely vinos envasados entre 2 y 10 lts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odepa.gob.cl/precios/al-productor" TargetMode="External"/><Relationship Id="rId7" Type="http://schemas.openxmlformats.org/officeDocument/2006/relationships/printerSettings" Target="../printerSettings/printerSettings18.bin"/><Relationship Id="rId2" Type="http://schemas.openxmlformats.org/officeDocument/2006/relationships/hyperlink" Target="https://www.odepa.gob.cl/precios/al-productor" TargetMode="External"/><Relationship Id="rId1" Type="http://schemas.openxmlformats.org/officeDocument/2006/relationships/hyperlink" Target="https://www.odepa.gob.cl/precios/al-productor" TargetMode="External"/><Relationship Id="rId6" Type="http://schemas.openxmlformats.org/officeDocument/2006/relationships/hyperlink" Target="https://www.odepa.gob.cl/precios/al-productor" TargetMode="External"/><Relationship Id="rId5" Type="http://schemas.openxmlformats.org/officeDocument/2006/relationships/hyperlink" Target="https://www.odepa.gob.cl/precios/al-productor" TargetMode="External"/><Relationship Id="rId4" Type="http://schemas.openxmlformats.org/officeDocument/2006/relationships/hyperlink" Target="https://www.odepa.gob.cl/precios/al-producto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 Id="rId4" Type="http://schemas.microsoft.com/office/2017/10/relationships/threadedComment" Target="../threadedComments/threadedComment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D42"/>
  <sheetViews>
    <sheetView tabSelected="1" workbookViewId="0"/>
  </sheetViews>
  <sheetFormatPr baseColWidth="10" defaultColWidth="11.42578125" defaultRowHeight="15" x14ac:dyDescent="0.25"/>
  <sheetData>
    <row r="16" spans="4:4" ht="31.5" x14ac:dyDescent="0.5">
      <c r="D16" s="1" t="s">
        <v>0</v>
      </c>
    </row>
    <row r="42" spans="4:4" ht="18.75" x14ac:dyDescent="0.3">
      <c r="D42" s="2" t="s">
        <v>592</v>
      </c>
    </row>
  </sheetData>
  <phoneticPr fontId="58" type="noConversion"/>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24214-F9AE-4117-9280-C8A80F3442ED}">
  <dimension ref="X1:AZ28"/>
  <sheetViews>
    <sheetView workbookViewId="0"/>
  </sheetViews>
  <sheetFormatPr baseColWidth="10" defaultColWidth="11.42578125" defaultRowHeight="15" x14ac:dyDescent="0.25"/>
  <cols>
    <col min="8" max="23" width="6" customWidth="1"/>
    <col min="24" max="24" width="6" style="13" customWidth="1"/>
    <col min="25" max="25" width="5.42578125" style="13" bestFit="1" customWidth="1"/>
    <col min="26" max="37" width="10" style="13" bestFit="1" customWidth="1"/>
    <col min="39" max="41" width="12" bestFit="1" customWidth="1"/>
  </cols>
  <sheetData>
    <row r="1" spans="24:52" x14ac:dyDescent="0.25">
      <c r="X1" s="33"/>
      <c r="Y1" s="33"/>
      <c r="Z1" s="33" t="s">
        <v>167</v>
      </c>
      <c r="AA1" s="33" t="s">
        <v>168</v>
      </c>
      <c r="AB1" s="33" t="s">
        <v>169</v>
      </c>
      <c r="AC1" s="33" t="s">
        <v>170</v>
      </c>
      <c r="AD1" s="33" t="s">
        <v>171</v>
      </c>
      <c r="AE1" s="33" t="s">
        <v>172</v>
      </c>
      <c r="AF1" s="33" t="s">
        <v>173</v>
      </c>
      <c r="AG1" s="33" t="s">
        <v>174</v>
      </c>
      <c r="AH1" s="33" t="s">
        <v>175</v>
      </c>
      <c r="AI1" s="33" t="s">
        <v>176</v>
      </c>
      <c r="AJ1" s="33" t="s">
        <v>177</v>
      </c>
      <c r="AK1" s="33" t="s">
        <v>178</v>
      </c>
      <c r="AM1" s="33"/>
      <c r="AN1" s="33"/>
      <c r="AO1" s="33"/>
      <c r="AP1" s="33"/>
      <c r="AQ1" s="33"/>
      <c r="AR1" s="33"/>
      <c r="AS1" s="33"/>
      <c r="AT1" s="33"/>
      <c r="AU1" s="33"/>
      <c r="AV1" s="33"/>
      <c r="AW1" s="33"/>
      <c r="AX1" s="33"/>
      <c r="AY1" s="33"/>
      <c r="AZ1" s="33"/>
    </row>
    <row r="2" spans="24:52" x14ac:dyDescent="0.25">
      <c r="X2" s="33" t="s">
        <v>179</v>
      </c>
      <c r="Y2" s="33">
        <v>2018</v>
      </c>
      <c r="Z2" s="271">
        <f>AN2/1000</f>
        <v>773.88750000000005</v>
      </c>
      <c r="AA2" s="271">
        <f t="shared" ref="AA2:AK7" si="0">AO2/1000</f>
        <v>790.45299999999997</v>
      </c>
      <c r="AB2" s="271">
        <f t="shared" si="0"/>
        <v>770.73299999999995</v>
      </c>
      <c r="AC2" s="271">
        <f t="shared" si="0"/>
        <v>788.76049999999998</v>
      </c>
      <c r="AD2" s="271">
        <f t="shared" si="0"/>
        <v>761.84050000000002</v>
      </c>
      <c r="AE2" s="271">
        <f t="shared" si="0"/>
        <v>583.81500000000005</v>
      </c>
      <c r="AF2" s="271">
        <f t="shared" si="0"/>
        <v>880.16005000000007</v>
      </c>
      <c r="AG2" s="271">
        <f t="shared" si="0"/>
        <v>895.5293999999999</v>
      </c>
      <c r="AH2" s="271">
        <f t="shared" si="0"/>
        <v>565.92150000000004</v>
      </c>
      <c r="AI2" s="271">
        <f t="shared" si="0"/>
        <v>1041.2096999999999</v>
      </c>
      <c r="AJ2" s="271">
        <f t="shared" si="0"/>
        <v>933.39350000000002</v>
      </c>
      <c r="AK2" s="271">
        <f t="shared" si="0"/>
        <v>451.23126000000002</v>
      </c>
      <c r="AM2" s="33" t="s">
        <v>179</v>
      </c>
      <c r="AN2" s="33">
        <v>773887.5</v>
      </c>
      <c r="AO2" s="270">
        <v>790453</v>
      </c>
      <c r="AP2" s="270">
        <v>770733</v>
      </c>
      <c r="AQ2" s="270">
        <v>788760.5</v>
      </c>
      <c r="AR2" s="270">
        <v>761840.5</v>
      </c>
      <c r="AS2" s="270">
        <v>583815</v>
      </c>
      <c r="AT2" s="270">
        <v>880160.05</v>
      </c>
      <c r="AU2" s="270">
        <v>895529.39999999991</v>
      </c>
      <c r="AV2" s="270">
        <v>565921.5</v>
      </c>
      <c r="AW2" s="270">
        <v>1041209.7</v>
      </c>
      <c r="AX2" s="270">
        <v>933393.5</v>
      </c>
      <c r="AY2" s="270">
        <v>451231.26</v>
      </c>
      <c r="AZ2" s="270"/>
    </row>
    <row r="3" spans="24:52" x14ac:dyDescent="0.25">
      <c r="X3" s="33" t="s">
        <v>179</v>
      </c>
      <c r="Y3" s="33">
        <v>2019</v>
      </c>
      <c r="Z3" s="271">
        <f t="shared" ref="Z3:Z7" si="1">AN3/1000</f>
        <v>1017.0165</v>
      </c>
      <c r="AA3" s="271">
        <f t="shared" si="0"/>
        <v>718.48850000000004</v>
      </c>
      <c r="AB3" s="271">
        <f t="shared" si="0"/>
        <v>683.66750000000002</v>
      </c>
      <c r="AC3" s="271">
        <f t="shared" si="0"/>
        <v>923.82119999999998</v>
      </c>
      <c r="AD3" s="271">
        <f t="shared" si="0"/>
        <v>1076.56835</v>
      </c>
      <c r="AE3" s="271">
        <f t="shared" si="0"/>
        <v>928.89</v>
      </c>
      <c r="AF3" s="271">
        <f t="shared" si="0"/>
        <v>858.32600000000002</v>
      </c>
      <c r="AG3" s="271">
        <f t="shared" si="0"/>
        <v>1001.169</v>
      </c>
      <c r="AH3" s="271">
        <f t="shared" si="0"/>
        <v>557.26199999999994</v>
      </c>
      <c r="AI3" s="271">
        <f t="shared" si="0"/>
        <v>513.03750000000002</v>
      </c>
      <c r="AJ3" s="271">
        <f t="shared" si="0"/>
        <v>644.5335</v>
      </c>
      <c r="AK3" s="271">
        <f t="shared" si="0"/>
        <v>957.69750999999997</v>
      </c>
      <c r="AM3" s="33" t="s">
        <v>179</v>
      </c>
      <c r="AN3" s="33">
        <v>1017016.5</v>
      </c>
      <c r="AO3" s="270">
        <v>718488.5</v>
      </c>
      <c r="AP3" s="270">
        <v>683667.5</v>
      </c>
      <c r="AQ3" s="270">
        <v>923821.2</v>
      </c>
      <c r="AR3" s="270">
        <v>1076568.3500000001</v>
      </c>
      <c r="AS3" s="270">
        <v>928890</v>
      </c>
      <c r="AT3" s="270">
        <v>858326</v>
      </c>
      <c r="AU3" s="270">
        <v>1001169</v>
      </c>
      <c r="AV3" s="270">
        <v>557262</v>
      </c>
      <c r="AW3" s="270">
        <v>513037.5</v>
      </c>
      <c r="AX3" s="270">
        <v>644533.5</v>
      </c>
      <c r="AY3" s="270">
        <v>957697.51</v>
      </c>
      <c r="AZ3" s="270"/>
    </row>
    <row r="4" spans="24:52" x14ac:dyDescent="0.25">
      <c r="X4" s="33" t="s">
        <v>179</v>
      </c>
      <c r="Y4" s="33">
        <v>2020</v>
      </c>
      <c r="Z4" s="271">
        <f t="shared" si="1"/>
        <v>1193.0429999999999</v>
      </c>
      <c r="AA4" s="271">
        <f t="shared" si="0"/>
        <v>792.2355</v>
      </c>
      <c r="AB4" s="271">
        <f t="shared" si="0"/>
        <v>848.6395</v>
      </c>
      <c r="AC4" s="271">
        <f t="shared" si="0"/>
        <v>841.18949999999995</v>
      </c>
      <c r="AD4" s="271">
        <f t="shared" si="0"/>
        <v>1055.7809999999999</v>
      </c>
      <c r="AE4" s="271">
        <f t="shared" si="0"/>
        <v>530.3655</v>
      </c>
      <c r="AF4" s="271">
        <f t="shared" si="0"/>
        <v>861.43050000000005</v>
      </c>
      <c r="AG4" s="271">
        <f t="shared" si="0"/>
        <v>1010.889</v>
      </c>
      <c r="AH4" s="271">
        <f t="shared" si="0"/>
        <v>982.43550000000005</v>
      </c>
      <c r="AI4" s="271">
        <f t="shared" si="0"/>
        <v>790.98</v>
      </c>
      <c r="AJ4" s="271">
        <f t="shared" si="0"/>
        <v>830.73149999999998</v>
      </c>
      <c r="AK4" s="271">
        <f t="shared" si="0"/>
        <v>700.60400000000004</v>
      </c>
      <c r="AM4" s="33" t="s">
        <v>179</v>
      </c>
      <c r="AN4" s="33">
        <v>1193043</v>
      </c>
      <c r="AO4" s="270">
        <v>792235.5</v>
      </c>
      <c r="AP4" s="270">
        <v>848639.5</v>
      </c>
      <c r="AQ4" s="270">
        <v>841189.5</v>
      </c>
      <c r="AR4" s="270">
        <v>1055781</v>
      </c>
      <c r="AS4" s="270">
        <v>530365.5</v>
      </c>
      <c r="AT4" s="270">
        <v>861430.5</v>
      </c>
      <c r="AU4" s="270">
        <v>1010889</v>
      </c>
      <c r="AV4" s="270">
        <v>982435.5</v>
      </c>
      <c r="AW4" s="270">
        <v>790980</v>
      </c>
      <c r="AX4" s="270">
        <v>830731.5</v>
      </c>
      <c r="AY4" s="270">
        <v>700604</v>
      </c>
      <c r="AZ4" s="270"/>
    </row>
    <row r="5" spans="24:52" x14ac:dyDescent="0.25">
      <c r="X5" s="33" t="s">
        <v>179</v>
      </c>
      <c r="Y5" s="33">
        <v>2021</v>
      </c>
      <c r="Z5" s="271">
        <f t="shared" si="1"/>
        <v>1353.5415</v>
      </c>
      <c r="AA5" s="271">
        <f t="shared" si="0"/>
        <v>1039.8434999999999</v>
      </c>
      <c r="AB5" s="271">
        <f t="shared" si="0"/>
        <v>1312.4159999999999</v>
      </c>
      <c r="AC5" s="271">
        <f t="shared" si="0"/>
        <v>869.15250000000003</v>
      </c>
      <c r="AD5" s="271">
        <f t="shared" si="0"/>
        <v>1016.9297163</v>
      </c>
      <c r="AE5" s="271">
        <f t="shared" si="0"/>
        <v>1192.1079999999999</v>
      </c>
      <c r="AF5" s="271">
        <f t="shared" si="0"/>
        <v>848.01850000000002</v>
      </c>
      <c r="AG5" s="271">
        <f t="shared" si="0"/>
        <v>966.36085000000003</v>
      </c>
      <c r="AH5" s="271">
        <f t="shared" si="0"/>
        <v>828.08249999999998</v>
      </c>
      <c r="AI5" s="271">
        <f t="shared" si="0"/>
        <v>750.096</v>
      </c>
      <c r="AJ5" s="271">
        <f t="shared" si="0"/>
        <v>995.75649999999996</v>
      </c>
      <c r="AK5" s="271">
        <f t="shared" si="0"/>
        <v>1331.1255000000001</v>
      </c>
      <c r="AM5" s="33" t="s">
        <v>179</v>
      </c>
      <c r="AN5" s="269">
        <v>1353541.5</v>
      </c>
      <c r="AO5" s="270">
        <v>1039843.5</v>
      </c>
      <c r="AP5" s="270">
        <v>1312416</v>
      </c>
      <c r="AQ5" s="270">
        <v>869152.5</v>
      </c>
      <c r="AR5" s="270">
        <v>1016929.7163</v>
      </c>
      <c r="AS5" s="270">
        <v>1192108</v>
      </c>
      <c r="AT5" s="270">
        <v>848018.5</v>
      </c>
      <c r="AU5" s="270">
        <v>966360.85</v>
      </c>
      <c r="AV5" s="270">
        <v>828082.5</v>
      </c>
      <c r="AW5" s="270">
        <v>750096</v>
      </c>
      <c r="AX5" s="270">
        <v>995756.5</v>
      </c>
      <c r="AY5" s="87">
        <v>1331125.5</v>
      </c>
      <c r="AZ5" s="269"/>
    </row>
    <row r="6" spans="24:52" x14ac:dyDescent="0.25">
      <c r="X6" s="33" t="s">
        <v>179</v>
      </c>
      <c r="Y6" s="33">
        <v>2022</v>
      </c>
      <c r="Z6" s="271">
        <f t="shared" si="1"/>
        <v>883.02224999999999</v>
      </c>
      <c r="AA6" s="271">
        <f t="shared" si="0"/>
        <v>875.33100000000002</v>
      </c>
      <c r="AB6" s="271">
        <f t="shared" si="0"/>
        <v>908.19</v>
      </c>
      <c r="AC6" s="271">
        <f t="shared" si="0"/>
        <v>736.053</v>
      </c>
      <c r="AD6" s="271">
        <f t="shared" si="0"/>
        <v>875.43299999999999</v>
      </c>
      <c r="AE6" s="271">
        <f t="shared" si="0"/>
        <v>1142.412</v>
      </c>
      <c r="AF6" s="271">
        <f t="shared" si="0"/>
        <v>1058.768</v>
      </c>
      <c r="AG6" s="271">
        <f t="shared" si="0"/>
        <v>1045.326</v>
      </c>
      <c r="AH6" s="271">
        <f t="shared" si="0"/>
        <v>816.47850000000005</v>
      </c>
      <c r="AI6" s="271">
        <f t="shared" si="0"/>
        <v>742.81200000000001</v>
      </c>
      <c r="AJ6" s="271">
        <f t="shared" si="0"/>
        <v>782.26740000000007</v>
      </c>
      <c r="AK6" s="271">
        <f t="shared" si="0"/>
        <v>848.70614999999987</v>
      </c>
      <c r="AM6" s="33" t="s">
        <v>179</v>
      </c>
      <c r="AN6" s="269">
        <v>883022.25</v>
      </c>
      <c r="AO6" s="269">
        <v>875331</v>
      </c>
      <c r="AP6" s="269">
        <v>908190</v>
      </c>
      <c r="AQ6" s="269">
        <v>736053</v>
      </c>
      <c r="AR6" s="269">
        <v>875433</v>
      </c>
      <c r="AS6" s="269">
        <v>1142412</v>
      </c>
      <c r="AT6" s="269">
        <v>1058768</v>
      </c>
      <c r="AU6" s="269">
        <v>1045326</v>
      </c>
      <c r="AV6" s="269">
        <v>816478.5</v>
      </c>
      <c r="AW6" s="269">
        <v>742812</v>
      </c>
      <c r="AX6" s="269">
        <v>782267.4</v>
      </c>
      <c r="AY6" s="269">
        <v>848706.14999999991</v>
      </c>
      <c r="AZ6" s="269"/>
    </row>
    <row r="7" spans="24:52" x14ac:dyDescent="0.25">
      <c r="X7" s="33" t="s">
        <v>179</v>
      </c>
      <c r="Z7" s="271">
        <f t="shared" si="1"/>
        <v>0</v>
      </c>
      <c r="AA7" s="271">
        <f t="shared" si="0"/>
        <v>0</v>
      </c>
      <c r="AB7" s="271">
        <f t="shared" si="0"/>
        <v>0</v>
      </c>
      <c r="AC7" s="271">
        <f t="shared" si="0"/>
        <v>0</v>
      </c>
      <c r="AD7" s="271">
        <f t="shared" si="0"/>
        <v>0</v>
      </c>
      <c r="AE7" s="271">
        <f t="shared" si="0"/>
        <v>0</v>
      </c>
      <c r="AF7" s="271">
        <f t="shared" si="0"/>
        <v>0</v>
      </c>
      <c r="AG7" s="271">
        <f t="shared" si="0"/>
        <v>0</v>
      </c>
      <c r="AH7" s="271">
        <f t="shared" si="0"/>
        <v>0</v>
      </c>
      <c r="AI7" s="271">
        <f t="shared" si="0"/>
        <v>0</v>
      </c>
      <c r="AJ7" s="271">
        <f t="shared" si="0"/>
        <v>0</v>
      </c>
      <c r="AK7" s="271">
        <f t="shared" si="0"/>
        <v>0</v>
      </c>
      <c r="AL7" s="77">
        <f>SUM(Z7:AK7)</f>
        <v>0</v>
      </c>
      <c r="AM7" s="33" t="s">
        <v>179</v>
      </c>
      <c r="AZ7" s="269"/>
    </row>
    <row r="8" spans="24:52" x14ac:dyDescent="0.25">
      <c r="Z8" s="270"/>
      <c r="AA8" s="270"/>
      <c r="AB8" s="270"/>
      <c r="AC8" s="270"/>
      <c r="AD8" s="270"/>
      <c r="AE8" s="270"/>
      <c r="AF8" s="270"/>
      <c r="AG8" s="270"/>
      <c r="AH8" s="270"/>
      <c r="AI8" s="270"/>
      <c r="AJ8" s="87"/>
      <c r="AK8" s="87"/>
      <c r="AL8" s="87"/>
      <c r="AM8" s="13"/>
      <c r="AN8" s="13"/>
      <c r="AO8" s="13"/>
      <c r="AP8" s="13"/>
      <c r="AQ8" s="13"/>
      <c r="AR8" s="13"/>
      <c r="AS8" s="13"/>
      <c r="AT8" s="13"/>
      <c r="AU8" s="13"/>
      <c r="AV8" s="13"/>
      <c r="AW8" s="13"/>
      <c r="AX8" s="13"/>
      <c r="AY8" s="13"/>
      <c r="AZ8" s="13"/>
    </row>
    <row r="9" spans="24:52" x14ac:dyDescent="0.25">
      <c r="X9" s="33" t="s">
        <v>93</v>
      </c>
      <c r="Y9" s="33">
        <v>2018</v>
      </c>
      <c r="Z9" s="269">
        <f>AN9/1000</f>
        <v>3607.3066199999989</v>
      </c>
      <c r="AA9" s="269">
        <f t="shared" ref="AA9:AK14" si="2">AO9/1000</f>
        <v>3687.0287700000008</v>
      </c>
      <c r="AB9" s="269">
        <f t="shared" si="2"/>
        <v>3594.86175</v>
      </c>
      <c r="AC9" s="269">
        <f t="shared" si="2"/>
        <v>3529.4463300000002</v>
      </c>
      <c r="AD9" s="269">
        <f t="shared" si="2"/>
        <v>3449.2955400000001</v>
      </c>
      <c r="AE9" s="269">
        <f t="shared" si="2"/>
        <v>2648.1247100000019</v>
      </c>
      <c r="AF9" s="269">
        <f t="shared" si="2"/>
        <v>3779.8889900000017</v>
      </c>
      <c r="AG9" s="269">
        <f t="shared" si="2"/>
        <v>3928.4633700000018</v>
      </c>
      <c r="AH9" s="269">
        <f t="shared" si="2"/>
        <v>2663.9797999999992</v>
      </c>
      <c r="AI9" s="269">
        <f t="shared" si="2"/>
        <v>4080.7813800000008</v>
      </c>
      <c r="AJ9" s="269">
        <f t="shared" si="2"/>
        <v>4161.8879100000022</v>
      </c>
      <c r="AK9" s="269">
        <f t="shared" si="2"/>
        <v>2052.5296400000002</v>
      </c>
      <c r="AL9" s="77">
        <f t="shared" ref="AL9:AL10" si="3">SUM(Z9:AK9)</f>
        <v>41183.594810000017</v>
      </c>
      <c r="AM9" s="33" t="s">
        <v>93</v>
      </c>
      <c r="AN9" s="33">
        <v>3607306.6199999987</v>
      </c>
      <c r="AO9" s="270">
        <v>3687028.7700000009</v>
      </c>
      <c r="AP9" s="270">
        <v>3594861.75</v>
      </c>
      <c r="AQ9" s="270">
        <v>3529446.33</v>
      </c>
      <c r="AR9" s="270">
        <v>3449295.54</v>
      </c>
      <c r="AS9" s="270">
        <v>2648124.7100000018</v>
      </c>
      <c r="AT9" s="270">
        <v>3779888.9900000016</v>
      </c>
      <c r="AU9" s="270">
        <v>3928463.370000002</v>
      </c>
      <c r="AV9" s="270">
        <v>2663979.7999999993</v>
      </c>
      <c r="AW9" s="270">
        <v>4080781.3800000008</v>
      </c>
      <c r="AX9" s="270">
        <v>4161887.910000002</v>
      </c>
      <c r="AY9" s="270">
        <v>2052529.6400000001</v>
      </c>
      <c r="AZ9" s="270"/>
    </row>
    <row r="10" spans="24:52" x14ac:dyDescent="0.25">
      <c r="X10" s="33" t="s">
        <v>93</v>
      </c>
      <c r="Y10" s="33">
        <v>2019</v>
      </c>
      <c r="Z10" s="269">
        <f t="shared" ref="Z10:Z14" si="4">AN10/1000</f>
        <v>4107.7764700000007</v>
      </c>
      <c r="AA10" s="269">
        <f t="shared" si="2"/>
        <v>2560.8920300000013</v>
      </c>
      <c r="AB10" s="269">
        <f t="shared" si="2"/>
        <v>2967.1437100000003</v>
      </c>
      <c r="AC10" s="269">
        <f t="shared" si="2"/>
        <v>4675.6189100000029</v>
      </c>
      <c r="AD10" s="269">
        <f t="shared" si="2"/>
        <v>4627.9668199999996</v>
      </c>
      <c r="AE10" s="269">
        <f t="shared" si="2"/>
        <v>4022.6992300000006</v>
      </c>
      <c r="AF10" s="269">
        <f t="shared" si="2"/>
        <v>3571.6418400000007</v>
      </c>
      <c r="AG10" s="269">
        <f t="shared" si="2"/>
        <v>4221.6451099999995</v>
      </c>
      <c r="AH10" s="269">
        <f t="shared" si="2"/>
        <v>2306.9029800000003</v>
      </c>
      <c r="AI10" s="269">
        <f t="shared" si="2"/>
        <v>2237.7064100000002</v>
      </c>
      <c r="AJ10" s="269">
        <f t="shared" si="2"/>
        <v>2705.3627499999989</v>
      </c>
      <c r="AK10" s="269">
        <f t="shared" si="2"/>
        <v>4450.4325099999987</v>
      </c>
      <c r="AL10" s="77">
        <f t="shared" si="3"/>
        <v>42455.788769999999</v>
      </c>
      <c r="AM10" s="33" t="s">
        <v>93</v>
      </c>
      <c r="AN10" s="33">
        <v>4107776.4700000007</v>
      </c>
      <c r="AO10" s="270">
        <v>2560892.0300000012</v>
      </c>
      <c r="AP10" s="270">
        <v>2967143.7100000004</v>
      </c>
      <c r="AQ10" s="270">
        <v>4675618.9100000029</v>
      </c>
      <c r="AR10" s="270">
        <v>4627966.8199999994</v>
      </c>
      <c r="AS10" s="270">
        <v>4022699.2300000004</v>
      </c>
      <c r="AT10" s="270">
        <v>3571641.8400000008</v>
      </c>
      <c r="AU10" s="270">
        <v>4221645.1099999994</v>
      </c>
      <c r="AV10" s="270">
        <v>2306902.9800000004</v>
      </c>
      <c r="AW10" s="270">
        <v>2237706.41</v>
      </c>
      <c r="AX10" s="270">
        <v>2705362.7499999991</v>
      </c>
      <c r="AY10" s="270">
        <v>4450432.5099999988</v>
      </c>
      <c r="AZ10" s="87"/>
    </row>
    <row r="11" spans="24:52" x14ac:dyDescent="0.25">
      <c r="X11" s="33" t="s">
        <v>93</v>
      </c>
      <c r="Y11" s="33">
        <v>2020</v>
      </c>
      <c r="Z11" s="269">
        <f t="shared" si="4"/>
        <v>4801.6859899999981</v>
      </c>
      <c r="AA11" s="269">
        <f t="shared" si="2"/>
        <v>3075.0533099999989</v>
      </c>
      <c r="AB11" s="269">
        <f t="shared" si="2"/>
        <v>3408.6837000000014</v>
      </c>
      <c r="AC11" s="269">
        <f t="shared" si="2"/>
        <v>3532.285270000003</v>
      </c>
      <c r="AD11" s="269">
        <f t="shared" si="2"/>
        <v>4018.2032299999996</v>
      </c>
      <c r="AE11" s="269">
        <f t="shared" si="2"/>
        <v>2209.6856000000002</v>
      </c>
      <c r="AF11" s="269">
        <f t="shared" si="2"/>
        <v>3711.2722600000006</v>
      </c>
      <c r="AG11" s="269">
        <f t="shared" si="2"/>
        <v>4412.4235199999994</v>
      </c>
      <c r="AH11" s="269">
        <f t="shared" si="2"/>
        <v>4161.0594499999997</v>
      </c>
      <c r="AI11" s="269">
        <f t="shared" si="2"/>
        <v>3664.5571800000025</v>
      </c>
      <c r="AJ11" s="269">
        <f t="shared" si="2"/>
        <v>3597.059720000002</v>
      </c>
      <c r="AK11" s="269">
        <f t="shared" si="2"/>
        <v>3195.7451599999999</v>
      </c>
      <c r="AL11" s="77">
        <f>SUM(Z11:AK11)</f>
        <v>43787.714390000008</v>
      </c>
      <c r="AM11" s="33" t="s">
        <v>93</v>
      </c>
      <c r="AN11" s="33">
        <v>4801685.9899999984</v>
      </c>
      <c r="AO11" s="270">
        <v>3075053.3099999987</v>
      </c>
      <c r="AP11" s="270">
        <v>3408683.7000000016</v>
      </c>
      <c r="AQ11" s="270">
        <v>3532285.2700000028</v>
      </c>
      <c r="AR11" s="270">
        <v>4018203.2299999995</v>
      </c>
      <c r="AS11" s="270">
        <v>2209685.6</v>
      </c>
      <c r="AT11" s="270">
        <v>3711272.2600000007</v>
      </c>
      <c r="AU11" s="270">
        <v>4412423.5199999996</v>
      </c>
      <c r="AV11" s="270">
        <v>4161059.4499999997</v>
      </c>
      <c r="AW11" s="270">
        <v>3664557.1800000025</v>
      </c>
      <c r="AX11" s="270">
        <v>3597059.7200000021</v>
      </c>
      <c r="AY11" s="270">
        <v>3195745.16</v>
      </c>
      <c r="AZ11" s="270"/>
    </row>
    <row r="12" spans="24:52" x14ac:dyDescent="0.25">
      <c r="X12" s="33" t="s">
        <v>93</v>
      </c>
      <c r="Y12" s="33">
        <v>2021</v>
      </c>
      <c r="Z12" s="269">
        <f t="shared" si="4"/>
        <v>6159.8613399999986</v>
      </c>
      <c r="AA12" s="269">
        <f t="shared" si="2"/>
        <v>3855.7715999999991</v>
      </c>
      <c r="AB12" s="269">
        <f t="shared" si="2"/>
        <v>5790.8267499999974</v>
      </c>
      <c r="AC12" s="269">
        <f t="shared" si="2"/>
        <v>3986.3585499999999</v>
      </c>
      <c r="AD12" s="269">
        <f t="shared" si="2"/>
        <v>4519.1267199999957</v>
      </c>
      <c r="AE12" s="269">
        <f t="shared" si="2"/>
        <v>4156.6129200000005</v>
      </c>
      <c r="AF12" s="269">
        <f t="shared" si="2"/>
        <v>3893.1811099999991</v>
      </c>
      <c r="AG12" s="269">
        <f t="shared" si="2"/>
        <v>4427.1716100000003</v>
      </c>
      <c r="AH12" s="269">
        <f t="shared" si="2"/>
        <v>3681.8751699999989</v>
      </c>
      <c r="AI12" s="269">
        <f t="shared" si="2"/>
        <v>3490.6584700000008</v>
      </c>
      <c r="AJ12" s="269">
        <f t="shared" si="2"/>
        <v>4690.0198499999969</v>
      </c>
      <c r="AK12" s="269">
        <f t="shared" si="2"/>
        <v>6212.3798900000002</v>
      </c>
      <c r="AL12" s="77">
        <f>SUM(Z12:AK12)</f>
        <v>54863.843979999991</v>
      </c>
      <c r="AM12" s="33" t="s">
        <v>93</v>
      </c>
      <c r="AN12" s="33">
        <v>6159861.3399999989</v>
      </c>
      <c r="AO12" s="270">
        <v>3855771.5999999992</v>
      </c>
      <c r="AP12" s="270">
        <v>5790826.7499999972</v>
      </c>
      <c r="AQ12" s="270">
        <v>3986358.55</v>
      </c>
      <c r="AR12" s="270">
        <v>4519126.719999996</v>
      </c>
      <c r="AS12" s="270">
        <v>4156612.9200000009</v>
      </c>
      <c r="AT12" s="269">
        <v>3893181.1099999989</v>
      </c>
      <c r="AU12" s="269">
        <v>4427171.6100000003</v>
      </c>
      <c r="AV12" s="269">
        <v>3681875.169999999</v>
      </c>
      <c r="AW12" s="269">
        <v>3490658.4700000007</v>
      </c>
      <c r="AX12" s="269">
        <v>4690019.8499999968</v>
      </c>
      <c r="AY12" s="269">
        <v>6212379.8900000006</v>
      </c>
      <c r="AZ12" s="269"/>
    </row>
    <row r="13" spans="24:52" x14ac:dyDescent="0.25">
      <c r="X13" s="33" t="s">
        <v>93</v>
      </c>
      <c r="Y13" s="13">
        <v>2022</v>
      </c>
      <c r="Z13" s="269">
        <f t="shared" si="4"/>
        <v>4325.9317099999998</v>
      </c>
      <c r="AA13" s="269">
        <f t="shared" si="2"/>
        <v>3744.4295100000013</v>
      </c>
      <c r="AB13" s="269">
        <f t="shared" si="2"/>
        <v>4004.5952600000014</v>
      </c>
      <c r="AC13" s="269">
        <f t="shared" si="2"/>
        <v>3369.1120600000013</v>
      </c>
      <c r="AD13" s="269">
        <f t="shared" si="2"/>
        <v>3714.4246299999982</v>
      </c>
      <c r="AE13" s="269">
        <f t="shared" si="2"/>
        <v>5602.7709699999987</v>
      </c>
      <c r="AF13" s="269">
        <f t="shared" si="2"/>
        <v>4640.3471299999983</v>
      </c>
      <c r="AG13" s="269">
        <f t="shared" si="2"/>
        <v>4681.1523900000002</v>
      </c>
      <c r="AH13" s="269">
        <f t="shared" si="2"/>
        <v>3760.0650499999992</v>
      </c>
      <c r="AI13" s="269">
        <f t="shared" si="2"/>
        <v>3194.8162300000004</v>
      </c>
      <c r="AJ13" s="269">
        <f t="shared" si="2"/>
        <v>3496.1895399999989</v>
      </c>
      <c r="AK13" s="269">
        <f t="shared" si="2"/>
        <v>3837.4293000000002</v>
      </c>
      <c r="AL13" s="77">
        <f>SUM(Z13:AK13)</f>
        <v>48371.263780000001</v>
      </c>
      <c r="AM13" s="33" t="s">
        <v>93</v>
      </c>
      <c r="AN13" s="33">
        <v>4325931.71</v>
      </c>
      <c r="AO13" s="270">
        <v>3744429.5100000012</v>
      </c>
      <c r="AP13" s="87">
        <v>4004595.2600000016</v>
      </c>
      <c r="AQ13" s="270">
        <v>3369112.0600000015</v>
      </c>
      <c r="AR13" s="270">
        <v>3714424.629999998</v>
      </c>
      <c r="AS13" s="270">
        <v>5602770.9699999988</v>
      </c>
      <c r="AT13" s="269">
        <v>4640347.129999998</v>
      </c>
      <c r="AU13" s="269">
        <v>4681152.3900000006</v>
      </c>
      <c r="AV13" s="269">
        <v>3760065.0499999993</v>
      </c>
      <c r="AW13" s="269">
        <v>3194816.2300000004</v>
      </c>
      <c r="AX13" s="269">
        <v>3496189.5399999991</v>
      </c>
      <c r="AY13" s="269">
        <v>3837429.3000000003</v>
      </c>
      <c r="AZ13" s="269"/>
    </row>
    <row r="14" spans="24:52" x14ac:dyDescent="0.25">
      <c r="X14" s="33" t="s">
        <v>93</v>
      </c>
      <c r="Y14" s="13">
        <v>2023</v>
      </c>
      <c r="Z14" s="269">
        <f t="shared" si="4"/>
        <v>0</v>
      </c>
      <c r="AA14" s="269">
        <f t="shared" si="2"/>
        <v>0</v>
      </c>
      <c r="AB14" s="269">
        <f t="shared" si="2"/>
        <v>0</v>
      </c>
      <c r="AC14" s="269">
        <f t="shared" si="2"/>
        <v>0</v>
      </c>
      <c r="AD14" s="269">
        <f t="shared" si="2"/>
        <v>0</v>
      </c>
      <c r="AE14" s="269">
        <f t="shared" si="2"/>
        <v>0</v>
      </c>
      <c r="AF14" s="269">
        <f t="shared" si="2"/>
        <v>0</v>
      </c>
      <c r="AG14" s="269">
        <f t="shared" si="2"/>
        <v>0</v>
      </c>
      <c r="AH14" s="269">
        <f t="shared" si="2"/>
        <v>0</v>
      </c>
      <c r="AI14" s="269">
        <f t="shared" si="2"/>
        <v>0</v>
      </c>
      <c r="AJ14" s="269">
        <f t="shared" si="2"/>
        <v>0</v>
      </c>
      <c r="AK14" s="269">
        <f t="shared" si="2"/>
        <v>0</v>
      </c>
      <c r="AL14" s="77">
        <f>SUM(Z14:AK14)</f>
        <v>0</v>
      </c>
      <c r="AM14" s="33" t="s">
        <v>93</v>
      </c>
      <c r="AZ14" s="269"/>
    </row>
    <row r="15" spans="24:52" x14ac:dyDescent="0.25">
      <c r="Z15" s="270"/>
      <c r="AA15" s="270"/>
      <c r="AB15" s="270"/>
      <c r="AC15" s="270"/>
      <c r="AD15" s="270"/>
      <c r="AE15" s="270"/>
      <c r="AF15" s="270"/>
      <c r="AG15" s="270"/>
      <c r="AH15" s="270"/>
      <c r="AI15" s="270"/>
      <c r="AJ15" s="87"/>
      <c r="AK15" s="87"/>
      <c r="AL15" s="87"/>
    </row>
    <row r="16" spans="24:52" x14ac:dyDescent="0.25">
      <c r="X16" s="33" t="s">
        <v>180</v>
      </c>
      <c r="Y16" s="33"/>
      <c r="AA16" s="33"/>
      <c r="AB16" s="33"/>
      <c r="AC16" s="33"/>
      <c r="AD16" s="33"/>
      <c r="AE16" s="33"/>
      <c r="AF16" s="33"/>
      <c r="AG16" s="33"/>
      <c r="AH16" s="33"/>
      <c r="AI16" s="34"/>
      <c r="AJ16" s="34"/>
      <c r="AK16" s="33"/>
    </row>
    <row r="17" spans="24:37" x14ac:dyDescent="0.25">
      <c r="X17" s="34"/>
      <c r="Y17" s="33"/>
      <c r="Z17" s="33" t="s">
        <v>167</v>
      </c>
      <c r="AA17" s="33" t="s">
        <v>168</v>
      </c>
      <c r="AB17" s="33" t="s">
        <v>169</v>
      </c>
      <c r="AC17" s="33" t="s">
        <v>170</v>
      </c>
      <c r="AD17" s="33" t="s">
        <v>171</v>
      </c>
      <c r="AE17" s="33" t="s">
        <v>172</v>
      </c>
      <c r="AF17" s="33" t="s">
        <v>173</v>
      </c>
      <c r="AG17" s="33" t="s">
        <v>174</v>
      </c>
      <c r="AH17" s="33" t="s">
        <v>175</v>
      </c>
      <c r="AI17" s="33" t="s">
        <v>176</v>
      </c>
      <c r="AJ17" s="33" t="s">
        <v>177</v>
      </c>
      <c r="AK17" s="33" t="s">
        <v>178</v>
      </c>
    </row>
    <row r="18" spans="24:37" x14ac:dyDescent="0.25">
      <c r="X18" s="36"/>
      <c r="Y18" s="33">
        <v>2018</v>
      </c>
      <c r="Z18" s="36">
        <f t="shared" ref="Z18:AK18" si="5">Z9/Z2</f>
        <v>4.6612803799001776</v>
      </c>
      <c r="AA18" s="36">
        <f t="shared" si="5"/>
        <v>4.6644503468264409</v>
      </c>
      <c r="AB18" s="36">
        <f t="shared" si="5"/>
        <v>4.6642115362907779</v>
      </c>
      <c r="AC18" s="36">
        <f t="shared" si="5"/>
        <v>4.474674289597413</v>
      </c>
      <c r="AD18" s="36">
        <f t="shared" si="5"/>
        <v>4.5275822695170449</v>
      </c>
      <c r="AE18" s="36">
        <f t="shared" si="5"/>
        <v>4.5358970050444087</v>
      </c>
      <c r="AF18" s="36">
        <f t="shared" si="5"/>
        <v>4.2945473269321885</v>
      </c>
      <c r="AG18" s="36">
        <f t="shared" si="5"/>
        <v>4.3867497482494739</v>
      </c>
      <c r="AH18" s="36">
        <f t="shared" si="5"/>
        <v>4.7073309637467373</v>
      </c>
      <c r="AI18" s="36">
        <f t="shared" si="5"/>
        <v>3.9192694612814321</v>
      </c>
      <c r="AJ18" s="36">
        <f t="shared" si="5"/>
        <v>4.4588781794602195</v>
      </c>
      <c r="AK18" s="36">
        <f t="shared" si="5"/>
        <v>4.5487310431462573</v>
      </c>
    </row>
    <row r="19" spans="24:37" x14ac:dyDescent="0.25">
      <c r="X19" s="37"/>
      <c r="Y19" s="33">
        <v>2019</v>
      </c>
      <c r="Z19" s="36">
        <f t="shared" ref="Z19:AK19" si="6">Z10/Z3</f>
        <v>4.0390460430091357</v>
      </c>
      <c r="AA19" s="36">
        <f t="shared" si="6"/>
        <v>3.5642769926032236</v>
      </c>
      <c r="AB19" s="36">
        <f t="shared" si="6"/>
        <v>4.3400391418342981</v>
      </c>
      <c r="AC19" s="36">
        <f t="shared" si="6"/>
        <v>5.0611729953804945</v>
      </c>
      <c r="AD19" s="36">
        <f t="shared" si="6"/>
        <v>4.2988137446173296</v>
      </c>
      <c r="AE19" s="36">
        <f t="shared" si="6"/>
        <v>4.3306518855838698</v>
      </c>
      <c r="AF19" s="36">
        <f t="shared" si="6"/>
        <v>4.1611716760298538</v>
      </c>
      <c r="AG19" s="36">
        <f t="shared" si="6"/>
        <v>4.2167157692657282</v>
      </c>
      <c r="AH19" s="36">
        <f t="shared" si="6"/>
        <v>4.139709831282234</v>
      </c>
      <c r="AI19" s="36">
        <f t="shared" si="6"/>
        <v>4.3616819628194818</v>
      </c>
      <c r="AJ19" s="36">
        <f t="shared" si="6"/>
        <v>4.1973966442395918</v>
      </c>
      <c r="AK19" s="36">
        <f t="shared" si="6"/>
        <v>4.6470127190786981</v>
      </c>
    </row>
    <row r="20" spans="24:37" x14ac:dyDescent="0.25">
      <c r="X20" s="31"/>
      <c r="Y20" s="33">
        <v>2020</v>
      </c>
      <c r="Z20" s="36">
        <f t="shared" ref="Z20:AK20" si="7">Z11/Z4</f>
        <v>4.0247384126137939</v>
      </c>
      <c r="AA20" s="36">
        <f t="shared" si="7"/>
        <v>3.8814889133344805</v>
      </c>
      <c r="AB20" s="36">
        <f t="shared" si="7"/>
        <v>4.0166451125595746</v>
      </c>
      <c r="AC20" s="36">
        <f t="shared" si="7"/>
        <v>4.1991552081903105</v>
      </c>
      <c r="AD20" s="36">
        <f t="shared" si="7"/>
        <v>3.8059059880789667</v>
      </c>
      <c r="AE20" s="36">
        <f t="shared" si="7"/>
        <v>4.1663449074270487</v>
      </c>
      <c r="AF20" s="36">
        <f t="shared" si="7"/>
        <v>4.3082666100167106</v>
      </c>
      <c r="AG20" s="36">
        <f t="shared" si="7"/>
        <v>4.3648941871956257</v>
      </c>
      <c r="AH20" s="36">
        <f t="shared" si="7"/>
        <v>4.2354530653666318</v>
      </c>
      <c r="AI20" s="36">
        <f t="shared" si="7"/>
        <v>4.6329327922324239</v>
      </c>
      <c r="AJ20" s="36">
        <f t="shared" si="7"/>
        <v>4.3299907611544795</v>
      </c>
      <c r="AK20" s="36">
        <f t="shared" si="7"/>
        <v>4.561414379592466</v>
      </c>
    </row>
    <row r="21" spans="24:37" x14ac:dyDescent="0.25">
      <c r="X21" s="32"/>
      <c r="Y21" s="33">
        <v>2021</v>
      </c>
      <c r="Z21" s="36">
        <f t="shared" ref="Z21:AK21" si="8">Z12/Z5</f>
        <v>4.5509216673445172</v>
      </c>
      <c r="AA21" s="36">
        <f t="shared" si="8"/>
        <v>3.7080306796166917</v>
      </c>
      <c r="AB21" s="36">
        <f t="shared" si="8"/>
        <v>4.4123408660058985</v>
      </c>
      <c r="AC21" s="36">
        <f t="shared" si="8"/>
        <v>4.5864891949341455</v>
      </c>
      <c r="AD21" s="36">
        <f t="shared" si="8"/>
        <v>4.4438928743693316</v>
      </c>
      <c r="AE21" s="36">
        <f t="shared" si="8"/>
        <v>3.4867754599415495</v>
      </c>
      <c r="AF21" s="36">
        <f t="shared" si="8"/>
        <v>4.5909153043241382</v>
      </c>
      <c r="AG21" s="36">
        <f t="shared" si="8"/>
        <v>4.5812820438659125</v>
      </c>
      <c r="AH21" s="36">
        <f t="shared" si="8"/>
        <v>4.4462661268653774</v>
      </c>
      <c r="AI21" s="36">
        <f t="shared" si="8"/>
        <v>4.6536156305326264</v>
      </c>
      <c r="AJ21" s="36">
        <f t="shared" si="8"/>
        <v>4.7100067637017657</v>
      </c>
      <c r="AK21" s="36">
        <f t="shared" si="8"/>
        <v>4.6670129074982034</v>
      </c>
    </row>
    <row r="22" spans="24:37" x14ac:dyDescent="0.25">
      <c r="X22" s="33"/>
      <c r="Y22" s="33">
        <v>2022</v>
      </c>
      <c r="Z22" s="36">
        <f t="shared" ref="Z22:AK22" si="9">Z13/Z6</f>
        <v>4.8990064633139196</v>
      </c>
      <c r="AA22" s="36">
        <f t="shared" si="9"/>
        <v>4.2777298073528769</v>
      </c>
      <c r="AB22" s="36">
        <f t="shared" si="9"/>
        <v>4.4094245257049751</v>
      </c>
      <c r="AC22" s="36">
        <f t="shared" si="9"/>
        <v>4.5772682945385741</v>
      </c>
      <c r="AD22" s="36">
        <f t="shared" si="9"/>
        <v>4.2429570623908379</v>
      </c>
      <c r="AE22" s="36">
        <f t="shared" si="9"/>
        <v>4.9043348371690758</v>
      </c>
      <c r="AF22" s="36">
        <f t="shared" si="9"/>
        <v>4.38277991968023</v>
      </c>
      <c r="AG22" s="36">
        <f t="shared" si="9"/>
        <v>4.4781746459956038</v>
      </c>
      <c r="AH22" s="36">
        <f t="shared" si="9"/>
        <v>4.6052223665411871</v>
      </c>
      <c r="AI22" s="36">
        <f t="shared" si="9"/>
        <v>4.3009755227433057</v>
      </c>
      <c r="AJ22" s="36">
        <f t="shared" si="9"/>
        <v>4.4693023638719938</v>
      </c>
      <c r="AK22" s="36">
        <f t="shared" si="9"/>
        <v>4.5215052347623503</v>
      </c>
    </row>
    <row r="23" spans="24:37" x14ac:dyDescent="0.25">
      <c r="X23" s="33"/>
      <c r="Z23" s="36"/>
      <c r="AA23" s="36"/>
      <c r="AB23" s="36"/>
      <c r="AC23" s="36"/>
      <c r="AD23" s="36"/>
      <c r="AE23" s="36"/>
      <c r="AF23" s="36"/>
      <c r="AG23" s="36"/>
      <c r="AH23" s="36"/>
      <c r="AI23" s="36"/>
      <c r="AJ23" s="36"/>
      <c r="AK23" s="36"/>
    </row>
    <row r="24" spans="24:37" x14ac:dyDescent="0.25">
      <c r="X24" s="33"/>
      <c r="Z24" s="36"/>
      <c r="AA24" s="36"/>
      <c r="AB24" s="36"/>
      <c r="AC24" s="36"/>
      <c r="AD24" s="36"/>
      <c r="AE24" s="36"/>
      <c r="AF24" s="36"/>
      <c r="AG24" s="36"/>
      <c r="AH24" s="36"/>
      <c r="AI24" s="36"/>
      <c r="AJ24" s="36"/>
      <c r="AK24" s="36"/>
    </row>
    <row r="25" spans="24:37" x14ac:dyDescent="0.25">
      <c r="X25" s="33"/>
      <c r="Z25" s="36"/>
      <c r="AA25" s="36"/>
      <c r="AB25" s="36"/>
      <c r="AC25" s="36"/>
      <c r="AD25" s="36"/>
      <c r="AE25" s="36"/>
      <c r="AF25" s="36"/>
      <c r="AG25" s="36"/>
      <c r="AH25" s="36"/>
      <c r="AI25" s="38"/>
      <c r="AJ25" s="38"/>
      <c r="AK25" s="38"/>
    </row>
    <row r="26" spans="24:37" x14ac:dyDescent="0.25">
      <c r="X26" s="33"/>
      <c r="Y26" s="33"/>
      <c r="Z26" s="38"/>
      <c r="AA26" s="38"/>
      <c r="AB26" s="38"/>
      <c r="AC26" s="38"/>
      <c r="AD26" s="38"/>
      <c r="AE26" s="38"/>
      <c r="AF26" s="38"/>
      <c r="AG26" s="38"/>
      <c r="AH26" s="38"/>
      <c r="AI26" s="38"/>
      <c r="AJ26" s="38"/>
      <c r="AK26" s="38"/>
    </row>
    <row r="27" spans="24:37" x14ac:dyDescent="0.25">
      <c r="X27" s="33"/>
      <c r="Y27" s="33"/>
      <c r="Z27" s="38"/>
      <c r="AA27" s="38"/>
      <c r="AB27" s="38"/>
      <c r="AC27" s="38"/>
      <c r="AD27" s="38"/>
      <c r="AE27" s="38"/>
      <c r="AF27" s="38"/>
      <c r="AG27" s="38"/>
      <c r="AH27" s="38"/>
      <c r="AI27" s="38"/>
      <c r="AJ27" s="38"/>
      <c r="AK27" s="38"/>
    </row>
    <row r="28" spans="24:37" x14ac:dyDescent="0.25">
      <c r="X28" s="33"/>
      <c r="Y28" s="33"/>
      <c r="Z28" s="38"/>
      <c r="AA28" s="38"/>
      <c r="AB28" s="38"/>
      <c r="AC28" s="38"/>
      <c r="AD28" s="38"/>
      <c r="AE28" s="38"/>
      <c r="AF28" s="39"/>
      <c r="AG28" s="39"/>
      <c r="AH28" s="39"/>
      <c r="AI28" s="39"/>
      <c r="AJ28" s="39"/>
      <c r="AK28" s="39"/>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P2:AG31"/>
  <sheetViews>
    <sheetView zoomScaleNormal="100" workbookViewId="0"/>
  </sheetViews>
  <sheetFormatPr baseColWidth="10" defaultColWidth="11.42578125" defaultRowHeight="15" x14ac:dyDescent="0.25"/>
  <cols>
    <col min="14" max="14" width="14.42578125" customWidth="1"/>
    <col min="15" max="15" width="8.42578125"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33" x14ac:dyDescent="0.25">
      <c r="P2" s="41"/>
      <c r="Q2" s="41"/>
      <c r="R2" s="41" t="s">
        <v>181</v>
      </c>
      <c r="S2" s="41"/>
      <c r="T2" s="41"/>
      <c r="U2" s="41"/>
      <c r="V2" s="41"/>
      <c r="W2" s="41"/>
      <c r="X2" s="41"/>
      <c r="Y2" s="41"/>
      <c r="Z2" s="41"/>
      <c r="AA2" s="41"/>
      <c r="AB2" s="41"/>
      <c r="AC2" s="41"/>
    </row>
    <row r="3" spans="16:33" x14ac:dyDescent="0.25">
      <c r="P3" s="41"/>
      <c r="Q3" s="41"/>
      <c r="R3" s="44" t="s">
        <v>167</v>
      </c>
      <c r="S3" s="44" t="s">
        <v>168</v>
      </c>
      <c r="T3" s="44" t="s">
        <v>169</v>
      </c>
      <c r="U3" s="44" t="s">
        <v>170</v>
      </c>
      <c r="V3" s="44" t="s">
        <v>171</v>
      </c>
      <c r="W3" s="44" t="s">
        <v>172</v>
      </c>
      <c r="X3" s="44" t="s">
        <v>173</v>
      </c>
      <c r="Y3" s="44" t="s">
        <v>174</v>
      </c>
      <c r="Z3" s="44" t="s">
        <v>175</v>
      </c>
      <c r="AA3" s="44" t="s">
        <v>176</v>
      </c>
      <c r="AB3" s="44" t="s">
        <v>177</v>
      </c>
      <c r="AC3" s="44" t="s">
        <v>178</v>
      </c>
      <c r="AE3" s="142"/>
      <c r="AF3" s="142"/>
      <c r="AG3" s="142"/>
    </row>
    <row r="4" spans="16:33" x14ac:dyDescent="0.25">
      <c r="P4" s="41" t="s">
        <v>179</v>
      </c>
      <c r="Q4" s="41">
        <v>2015</v>
      </c>
      <c r="R4" s="42">
        <v>23.894335000000002</v>
      </c>
      <c r="S4" s="40">
        <v>26.725076999999999</v>
      </c>
      <c r="T4" s="40">
        <v>39.878123000000002</v>
      </c>
      <c r="U4" s="40">
        <v>37.982706499999999</v>
      </c>
      <c r="V4" s="40">
        <v>31.653510000000001</v>
      </c>
      <c r="W4" s="40">
        <v>26.765411</v>
      </c>
      <c r="X4" s="40">
        <v>33.034945800000003</v>
      </c>
      <c r="Y4" s="40">
        <v>30.179402499999998</v>
      </c>
      <c r="Z4" s="40">
        <v>29.328635999999999</v>
      </c>
      <c r="AA4" s="40">
        <v>35.747366999999997</v>
      </c>
      <c r="AB4" s="40">
        <v>40.313033500000003</v>
      </c>
      <c r="AC4" s="40">
        <v>29.540159500000001</v>
      </c>
      <c r="AE4" s="142"/>
      <c r="AF4" s="142"/>
      <c r="AG4" s="142"/>
    </row>
    <row r="5" spans="16:33" x14ac:dyDescent="0.25">
      <c r="P5" s="41" t="s">
        <v>179</v>
      </c>
      <c r="Q5" s="41">
        <v>2016</v>
      </c>
      <c r="R5" s="40">
        <v>28.032295999999999</v>
      </c>
      <c r="S5" s="40">
        <v>37.998857000000001</v>
      </c>
      <c r="T5" s="40">
        <v>45.001544000000003</v>
      </c>
      <c r="U5" s="40">
        <v>32.044817999999999</v>
      </c>
      <c r="V5" s="40">
        <v>42.035262000000003</v>
      </c>
      <c r="W5" s="40">
        <v>29.614543000000001</v>
      </c>
      <c r="X5" s="40">
        <v>28.539489</v>
      </c>
      <c r="Y5" s="40">
        <v>29.201229000000001</v>
      </c>
      <c r="Z5" s="40">
        <v>26.618327000000001</v>
      </c>
      <c r="AA5" s="40">
        <v>33.660097700000001</v>
      </c>
      <c r="AB5" s="40">
        <v>36.299787999999999</v>
      </c>
      <c r="AC5" s="40">
        <v>32.888350000000003</v>
      </c>
      <c r="AE5" s="141"/>
      <c r="AF5" s="141"/>
      <c r="AG5" s="141"/>
    </row>
    <row r="6" spans="16:33" x14ac:dyDescent="0.25">
      <c r="P6" s="41" t="s">
        <v>179</v>
      </c>
      <c r="Q6" s="41">
        <v>2017</v>
      </c>
      <c r="R6" s="40">
        <v>33.244962999999998</v>
      </c>
      <c r="S6" s="40">
        <v>41.224220000000003</v>
      </c>
      <c r="T6" s="40">
        <v>46.657173</v>
      </c>
      <c r="U6" s="40">
        <v>24.931757000000001</v>
      </c>
      <c r="V6" s="40">
        <v>28.070650000000001</v>
      </c>
      <c r="W6" s="40">
        <v>25.626065000000001</v>
      </c>
      <c r="X6" s="40">
        <v>25.743590000000001</v>
      </c>
      <c r="Y6" s="40">
        <v>27.354042499999998</v>
      </c>
      <c r="Z6" s="40">
        <v>28.498519999999999</v>
      </c>
      <c r="AA6" s="40">
        <v>34.343055</v>
      </c>
      <c r="AB6" s="40">
        <v>49.414802000000002</v>
      </c>
      <c r="AC6" s="40">
        <v>28.820663</v>
      </c>
    </row>
    <row r="7" spans="16:33" x14ac:dyDescent="0.25">
      <c r="P7" s="41" t="s">
        <v>179</v>
      </c>
      <c r="Q7" s="41">
        <v>2018</v>
      </c>
      <c r="R7" s="40">
        <v>24.190794</v>
      </c>
      <c r="S7" s="40">
        <v>36.898867000000003</v>
      </c>
      <c r="T7" s="40">
        <v>33.577927600000002</v>
      </c>
      <c r="U7" s="40">
        <v>23.543088000000001</v>
      </c>
      <c r="V7" s="40">
        <v>22.499950999999999</v>
      </c>
      <c r="W7" s="40">
        <v>21.173842</v>
      </c>
      <c r="X7" s="40">
        <v>23.6892</v>
      </c>
      <c r="Y7" s="40">
        <v>26.019528999999999</v>
      </c>
      <c r="Z7" s="40">
        <v>22.325277</v>
      </c>
      <c r="AA7" s="40">
        <v>35.875169999999997</v>
      </c>
      <c r="AB7" s="40">
        <v>23.42604</v>
      </c>
      <c r="AC7" s="40">
        <v>26.281891999999999</v>
      </c>
      <c r="AE7" s="140"/>
      <c r="AF7" s="29"/>
      <c r="AG7" s="173"/>
    </row>
    <row r="8" spans="16:33" x14ac:dyDescent="0.25">
      <c r="P8" s="41" t="s">
        <v>179</v>
      </c>
      <c r="Q8" s="41">
        <v>2019</v>
      </c>
      <c r="R8" s="40">
        <v>36.647542000000001</v>
      </c>
      <c r="S8" s="40">
        <v>28.267375999999999</v>
      </c>
      <c r="T8" s="40">
        <v>30.316281199999999</v>
      </c>
      <c r="U8" s="40">
        <v>34.967151000000001</v>
      </c>
      <c r="V8" s="40">
        <v>35.485151000000002</v>
      </c>
      <c r="W8" s="40">
        <v>22.843698</v>
      </c>
      <c r="X8" s="40">
        <v>25.213455</v>
      </c>
      <c r="Y8" s="40">
        <v>31.659251999999999</v>
      </c>
      <c r="Z8" s="40">
        <v>21.26023</v>
      </c>
      <c r="AA8" s="40">
        <v>22.857903</v>
      </c>
      <c r="AB8" s="40">
        <v>41.516021000000002</v>
      </c>
      <c r="AC8" s="40">
        <v>29.012821750000001</v>
      </c>
      <c r="AE8" s="140"/>
      <c r="AF8" s="29"/>
      <c r="AG8" s="173"/>
    </row>
    <row r="9" spans="16:33" x14ac:dyDescent="0.25">
      <c r="P9" s="41" t="s">
        <v>179</v>
      </c>
      <c r="Q9" s="41">
        <v>2020</v>
      </c>
      <c r="R9" s="40">
        <v>32.460836</v>
      </c>
      <c r="S9" s="40">
        <v>29.799596999999999</v>
      </c>
      <c r="T9" s="40">
        <v>21.215472999999999</v>
      </c>
      <c r="U9" s="40">
        <v>24.236211999999998</v>
      </c>
      <c r="V9" s="40">
        <v>32.192160999999999</v>
      </c>
      <c r="W9" s="40">
        <v>34.304174000000003</v>
      </c>
      <c r="X9" s="40">
        <v>29.601849999999999</v>
      </c>
      <c r="Y9" s="40">
        <v>30.016207000000001</v>
      </c>
      <c r="Z9" s="40">
        <v>27.756694</v>
      </c>
      <c r="AA9" s="40">
        <v>29.623989999999999</v>
      </c>
      <c r="AB9" s="40">
        <v>29.477219000000002</v>
      </c>
      <c r="AC9" s="40">
        <v>18.951732</v>
      </c>
      <c r="AE9" s="196"/>
      <c r="AF9" s="196"/>
    </row>
    <row r="10" spans="16:33" x14ac:dyDescent="0.25">
      <c r="P10" s="41" t="s">
        <v>179</v>
      </c>
      <c r="Q10" s="41">
        <v>2021</v>
      </c>
      <c r="R10" s="40">
        <v>29.491007</v>
      </c>
      <c r="S10" s="40">
        <v>28.33947349</v>
      </c>
      <c r="T10" s="40">
        <v>29.439339</v>
      </c>
      <c r="U10" s="40">
        <v>26.130634000000001</v>
      </c>
      <c r="V10" s="40">
        <v>26.116364000000001</v>
      </c>
      <c r="W10" s="40">
        <v>29.719650999999999</v>
      </c>
      <c r="X10" s="40">
        <v>25.8474983077</v>
      </c>
      <c r="Y10" s="40">
        <v>30.644948420000002</v>
      </c>
      <c r="Z10" s="40">
        <v>30.785739</v>
      </c>
      <c r="AA10" s="40">
        <v>33.801979000000003</v>
      </c>
      <c r="AB10" s="40">
        <v>26.826113500000002</v>
      </c>
      <c r="AC10" s="40">
        <v>35.943184500000001</v>
      </c>
      <c r="AE10" s="196"/>
      <c r="AF10" s="196"/>
    </row>
    <row r="11" spans="16:33" x14ac:dyDescent="0.25">
      <c r="P11" s="41" t="s">
        <v>179</v>
      </c>
      <c r="Q11" s="41">
        <v>2022</v>
      </c>
      <c r="R11" s="40">
        <v>32.011490999999999</v>
      </c>
      <c r="S11" s="40">
        <v>27.487210000000001</v>
      </c>
      <c r="T11" s="40">
        <v>31.292822999999999</v>
      </c>
      <c r="U11" s="40">
        <v>26.601939000000002</v>
      </c>
      <c r="V11" s="40">
        <v>31.955936999999999</v>
      </c>
      <c r="W11" s="40">
        <v>31.153109000000001</v>
      </c>
      <c r="X11" s="40">
        <v>23.427689000000001</v>
      </c>
      <c r="Y11" s="40">
        <v>28.40885608</v>
      </c>
      <c r="Z11" s="40">
        <v>23.712140999999999</v>
      </c>
      <c r="AA11" s="40">
        <v>25.921215</v>
      </c>
      <c r="AB11" s="40">
        <v>22.205815749999999</v>
      </c>
      <c r="AC11" s="40">
        <v>18.67795825</v>
      </c>
    </row>
    <row r="12" spans="16:33" x14ac:dyDescent="0.25">
      <c r="AE12" s="141"/>
    </row>
    <row r="13" spans="16:33" x14ac:dyDescent="0.25">
      <c r="P13" s="41" t="s">
        <v>93</v>
      </c>
      <c r="Q13" s="41">
        <v>2015</v>
      </c>
      <c r="R13" s="42">
        <v>21.5465217</v>
      </c>
      <c r="S13" s="40">
        <v>22.067759500000001</v>
      </c>
      <c r="T13" s="40">
        <v>28.161007190000003</v>
      </c>
      <c r="U13" s="40">
        <v>29.286913349999995</v>
      </c>
      <c r="V13" s="40">
        <v>24.466974109999999</v>
      </c>
      <c r="W13" s="40">
        <v>21.094378489999997</v>
      </c>
      <c r="X13" s="40">
        <v>27.917466600000001</v>
      </c>
      <c r="Y13" s="40">
        <v>23.069595080000003</v>
      </c>
      <c r="Z13" s="40">
        <v>22.003572920000007</v>
      </c>
      <c r="AA13" s="40">
        <v>25.992777389999993</v>
      </c>
      <c r="AB13" s="40">
        <v>26.419099550000002</v>
      </c>
      <c r="AC13" s="40">
        <v>20.448351939999998</v>
      </c>
      <c r="AE13" s="141"/>
    </row>
    <row r="14" spans="16:33" x14ac:dyDescent="0.25">
      <c r="P14" s="41" t="s">
        <v>93</v>
      </c>
      <c r="Q14" s="41">
        <v>2016</v>
      </c>
      <c r="R14" s="40">
        <v>21.243900270000008</v>
      </c>
      <c r="S14" s="40">
        <v>25.537283919999993</v>
      </c>
      <c r="T14" s="40">
        <v>29.751121620000013</v>
      </c>
      <c r="U14" s="40">
        <v>22.691551529999998</v>
      </c>
      <c r="V14" s="40">
        <v>30.456996499999999</v>
      </c>
      <c r="W14" s="40">
        <v>21.137137859999996</v>
      </c>
      <c r="X14" s="40">
        <v>22.691084210000003</v>
      </c>
      <c r="Y14" s="40">
        <v>22.478544449999994</v>
      </c>
      <c r="Z14" s="40">
        <v>21.967254009999994</v>
      </c>
      <c r="AA14" s="40">
        <v>29.17406991999999</v>
      </c>
      <c r="AB14" s="40">
        <v>30.322900480000012</v>
      </c>
      <c r="AC14" s="40">
        <v>25.775629440000014</v>
      </c>
    </row>
    <row r="15" spans="16:33" x14ac:dyDescent="0.25">
      <c r="P15" s="41" t="s">
        <v>93</v>
      </c>
      <c r="Q15" s="41">
        <v>2017</v>
      </c>
      <c r="R15" s="40">
        <v>27.08903862</v>
      </c>
      <c r="S15" s="40">
        <v>33.421187840000002</v>
      </c>
      <c r="T15" s="40">
        <v>37.631889610000002</v>
      </c>
      <c r="U15" s="40">
        <v>19.037563559999999</v>
      </c>
      <c r="V15" s="40">
        <v>23.61246186</v>
      </c>
      <c r="W15" s="40">
        <v>21.718983949999998</v>
      </c>
      <c r="X15" s="40">
        <v>23.037928380000004</v>
      </c>
      <c r="Y15" s="40">
        <v>23.61365163</v>
      </c>
      <c r="Z15" s="40">
        <v>23.795012529999997</v>
      </c>
      <c r="AA15" s="40">
        <v>32.063150279999995</v>
      </c>
      <c r="AB15" s="40">
        <v>46.476538609999984</v>
      </c>
      <c r="AC15" s="40">
        <v>28.631947100000001</v>
      </c>
    </row>
    <row r="16" spans="16:33" x14ac:dyDescent="0.25">
      <c r="P16" s="41" t="s">
        <v>93</v>
      </c>
      <c r="Q16" s="41">
        <v>2018</v>
      </c>
      <c r="R16" s="40">
        <v>23.199343199999998</v>
      </c>
      <c r="S16" s="40">
        <v>37.287744709999998</v>
      </c>
      <c r="T16" s="40">
        <v>34.509150090000006</v>
      </c>
      <c r="U16" s="40">
        <v>22.599449629999999</v>
      </c>
      <c r="V16" s="40">
        <v>23.385019660000001</v>
      </c>
      <c r="W16" s="40">
        <v>22.01277438</v>
      </c>
      <c r="X16" s="40">
        <v>24.736452030000002</v>
      </c>
      <c r="Y16" s="40">
        <v>25.59808649</v>
      </c>
      <c r="Z16" s="40">
        <v>26.536883809999999</v>
      </c>
      <c r="AA16" s="40">
        <v>38.558109869999996</v>
      </c>
      <c r="AB16" s="40">
        <v>24.321291989999999</v>
      </c>
      <c r="AC16" s="40">
        <v>25.081602329999999</v>
      </c>
    </row>
    <row r="17" spans="16:33" x14ac:dyDescent="0.25">
      <c r="P17" s="41" t="s">
        <v>182</v>
      </c>
      <c r="Q17" s="41">
        <v>2019</v>
      </c>
      <c r="R17" s="42">
        <v>38.327187719999991</v>
      </c>
      <c r="S17" s="42">
        <v>26.6031355</v>
      </c>
      <c r="T17" s="42">
        <v>31.976685090000004</v>
      </c>
      <c r="U17" s="42">
        <v>29.749902319999997</v>
      </c>
      <c r="V17" s="42">
        <v>39.303867290000007</v>
      </c>
      <c r="W17" s="43">
        <v>19.988906280000005</v>
      </c>
      <c r="X17" s="42">
        <v>22.277958459999994</v>
      </c>
      <c r="Y17" s="42">
        <v>27.316494359999993</v>
      </c>
      <c r="Z17" s="42">
        <v>19.081644840000003</v>
      </c>
      <c r="AA17" s="42">
        <v>20.346365410000008</v>
      </c>
      <c r="AB17" s="42">
        <v>36.333882450000004</v>
      </c>
      <c r="AC17" s="42">
        <v>24.749237379999993</v>
      </c>
    </row>
    <row r="18" spans="16:33" x14ac:dyDescent="0.25">
      <c r="P18" s="41" t="s">
        <v>182</v>
      </c>
      <c r="Q18" s="41">
        <v>2020</v>
      </c>
      <c r="R18" s="42">
        <v>28.110058459999998</v>
      </c>
      <c r="S18" s="42">
        <v>25.447776709999999</v>
      </c>
      <c r="T18" s="42">
        <v>18.193960500000003</v>
      </c>
      <c r="U18" s="42">
        <v>19.418683090000002</v>
      </c>
      <c r="V18" s="42">
        <v>26.132039529999997</v>
      </c>
      <c r="W18" s="43">
        <v>28.73873690000001</v>
      </c>
      <c r="X18" s="42">
        <v>25.325534799999996</v>
      </c>
      <c r="Y18" s="42">
        <v>24.323994080000002</v>
      </c>
      <c r="Z18" s="42">
        <v>21.711987110000003</v>
      </c>
      <c r="AA18" s="42">
        <v>23.921117810000002</v>
      </c>
      <c r="AB18" s="42">
        <v>22.806605150000003</v>
      </c>
      <c r="AC18" s="42">
        <v>27.969808269999998</v>
      </c>
      <c r="AE18" s="141"/>
      <c r="AF18" s="141"/>
      <c r="AG18" s="141"/>
    </row>
    <row r="19" spans="16:33" x14ac:dyDescent="0.25">
      <c r="P19" s="42" t="s">
        <v>93</v>
      </c>
      <c r="Q19" s="41">
        <v>2021</v>
      </c>
      <c r="R19" s="42">
        <v>24.06928783</v>
      </c>
      <c r="S19" s="42">
        <v>24.209827790000002</v>
      </c>
      <c r="T19" s="42">
        <v>26.39333293000001</v>
      </c>
      <c r="U19" s="42">
        <v>22.451203769999992</v>
      </c>
      <c r="V19" s="42">
        <v>24.298061509999986</v>
      </c>
      <c r="W19" s="42">
        <v>29.496481510000006</v>
      </c>
      <c r="X19" s="42">
        <v>21.608525190000005</v>
      </c>
      <c r="Y19" s="42">
        <v>25.697983490000002</v>
      </c>
      <c r="Z19" s="42">
        <v>27.428050939999988</v>
      </c>
      <c r="AA19" s="42">
        <v>28.973097999999997</v>
      </c>
      <c r="AB19" s="42">
        <v>23.483420579999997</v>
      </c>
      <c r="AC19" s="42">
        <v>30.651122740000005</v>
      </c>
    </row>
    <row r="20" spans="16:33" x14ac:dyDescent="0.25">
      <c r="P20" s="41" t="s">
        <v>182</v>
      </c>
      <c r="Q20" s="41">
        <v>2022</v>
      </c>
      <c r="R20" s="42">
        <v>29.74286888</v>
      </c>
      <c r="S20" s="42">
        <v>25.084364389999998</v>
      </c>
      <c r="T20" s="42">
        <v>30.897358090000001</v>
      </c>
      <c r="U20" s="42">
        <v>24.62867653</v>
      </c>
      <c r="V20" s="42">
        <v>27.280522950000002</v>
      </c>
      <c r="W20" s="42">
        <v>29.875025359999995</v>
      </c>
      <c r="X20" s="42">
        <v>22.97010165</v>
      </c>
      <c r="Y20" s="42">
        <v>27.608812719999996</v>
      </c>
      <c r="Z20" s="42">
        <v>21.381076460000006</v>
      </c>
      <c r="AA20" s="42">
        <v>23.285519730000001</v>
      </c>
      <c r="AB20" s="42">
        <v>20.151447709999999</v>
      </c>
      <c r="AC20" s="42">
        <v>16.284803140000005</v>
      </c>
    </row>
    <row r="22" spans="16:33" x14ac:dyDescent="0.25">
      <c r="P22" s="42"/>
      <c r="Q22" s="41"/>
      <c r="R22" s="41" t="s">
        <v>180</v>
      </c>
      <c r="S22" s="41"/>
      <c r="T22" s="41"/>
      <c r="U22" s="41"/>
      <c r="V22" s="41"/>
      <c r="W22" s="41"/>
      <c r="X22" s="41"/>
      <c r="Y22" s="41"/>
      <c r="Z22" s="41"/>
      <c r="AA22" s="41"/>
      <c r="AB22" s="41"/>
      <c r="AC22" s="41"/>
    </row>
    <row r="23" spans="16:33" x14ac:dyDescent="0.25">
      <c r="P23" s="41"/>
      <c r="Q23" s="41"/>
      <c r="R23" s="41" t="s">
        <v>167</v>
      </c>
      <c r="S23" s="41" t="s">
        <v>168</v>
      </c>
      <c r="T23" s="41" t="s">
        <v>169</v>
      </c>
      <c r="U23" s="41" t="s">
        <v>170</v>
      </c>
      <c r="V23" s="41" t="s">
        <v>171</v>
      </c>
      <c r="W23" s="41" t="s">
        <v>172</v>
      </c>
      <c r="X23" s="41" t="s">
        <v>173</v>
      </c>
      <c r="Y23" s="41" t="s">
        <v>174</v>
      </c>
      <c r="Z23" s="41" t="s">
        <v>175</v>
      </c>
      <c r="AA23" s="41" t="s">
        <v>176</v>
      </c>
      <c r="AB23" s="41" t="s">
        <v>177</v>
      </c>
      <c r="AC23" s="41" t="s">
        <v>178</v>
      </c>
    </row>
    <row r="24" spans="16:33" x14ac:dyDescent="0.25">
      <c r="P24" s="41"/>
      <c r="Q24" s="41">
        <v>2015</v>
      </c>
      <c r="R24" s="43">
        <f t="shared" ref="R24:AC24" si="0">R13/R4</f>
        <v>0.90174184383034717</v>
      </c>
      <c r="S24" s="43">
        <f t="shared" si="0"/>
        <v>0.82573230752525062</v>
      </c>
      <c r="T24" s="43">
        <f t="shared" si="0"/>
        <v>0.70617684764150013</v>
      </c>
      <c r="U24" s="43">
        <f t="shared" si="0"/>
        <v>0.77105914898402506</v>
      </c>
      <c r="V24" s="43">
        <f t="shared" si="0"/>
        <v>0.77296243323410263</v>
      </c>
      <c r="W24" s="43">
        <f t="shared" si="0"/>
        <v>0.78812085082496941</v>
      </c>
      <c r="X24" s="43">
        <f t="shared" si="0"/>
        <v>0.84508891793005447</v>
      </c>
      <c r="Y24" s="43">
        <f t="shared" si="0"/>
        <v>0.76441523585498439</v>
      </c>
      <c r="Z24" s="43">
        <f t="shared" si="0"/>
        <v>0.75024194510784636</v>
      </c>
      <c r="AA24" s="43">
        <f t="shared" si="0"/>
        <v>0.72712424917896734</v>
      </c>
      <c r="AB24" s="43">
        <f t="shared" si="0"/>
        <v>0.65534883525944532</v>
      </c>
      <c r="AC24" s="43">
        <f t="shared" si="0"/>
        <v>0.6922221235806123</v>
      </c>
    </row>
    <row r="25" spans="16:33" x14ac:dyDescent="0.25">
      <c r="P25" s="41"/>
      <c r="Q25" s="41">
        <v>2016</v>
      </c>
      <c r="R25" s="43">
        <f t="shared" ref="R25:AC25" si="1">R14/R5</f>
        <v>0.75783661352605614</v>
      </c>
      <c r="S25" s="43">
        <f t="shared" si="1"/>
        <v>0.67205400204537713</v>
      </c>
      <c r="T25" s="43">
        <f t="shared" si="1"/>
        <v>0.66111335246630676</v>
      </c>
      <c r="U25" s="43">
        <f t="shared" si="1"/>
        <v>0.70811922008731643</v>
      </c>
      <c r="V25" s="43">
        <f t="shared" si="1"/>
        <v>0.72455826491577469</v>
      </c>
      <c r="W25" s="43">
        <f t="shared" si="1"/>
        <v>0.71374182137472097</v>
      </c>
      <c r="X25" s="43">
        <f t="shared" si="1"/>
        <v>0.79507675172460179</v>
      </c>
      <c r="Y25" s="43">
        <f t="shared" si="1"/>
        <v>0.76978076676156315</v>
      </c>
      <c r="Z25" s="43">
        <f t="shared" si="1"/>
        <v>0.82526801966179142</v>
      </c>
      <c r="AA25" s="43">
        <f t="shared" si="1"/>
        <v>0.86672564589733758</v>
      </c>
      <c r="AB25" s="43">
        <f t="shared" si="1"/>
        <v>0.83534648962688196</v>
      </c>
      <c r="AC25" s="43">
        <f t="shared" si="1"/>
        <v>0.78373130424603277</v>
      </c>
    </row>
    <row r="26" spans="16:33" x14ac:dyDescent="0.25">
      <c r="P26" s="41"/>
      <c r="Q26" s="41">
        <v>2017</v>
      </c>
      <c r="R26" s="43">
        <f t="shared" ref="R26:AC26" si="2">R15/R6</f>
        <v>0.81483136618320195</v>
      </c>
      <c r="S26" s="43">
        <f t="shared" si="2"/>
        <v>0.81071728804086529</v>
      </c>
      <c r="T26" s="43">
        <f t="shared" si="2"/>
        <v>0.80656171795920861</v>
      </c>
      <c r="U26" s="43">
        <f t="shared" si="2"/>
        <v>0.76358692088969093</v>
      </c>
      <c r="V26" s="43">
        <f t="shared" si="2"/>
        <v>0.84117973256764622</v>
      </c>
      <c r="W26" s="43">
        <f t="shared" si="2"/>
        <v>0.84753488098933638</v>
      </c>
      <c r="X26" s="43">
        <f t="shared" si="2"/>
        <v>0.89489959947311171</v>
      </c>
      <c r="Y26" s="43">
        <f t="shared" si="2"/>
        <v>0.86326003295490972</v>
      </c>
      <c r="Z26" s="43">
        <f t="shared" si="2"/>
        <v>0.83495607947360062</v>
      </c>
      <c r="AA26" s="43">
        <f t="shared" si="2"/>
        <v>0.93361380576072794</v>
      </c>
      <c r="AB26" s="43">
        <f t="shared" si="2"/>
        <v>0.94053880070186224</v>
      </c>
      <c r="AC26" s="43">
        <f t="shared" si="2"/>
        <v>0.99345206250112994</v>
      </c>
    </row>
    <row r="27" spans="16:33" x14ac:dyDescent="0.25">
      <c r="P27" s="41"/>
      <c r="Q27" s="41">
        <v>2018</v>
      </c>
      <c r="R27" s="43">
        <f t="shared" ref="R27:AC27" si="3">R16/R7</f>
        <v>0.95901536758156836</v>
      </c>
      <c r="S27" s="43">
        <f t="shared" si="3"/>
        <v>1.010539014924225</v>
      </c>
      <c r="T27" s="43">
        <f t="shared" si="3"/>
        <v>1.0277331734433783</v>
      </c>
      <c r="U27" s="43">
        <f t="shared" si="3"/>
        <v>0.95991866614948718</v>
      </c>
      <c r="V27" s="43">
        <f t="shared" si="3"/>
        <v>1.0393364705549804</v>
      </c>
      <c r="W27" s="43">
        <f t="shared" si="3"/>
        <v>1.039621169365484</v>
      </c>
      <c r="X27" s="43">
        <f t="shared" si="3"/>
        <v>1.0442079947824325</v>
      </c>
      <c r="Y27" s="43">
        <f t="shared" si="3"/>
        <v>0.98380283862940032</v>
      </c>
      <c r="Z27" s="43">
        <f t="shared" si="3"/>
        <v>1.1886474604548019</v>
      </c>
      <c r="AA27" s="43">
        <f t="shared" si="3"/>
        <v>1.074785425964532</v>
      </c>
      <c r="AB27" s="43">
        <f t="shared" si="3"/>
        <v>1.0382161043864007</v>
      </c>
      <c r="AC27" s="43">
        <f t="shared" si="3"/>
        <v>0.95433016504291246</v>
      </c>
    </row>
    <row r="28" spans="16:33" x14ac:dyDescent="0.25">
      <c r="P28" s="41"/>
      <c r="Q28" s="41">
        <v>2019</v>
      </c>
      <c r="R28" s="43">
        <f t="shared" ref="R28:AC28" si="4">R17/R8</f>
        <v>1.0458324249959243</v>
      </c>
      <c r="S28" s="43">
        <f t="shared" si="4"/>
        <v>0.94112504464510616</v>
      </c>
      <c r="T28" s="43">
        <f t="shared" si="4"/>
        <v>1.0547693788379298</v>
      </c>
      <c r="U28" s="43">
        <f t="shared" si="4"/>
        <v>0.85079571738629767</v>
      </c>
      <c r="V28" s="43">
        <f t="shared" si="4"/>
        <v>1.1076144861268873</v>
      </c>
      <c r="W28" s="43">
        <f t="shared" si="4"/>
        <v>0.87502935295327422</v>
      </c>
      <c r="X28" s="43">
        <f t="shared" si="4"/>
        <v>0.8835742051218286</v>
      </c>
      <c r="Y28" s="43">
        <f t="shared" si="4"/>
        <v>0.862828166628826</v>
      </c>
      <c r="Z28" s="43">
        <f t="shared" si="4"/>
        <v>0.89752767679371304</v>
      </c>
      <c r="AA28" s="43">
        <f t="shared" si="4"/>
        <v>0.8901238845050663</v>
      </c>
      <c r="AB28" s="43">
        <f t="shared" si="4"/>
        <v>0.87517737911347526</v>
      </c>
      <c r="AC28" s="43">
        <f t="shared" si="4"/>
        <v>0.8530448225016235</v>
      </c>
    </row>
    <row r="29" spans="16:33" x14ac:dyDescent="0.25">
      <c r="Q29" s="41">
        <v>2020</v>
      </c>
      <c r="R29" s="43">
        <f t="shared" ref="R29:AC29" si="5">R18/R9</f>
        <v>0.86596840759122773</v>
      </c>
      <c r="S29" s="43">
        <f t="shared" si="5"/>
        <v>0.85396378716128274</v>
      </c>
      <c r="T29" s="43">
        <f t="shared" si="5"/>
        <v>0.85757977208427094</v>
      </c>
      <c r="U29" s="43">
        <f t="shared" si="5"/>
        <v>0.80122599563001029</v>
      </c>
      <c r="V29" s="43">
        <f t="shared" si="5"/>
        <v>0.81175164133902034</v>
      </c>
      <c r="W29" s="43">
        <f t="shared" si="5"/>
        <v>0.83776210148654229</v>
      </c>
      <c r="X29" s="43">
        <f t="shared" si="5"/>
        <v>0.85553892070934745</v>
      </c>
      <c r="Y29" s="43">
        <f t="shared" si="5"/>
        <v>0.81036201809242592</v>
      </c>
      <c r="Z29" s="43">
        <f t="shared" si="5"/>
        <v>0.7822252574460058</v>
      </c>
      <c r="AA29" s="43">
        <f t="shared" si="5"/>
        <v>0.80749142198603241</v>
      </c>
      <c r="AB29" s="43">
        <f t="shared" si="5"/>
        <v>0.77370274142889806</v>
      </c>
      <c r="AC29" s="43">
        <f t="shared" si="5"/>
        <v>1.4758444383869505</v>
      </c>
    </row>
    <row r="30" spans="16:33" x14ac:dyDescent="0.25">
      <c r="Q30" s="41">
        <v>2021</v>
      </c>
      <c r="R30" s="43">
        <f t="shared" ref="R30:AC30" si="6">R19/R10</f>
        <v>0.81615686537933418</v>
      </c>
      <c r="S30" s="43">
        <f t="shared" si="6"/>
        <v>0.85427937814521493</v>
      </c>
      <c r="T30" s="43">
        <f t="shared" si="6"/>
        <v>0.89653279681313536</v>
      </c>
      <c r="U30" s="43">
        <f t="shared" si="6"/>
        <v>0.85919093160923654</v>
      </c>
      <c r="V30" s="43">
        <f t="shared" si="6"/>
        <v>0.93037688975387178</v>
      </c>
      <c r="W30" s="43">
        <f t="shared" si="6"/>
        <v>0.99249084418925404</v>
      </c>
      <c r="X30" s="43">
        <f t="shared" si="6"/>
        <v>0.83600064241276306</v>
      </c>
      <c r="Y30" s="43">
        <f t="shared" si="6"/>
        <v>0.83857160200761072</v>
      </c>
      <c r="Z30" s="43">
        <f t="shared" si="6"/>
        <v>0.89093365405326108</v>
      </c>
      <c r="AA30" s="43">
        <f t="shared" si="6"/>
        <v>0.85714206259935233</v>
      </c>
      <c r="AB30" s="43">
        <f t="shared" si="6"/>
        <v>0.87539406630781591</v>
      </c>
      <c r="AC30" s="43">
        <f t="shared" si="6"/>
        <v>0.85276591838989679</v>
      </c>
    </row>
    <row r="31" spans="16:33" x14ac:dyDescent="0.25">
      <c r="Q31" s="41">
        <v>2022</v>
      </c>
      <c r="R31" s="43">
        <f>R20/R11</f>
        <v>0.92913100736232501</v>
      </c>
      <c r="S31" s="43">
        <f>S20/S11</f>
        <v>0.91258313921274647</v>
      </c>
      <c r="T31" s="43">
        <f>T20/T11</f>
        <v>0.9873624405826219</v>
      </c>
      <c r="U31" s="43">
        <f>U20/U11</f>
        <v>0.9258226075174445</v>
      </c>
      <c r="V31" s="43">
        <f>V20/V11</f>
        <v>0.85369184918595886</v>
      </c>
      <c r="W31" s="43">
        <f t="shared" ref="W31:AC31" si="7">W20/W11</f>
        <v>0.95897412229386136</v>
      </c>
      <c r="X31" s="43">
        <f t="shared" si="7"/>
        <v>0.98046809695996906</v>
      </c>
      <c r="Y31" s="43">
        <f t="shared" si="7"/>
        <v>0.97183824094335014</v>
      </c>
      <c r="Z31" s="43">
        <f t="shared" si="7"/>
        <v>0.90169320686816123</v>
      </c>
      <c r="AA31" s="43">
        <f t="shared" si="7"/>
        <v>0.89831899199169485</v>
      </c>
      <c r="AB31" s="43">
        <f t="shared" si="7"/>
        <v>0.90748513528488595</v>
      </c>
      <c r="AC31" s="43">
        <f t="shared" si="7"/>
        <v>0.87187276692836624</v>
      </c>
    </row>
  </sheetData>
  <phoneticPr fontId="58" type="noConversion"/>
  <pageMargins left="1" right="1" top="1" bottom="1" header="0.5" footer="0.5"/>
  <pageSetup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93269-4246-42C8-8932-44AF972E24C1}">
  <dimension ref="P1:AC15"/>
  <sheetViews>
    <sheetView workbookViewId="0"/>
  </sheetViews>
  <sheetFormatPr baseColWidth="10" defaultRowHeight="15" x14ac:dyDescent="0.25"/>
  <sheetData>
    <row r="1" spans="16:29" x14ac:dyDescent="0.25">
      <c r="P1" s="33"/>
      <c r="Q1" s="33"/>
      <c r="R1" s="33" t="s">
        <v>167</v>
      </c>
      <c r="S1" s="33" t="s">
        <v>168</v>
      </c>
      <c r="T1" s="33" t="s">
        <v>169</v>
      </c>
      <c r="U1" s="33" t="s">
        <v>170</v>
      </c>
      <c r="V1" s="33" t="s">
        <v>171</v>
      </c>
      <c r="W1" s="33" t="s">
        <v>172</v>
      </c>
      <c r="X1" s="33" t="s">
        <v>173</v>
      </c>
      <c r="Y1" s="33" t="s">
        <v>174</v>
      </c>
      <c r="Z1" s="33" t="s">
        <v>175</v>
      </c>
      <c r="AA1" s="33" t="s">
        <v>176</v>
      </c>
      <c r="AB1" s="33" t="s">
        <v>177</v>
      </c>
      <c r="AC1" s="33" t="s">
        <v>178</v>
      </c>
    </row>
    <row r="2" spans="16:29" x14ac:dyDescent="0.25">
      <c r="P2" s="33" t="s">
        <v>179</v>
      </c>
      <c r="Q2" s="33">
        <v>2022</v>
      </c>
      <c r="R2" s="271">
        <v>283.85000000000002</v>
      </c>
      <c r="S2" s="271">
        <v>192.25</v>
      </c>
      <c r="T2" s="271">
        <v>216.4</v>
      </c>
      <c r="U2" s="271">
        <v>48.05</v>
      </c>
      <c r="V2" s="271">
        <v>216.25</v>
      </c>
      <c r="W2" s="271">
        <v>102.1</v>
      </c>
      <c r="X2" s="271">
        <v>142.19999999999999</v>
      </c>
      <c r="Y2" s="271">
        <v>24</v>
      </c>
      <c r="Z2" s="271">
        <v>240.15</v>
      </c>
      <c r="AA2" s="271">
        <v>192.2</v>
      </c>
      <c r="AB2" s="271">
        <v>227.3</v>
      </c>
      <c r="AC2" s="271">
        <v>120.2</v>
      </c>
    </row>
    <row r="3" spans="16:29" x14ac:dyDescent="0.25">
      <c r="P3" s="33" t="s">
        <v>179</v>
      </c>
      <c r="Q3" s="33">
        <v>2023</v>
      </c>
      <c r="R3" s="271">
        <f t="shared" ref="R3" si="0">AF3/1000</f>
        <v>0</v>
      </c>
      <c r="S3" s="271">
        <f t="shared" ref="S3:AC3" si="1">AG3/1000</f>
        <v>0</v>
      </c>
      <c r="T3" s="271">
        <f t="shared" si="1"/>
        <v>0</v>
      </c>
      <c r="U3" s="271">
        <f t="shared" si="1"/>
        <v>0</v>
      </c>
      <c r="V3" s="271">
        <f t="shared" si="1"/>
        <v>0</v>
      </c>
      <c r="W3" s="271">
        <f t="shared" si="1"/>
        <v>0</v>
      </c>
      <c r="X3" s="271">
        <f t="shared" si="1"/>
        <v>0</v>
      </c>
      <c r="Y3" s="271">
        <f t="shared" si="1"/>
        <v>0</v>
      </c>
      <c r="Z3" s="271">
        <f t="shared" si="1"/>
        <v>0</v>
      </c>
      <c r="AA3" s="271">
        <f t="shared" si="1"/>
        <v>0</v>
      </c>
      <c r="AB3" s="271">
        <f t="shared" si="1"/>
        <v>0</v>
      </c>
      <c r="AC3" s="271">
        <f t="shared" si="1"/>
        <v>0</v>
      </c>
    </row>
    <row r="4" spans="16:29" x14ac:dyDescent="0.25">
      <c r="P4" s="13"/>
      <c r="Q4" s="13"/>
      <c r="R4" s="270"/>
      <c r="S4" s="270"/>
      <c r="T4" s="270"/>
      <c r="U4" s="270"/>
      <c r="V4" s="270"/>
      <c r="W4" s="270"/>
      <c r="X4" s="270"/>
      <c r="Y4" s="270"/>
      <c r="Z4" s="270"/>
      <c r="AA4" s="270"/>
      <c r="AB4" s="87"/>
      <c r="AC4" s="87"/>
    </row>
    <row r="5" spans="16:29" x14ac:dyDescent="0.25">
      <c r="P5" s="33" t="s">
        <v>93</v>
      </c>
      <c r="Q5" s="33">
        <v>2022</v>
      </c>
      <c r="R5" s="269">
        <v>655.51740000000007</v>
      </c>
      <c r="S5" s="269">
        <v>273.19041000000004</v>
      </c>
      <c r="T5" s="269">
        <v>435.46996999999999</v>
      </c>
      <c r="U5" s="269">
        <v>71.995130000000003</v>
      </c>
      <c r="V5" s="269">
        <v>338.74941999999999</v>
      </c>
      <c r="W5" s="269">
        <v>247.61694</v>
      </c>
      <c r="X5" s="269">
        <v>264.81127000000004</v>
      </c>
      <c r="Y5" s="269">
        <v>37.864080000000001</v>
      </c>
      <c r="Z5" s="269">
        <v>274.43976000000004</v>
      </c>
      <c r="AA5" s="269">
        <v>336.40093000000002</v>
      </c>
      <c r="AB5" s="269">
        <v>394.92884999999995</v>
      </c>
      <c r="AC5" s="269">
        <v>196.89174000000003</v>
      </c>
    </row>
    <row r="6" spans="16:29" x14ac:dyDescent="0.25">
      <c r="P6" s="33" t="s">
        <v>93</v>
      </c>
      <c r="Q6" s="33">
        <v>2023</v>
      </c>
      <c r="R6" s="269">
        <f t="shared" ref="R6" si="2">AF6/1000</f>
        <v>0</v>
      </c>
      <c r="S6" s="269">
        <f t="shared" ref="S6:AC6" si="3">AG6/1000</f>
        <v>0</v>
      </c>
      <c r="T6" s="269">
        <f t="shared" si="3"/>
        <v>0</v>
      </c>
      <c r="U6" s="269">
        <f t="shared" si="3"/>
        <v>0</v>
      </c>
      <c r="V6" s="269">
        <f t="shared" si="3"/>
        <v>0</v>
      </c>
      <c r="W6" s="269">
        <f t="shared" si="3"/>
        <v>0</v>
      </c>
      <c r="X6" s="269">
        <f t="shared" si="3"/>
        <v>0</v>
      </c>
      <c r="Y6" s="269">
        <f t="shared" si="3"/>
        <v>0</v>
      </c>
      <c r="Z6" s="269">
        <f t="shared" si="3"/>
        <v>0</v>
      </c>
      <c r="AA6" s="269">
        <f t="shared" si="3"/>
        <v>0</v>
      </c>
      <c r="AB6" s="269">
        <f t="shared" si="3"/>
        <v>0</v>
      </c>
      <c r="AC6" s="269">
        <f t="shared" si="3"/>
        <v>0</v>
      </c>
    </row>
    <row r="7" spans="16:29" x14ac:dyDescent="0.25">
      <c r="P7" s="13"/>
      <c r="Q7" s="13"/>
      <c r="R7" s="270"/>
      <c r="S7" s="270"/>
      <c r="T7" s="270"/>
      <c r="U7" s="270"/>
      <c r="V7" s="270"/>
      <c r="W7" s="270"/>
      <c r="X7" s="270"/>
      <c r="Y7" s="270"/>
      <c r="Z7" s="270"/>
      <c r="AA7" s="270"/>
      <c r="AB7" s="87"/>
      <c r="AC7" s="87"/>
    </row>
    <row r="8" spans="16:29" x14ac:dyDescent="0.25">
      <c r="P8" s="33" t="s">
        <v>180</v>
      </c>
      <c r="Q8" s="33"/>
      <c r="R8" s="13"/>
      <c r="S8" s="33"/>
      <c r="T8" s="33"/>
      <c r="U8" s="33"/>
      <c r="V8" s="33"/>
      <c r="W8" s="33"/>
      <c r="X8" s="33"/>
      <c r="Y8" s="33"/>
      <c r="Z8" s="33"/>
      <c r="AA8" s="34"/>
      <c r="AB8" s="34"/>
      <c r="AC8" s="33"/>
    </row>
    <row r="9" spans="16:29" x14ac:dyDescent="0.25">
      <c r="P9" s="34"/>
      <c r="Q9" s="33"/>
      <c r="R9" s="33" t="s">
        <v>167</v>
      </c>
      <c r="S9" s="33" t="s">
        <v>168</v>
      </c>
      <c r="T9" s="33" t="s">
        <v>169</v>
      </c>
      <c r="U9" s="33" t="s">
        <v>170</v>
      </c>
      <c r="V9" s="33" t="s">
        <v>171</v>
      </c>
      <c r="W9" s="33" t="s">
        <v>172</v>
      </c>
      <c r="X9" s="33" t="s">
        <v>173</v>
      </c>
      <c r="Y9" s="33" t="s">
        <v>174</v>
      </c>
      <c r="Z9" s="33" t="s">
        <v>175</v>
      </c>
      <c r="AA9" s="33" t="s">
        <v>176</v>
      </c>
      <c r="AB9" s="33" t="s">
        <v>177</v>
      </c>
      <c r="AC9" s="33" t="s">
        <v>178</v>
      </c>
    </row>
    <row r="10" spans="16:29" x14ac:dyDescent="0.25">
      <c r="P10" s="36"/>
      <c r="Q10" s="33">
        <v>2022</v>
      </c>
      <c r="R10" s="36">
        <f t="shared" ref="R10:AC10" si="4">R5/R2</f>
        <v>2.3093796019024131</v>
      </c>
      <c r="S10" s="36">
        <f t="shared" si="4"/>
        <v>1.4210164369310796</v>
      </c>
      <c r="T10" s="36">
        <f t="shared" si="4"/>
        <v>2.012338123844732</v>
      </c>
      <c r="U10" s="36">
        <f t="shared" si="4"/>
        <v>1.4983377731529659</v>
      </c>
      <c r="V10" s="36">
        <f t="shared" si="4"/>
        <v>1.5664713063583815</v>
      </c>
      <c r="W10" s="36">
        <f t="shared" si="4"/>
        <v>2.4252393731635653</v>
      </c>
      <c r="X10" s="36">
        <f t="shared" si="4"/>
        <v>1.8622452180028133</v>
      </c>
      <c r="Y10" s="36">
        <f t="shared" si="4"/>
        <v>1.5776700000000001</v>
      </c>
      <c r="Z10" s="36">
        <f t="shared" si="4"/>
        <v>1.1427847595252969</v>
      </c>
      <c r="AA10" s="36">
        <f t="shared" si="4"/>
        <v>1.7502649843912592</v>
      </c>
      <c r="AB10" s="36">
        <f t="shared" si="4"/>
        <v>1.7374784425868892</v>
      </c>
      <c r="AC10" s="36">
        <f t="shared" si="4"/>
        <v>1.6380344425956741</v>
      </c>
    </row>
    <row r="11" spans="16:29" x14ac:dyDescent="0.25">
      <c r="P11" s="37"/>
      <c r="Q11" s="33">
        <v>2023</v>
      </c>
      <c r="R11" s="36" t="e">
        <f t="shared" ref="R11:AC11" si="5">R6/R3</f>
        <v>#DIV/0!</v>
      </c>
      <c r="S11" s="36" t="e">
        <f t="shared" si="5"/>
        <v>#DIV/0!</v>
      </c>
      <c r="T11" s="36" t="e">
        <f t="shared" si="5"/>
        <v>#DIV/0!</v>
      </c>
      <c r="U11" s="36" t="e">
        <f t="shared" si="5"/>
        <v>#DIV/0!</v>
      </c>
      <c r="V11" s="36" t="e">
        <f t="shared" si="5"/>
        <v>#DIV/0!</v>
      </c>
      <c r="W11" s="36" t="e">
        <f t="shared" si="5"/>
        <v>#DIV/0!</v>
      </c>
      <c r="X11" s="36" t="e">
        <f t="shared" si="5"/>
        <v>#DIV/0!</v>
      </c>
      <c r="Y11" s="36" t="e">
        <f t="shared" si="5"/>
        <v>#DIV/0!</v>
      </c>
      <c r="Z11" s="36" t="e">
        <f t="shared" si="5"/>
        <v>#DIV/0!</v>
      </c>
      <c r="AA11" s="36" t="e">
        <f t="shared" si="5"/>
        <v>#DIV/0!</v>
      </c>
      <c r="AB11" s="36" t="e">
        <f t="shared" si="5"/>
        <v>#DIV/0!</v>
      </c>
      <c r="AC11" s="36" t="e">
        <f t="shared" si="5"/>
        <v>#DIV/0!</v>
      </c>
    </row>
    <row r="12" spans="16:29" x14ac:dyDescent="0.25">
      <c r="P12" s="31"/>
      <c r="Q12" s="33"/>
      <c r="R12" s="36"/>
      <c r="S12" s="36"/>
      <c r="T12" s="36"/>
      <c r="U12" s="36"/>
      <c r="V12" s="36"/>
      <c r="W12" s="36"/>
      <c r="X12" s="36"/>
      <c r="Y12" s="36"/>
      <c r="Z12" s="36"/>
      <c r="AA12" s="36"/>
      <c r="AB12" s="36"/>
      <c r="AC12" s="36"/>
    </row>
    <row r="13" spans="16:29" x14ac:dyDescent="0.25">
      <c r="P13" s="32"/>
      <c r="Q13" s="33"/>
      <c r="R13" s="36"/>
      <c r="S13" s="36"/>
      <c r="T13" s="36"/>
      <c r="U13" s="36"/>
      <c r="V13" s="36"/>
      <c r="W13" s="36"/>
      <c r="X13" s="36"/>
      <c r="Y13" s="36"/>
      <c r="Z13" s="36"/>
      <c r="AA13" s="36"/>
      <c r="AB13" s="36"/>
      <c r="AC13" s="36"/>
    </row>
    <row r="14" spans="16:29" x14ac:dyDescent="0.25">
      <c r="P14" s="33"/>
      <c r="Q14" s="33"/>
      <c r="R14" s="36"/>
      <c r="S14" s="36"/>
      <c r="T14" s="36"/>
      <c r="U14" s="36"/>
      <c r="V14" s="36"/>
      <c r="W14" s="36"/>
      <c r="X14" s="36"/>
      <c r="Y14" s="36"/>
      <c r="Z14" s="36"/>
      <c r="AA14" s="36"/>
      <c r="AB14" s="36"/>
      <c r="AC14" s="36"/>
    </row>
    <row r="15" spans="16:29" x14ac:dyDescent="0.25">
      <c r="P15" s="33"/>
      <c r="Q15" s="13"/>
      <c r="R15" s="36"/>
      <c r="S15" s="36"/>
      <c r="T15" s="36"/>
      <c r="U15" s="36"/>
      <c r="V15" s="36"/>
      <c r="W15" s="36"/>
      <c r="X15" s="36"/>
      <c r="Y15" s="36"/>
      <c r="Z15" s="36"/>
      <c r="AA15" s="36"/>
      <c r="AB15" s="36"/>
      <c r="AC15" s="36"/>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L2:AH26"/>
  <sheetViews>
    <sheetView zoomScaleNormal="100" zoomScaleSheetLayoutView="100" workbookViewId="0"/>
  </sheetViews>
  <sheetFormatPr baseColWidth="10" defaultColWidth="11.42578125" defaultRowHeight="15" x14ac:dyDescent="0.25"/>
  <cols>
    <col min="15" max="15" width="5.7109375" customWidth="1"/>
    <col min="16" max="16" width="5" bestFit="1" customWidth="1"/>
    <col min="17" max="17" width="5.42578125" bestFit="1" customWidth="1"/>
    <col min="18" max="18" width="6.28515625" customWidth="1"/>
    <col min="19" max="29" width="6.42578125" bestFit="1" customWidth="1"/>
  </cols>
  <sheetData>
    <row r="2" spans="12:34" x14ac:dyDescent="0.25">
      <c r="P2" s="53"/>
      <c r="Q2" s="53"/>
      <c r="R2" s="54" t="s">
        <v>183</v>
      </c>
      <c r="S2" s="53"/>
      <c r="T2" s="53"/>
      <c r="U2" s="53"/>
      <c r="V2" s="53"/>
      <c r="W2" s="53"/>
      <c r="X2" s="53"/>
      <c r="Y2" s="53"/>
      <c r="Z2" s="53"/>
      <c r="AA2" s="53"/>
      <c r="AB2" s="53"/>
      <c r="AC2" s="53"/>
    </row>
    <row r="3" spans="12:34" x14ac:dyDescent="0.25">
      <c r="P3" s="53"/>
      <c r="Q3" s="53"/>
      <c r="R3" s="52" t="s">
        <v>167</v>
      </c>
      <c r="S3" s="52" t="s">
        <v>168</v>
      </c>
      <c r="T3" s="52" t="s">
        <v>169</v>
      </c>
      <c r="U3" s="52" t="s">
        <v>170</v>
      </c>
      <c r="V3" s="52" t="s">
        <v>171</v>
      </c>
      <c r="W3" s="52" t="s">
        <v>172</v>
      </c>
      <c r="X3" s="52" t="s">
        <v>173</v>
      </c>
      <c r="Y3" s="52" t="s">
        <v>174</v>
      </c>
      <c r="Z3" s="52" t="s">
        <v>175</v>
      </c>
      <c r="AA3" s="52" t="s">
        <v>176</v>
      </c>
      <c r="AB3" s="52" t="s">
        <v>177</v>
      </c>
      <c r="AC3" s="52" t="s">
        <v>178</v>
      </c>
      <c r="AE3" s="142"/>
      <c r="AF3" s="142"/>
      <c r="AG3" s="142"/>
      <c r="AH3" s="142"/>
    </row>
    <row r="4" spans="12:34" x14ac:dyDescent="0.25">
      <c r="P4" s="53" t="s">
        <v>179</v>
      </c>
      <c r="Q4" s="53">
        <v>2017</v>
      </c>
      <c r="R4" s="46">
        <v>1238.7</v>
      </c>
      <c r="S4" s="46">
        <v>1424.808</v>
      </c>
      <c r="T4" s="46">
        <v>1512.1959999999999</v>
      </c>
      <c r="U4" s="46">
        <v>1721.3050000000001</v>
      </c>
      <c r="V4" s="46">
        <v>1891.152</v>
      </c>
      <c r="W4" s="46">
        <v>1988.8789999999999</v>
      </c>
      <c r="X4" s="46">
        <v>1803.489</v>
      </c>
      <c r="Y4" s="46">
        <v>1732.4280000000001</v>
      </c>
      <c r="Z4" s="46">
        <v>1852.902</v>
      </c>
      <c r="AA4" s="46">
        <v>1821.741</v>
      </c>
      <c r="AB4" s="46">
        <v>1527.15</v>
      </c>
      <c r="AC4" s="46">
        <v>1109.3230000000001</v>
      </c>
      <c r="AE4" s="142"/>
      <c r="AF4" s="142"/>
      <c r="AG4" s="142"/>
      <c r="AH4" s="142"/>
    </row>
    <row r="5" spans="12:34" x14ac:dyDescent="0.25">
      <c r="P5" s="53" t="s">
        <v>179</v>
      </c>
      <c r="Q5" s="53">
        <v>2018</v>
      </c>
      <c r="R5" s="46">
        <v>1809.184</v>
      </c>
      <c r="S5" s="46">
        <v>1339.578</v>
      </c>
      <c r="T5" s="46">
        <v>1741.86</v>
      </c>
      <c r="U5" s="46">
        <v>1727.09</v>
      </c>
      <c r="V5" s="46">
        <v>1834.2228</v>
      </c>
      <c r="W5" s="46">
        <v>1822.5585000000001</v>
      </c>
      <c r="X5" s="46">
        <v>1617.366</v>
      </c>
      <c r="Y5" s="46">
        <v>2121.0632000000001</v>
      </c>
      <c r="Z5" s="46">
        <v>1342.2049999999999</v>
      </c>
      <c r="AA5" s="46">
        <v>2073.6241999999997</v>
      </c>
      <c r="AB5" s="46">
        <v>1528.8510000000001</v>
      </c>
      <c r="AC5" s="46">
        <v>1189.4880000000001</v>
      </c>
      <c r="AE5" s="87"/>
    </row>
    <row r="6" spans="12:34" x14ac:dyDescent="0.25">
      <c r="P6" s="53" t="s">
        <v>179</v>
      </c>
      <c r="Q6" s="53">
        <v>2019</v>
      </c>
      <c r="R6" s="46">
        <v>1294.586</v>
      </c>
      <c r="S6" s="46">
        <v>1395.3050000000001</v>
      </c>
      <c r="T6" s="46">
        <v>1648.8889999999999</v>
      </c>
      <c r="U6" s="46">
        <v>1458.0940000000001</v>
      </c>
      <c r="V6" s="46">
        <v>1797.2159999999999</v>
      </c>
      <c r="W6" s="46">
        <v>1500.4818596</v>
      </c>
      <c r="X6" s="46">
        <v>1768.5429999999999</v>
      </c>
      <c r="Y6" s="46">
        <v>1249.499</v>
      </c>
      <c r="Z6" s="46">
        <v>1548.0119999999999</v>
      </c>
      <c r="AA6" s="46">
        <v>1911.193</v>
      </c>
      <c r="AB6" s="46">
        <v>1484.587</v>
      </c>
      <c r="AC6" s="46">
        <v>951.08299999999997</v>
      </c>
      <c r="AE6" s="140"/>
      <c r="AF6" s="29"/>
      <c r="AG6" s="140"/>
    </row>
    <row r="7" spans="12:34" x14ac:dyDescent="0.25">
      <c r="P7" s="53" t="s">
        <v>179</v>
      </c>
      <c r="Q7" s="53">
        <v>2020</v>
      </c>
      <c r="R7" s="46">
        <v>1469.5150000000001</v>
      </c>
      <c r="S7" s="46">
        <v>1442.336</v>
      </c>
      <c r="T7" s="46">
        <v>918.68600000000004</v>
      </c>
      <c r="U7" s="46">
        <v>2056.221</v>
      </c>
      <c r="V7" s="46">
        <v>2181.357</v>
      </c>
      <c r="W7" s="46">
        <v>2920.2489999999998</v>
      </c>
      <c r="X7" s="46">
        <v>2406.8130000000001</v>
      </c>
      <c r="Y7" s="46">
        <v>2809.37</v>
      </c>
      <c r="Z7" s="46">
        <v>2578.8049999999998</v>
      </c>
      <c r="AA7" s="46">
        <v>1200.1225767000001</v>
      </c>
      <c r="AB7" s="46">
        <v>1481.2270000000001</v>
      </c>
      <c r="AC7" s="46">
        <v>919.4325</v>
      </c>
      <c r="AE7" s="140"/>
      <c r="AF7" s="140"/>
      <c r="AG7" s="140"/>
    </row>
    <row r="8" spans="12:34" x14ac:dyDescent="0.25">
      <c r="P8" s="53" t="s">
        <v>184</v>
      </c>
      <c r="Q8" s="53">
        <v>2021</v>
      </c>
      <c r="R8" s="46">
        <v>1610.3820000000001</v>
      </c>
      <c r="S8" s="46">
        <v>2163.2460000000001</v>
      </c>
      <c r="T8" s="46">
        <v>1795.7145</v>
      </c>
      <c r="U8" s="46">
        <v>1575.212</v>
      </c>
      <c r="V8" s="46">
        <v>2030.2070000000001</v>
      </c>
      <c r="W8" s="46">
        <v>1928.36</v>
      </c>
      <c r="X8" s="46">
        <v>2124.8270000000002</v>
      </c>
      <c r="Y8" s="46">
        <v>1445.2090000000001</v>
      </c>
      <c r="Z8" s="46">
        <v>1010.357</v>
      </c>
      <c r="AA8" s="46">
        <v>1514.943</v>
      </c>
      <c r="AB8" s="46">
        <v>1838.2719999999999</v>
      </c>
      <c r="AC8" s="46">
        <v>1977.452</v>
      </c>
      <c r="AE8" s="77"/>
      <c r="AF8" s="77"/>
      <c r="AG8" s="77"/>
      <c r="AH8" s="77"/>
    </row>
    <row r="9" spans="12:34" x14ac:dyDescent="0.25">
      <c r="P9" s="53" t="s">
        <v>179</v>
      </c>
      <c r="Q9" s="53">
        <v>2022</v>
      </c>
      <c r="R9" s="46">
        <v>1807.2080000000001</v>
      </c>
      <c r="S9" s="46">
        <v>1171.2950000000001</v>
      </c>
      <c r="T9" s="46">
        <v>1686.739</v>
      </c>
      <c r="U9" s="46">
        <v>1354.4880000000001</v>
      </c>
      <c r="V9" s="46">
        <v>1501.5632499999999</v>
      </c>
      <c r="W9" s="46">
        <v>2392.701</v>
      </c>
      <c r="X9" s="46">
        <v>1278.6679999999999</v>
      </c>
      <c r="Y9" s="46">
        <v>1384.5065</v>
      </c>
      <c r="Z9" s="46">
        <v>1136.663</v>
      </c>
      <c r="AA9" s="46">
        <v>1602.32</v>
      </c>
      <c r="AB9" s="46">
        <v>1613.509</v>
      </c>
      <c r="AC9" s="46">
        <v>1428.144</v>
      </c>
      <c r="AE9" s="77"/>
      <c r="AF9" s="77"/>
      <c r="AG9" s="77"/>
    </row>
    <row r="10" spans="12:34" x14ac:dyDescent="0.25">
      <c r="L10" s="29"/>
    </row>
    <row r="11" spans="12:34" x14ac:dyDescent="0.25">
      <c r="L11" s="29"/>
      <c r="P11" s="53" t="s">
        <v>93</v>
      </c>
      <c r="Q11" s="53">
        <v>2017</v>
      </c>
      <c r="R11" s="46">
        <v>2163.1970000000001</v>
      </c>
      <c r="S11" s="46">
        <v>2783.4360000000001</v>
      </c>
      <c r="T11" s="46">
        <v>2749.009</v>
      </c>
      <c r="U11" s="46">
        <v>3008.9679999999998</v>
      </c>
      <c r="V11" s="46">
        <v>3447.8389999999999</v>
      </c>
      <c r="W11" s="46">
        <v>3777.386</v>
      </c>
      <c r="X11" s="46">
        <v>3396.752</v>
      </c>
      <c r="Y11" s="46">
        <v>3340.6280000000002</v>
      </c>
      <c r="Z11" s="46">
        <v>3534.6909999999998</v>
      </c>
      <c r="AA11" s="46">
        <v>3517.0039999999999</v>
      </c>
      <c r="AB11" s="46">
        <v>2812.0680000000002</v>
      </c>
      <c r="AC11" s="46">
        <v>2338.4270000000001</v>
      </c>
    </row>
    <row r="12" spans="12:34" x14ac:dyDescent="0.25">
      <c r="L12" s="87"/>
      <c r="P12" s="53" t="s">
        <v>93</v>
      </c>
      <c r="Q12" s="53">
        <v>2018</v>
      </c>
      <c r="R12" s="46">
        <v>3509.2413099999999</v>
      </c>
      <c r="S12" s="46">
        <v>2866.64129</v>
      </c>
      <c r="T12" s="46">
        <v>3487.93588</v>
      </c>
      <c r="U12" s="46">
        <v>3512.6211000000003</v>
      </c>
      <c r="V12" s="46">
        <v>3772.58853</v>
      </c>
      <c r="W12" s="46">
        <v>3458.9167499999999</v>
      </c>
      <c r="X12" s="46">
        <v>3221.5904300000002</v>
      </c>
      <c r="Y12" s="46">
        <v>4232.6692499999999</v>
      </c>
      <c r="Z12" s="46">
        <v>2610.4208100000001</v>
      </c>
      <c r="AA12" s="46">
        <v>3988.3429999999998</v>
      </c>
      <c r="AB12" s="46">
        <v>2910.2931699999999</v>
      </c>
      <c r="AC12" s="46">
        <v>2148.7098500000002</v>
      </c>
    </row>
    <row r="13" spans="12:34" x14ac:dyDescent="0.25">
      <c r="L13" s="87"/>
      <c r="P13" s="53" t="s">
        <v>93</v>
      </c>
      <c r="Q13" s="53">
        <v>2019</v>
      </c>
      <c r="R13" s="45">
        <v>2414.79954</v>
      </c>
      <c r="S13" s="45">
        <v>2591.3246099999997</v>
      </c>
      <c r="T13" s="45">
        <v>3015.9723899999999</v>
      </c>
      <c r="U13" s="45">
        <v>2767.1150200000002</v>
      </c>
      <c r="V13" s="45">
        <v>3464.5224800000001</v>
      </c>
      <c r="W13" s="45">
        <v>2836.8172999999992</v>
      </c>
      <c r="X13" s="45">
        <v>3524.2680599999999</v>
      </c>
      <c r="Y13" s="45">
        <v>2366.28917</v>
      </c>
      <c r="Z13" s="45">
        <v>2823.4865299999997</v>
      </c>
      <c r="AA13" s="45">
        <v>3546.5239799999999</v>
      </c>
      <c r="AB13" s="45">
        <v>2683.1303499999999</v>
      </c>
      <c r="AC13" s="45">
        <v>1785.4700399999999</v>
      </c>
    </row>
    <row r="14" spans="12:34" x14ac:dyDescent="0.25">
      <c r="P14" s="53" t="s">
        <v>93</v>
      </c>
      <c r="Q14" s="53">
        <v>2020</v>
      </c>
      <c r="R14" s="45">
        <v>2785.4186499999996</v>
      </c>
      <c r="S14" s="45">
        <v>2490.6086800000003</v>
      </c>
      <c r="T14" s="45">
        <v>1677.3890299999998</v>
      </c>
      <c r="U14" s="45">
        <v>3630.0559300000004</v>
      </c>
      <c r="V14" s="45">
        <v>3635.0844700000002</v>
      </c>
      <c r="W14" s="45">
        <v>5040.3669800000007</v>
      </c>
      <c r="X14" s="45">
        <v>4451.0910500000009</v>
      </c>
      <c r="Y14" s="45">
        <v>5439.098140000001</v>
      </c>
      <c r="Z14" s="45">
        <v>5505.5791900000013</v>
      </c>
      <c r="AA14" s="45">
        <v>2212.5166599999998</v>
      </c>
      <c r="AB14" s="45">
        <v>2853.6835999999998</v>
      </c>
      <c r="AC14" s="45">
        <v>1767.6853799999999</v>
      </c>
      <c r="AE14" s="77"/>
      <c r="AF14" s="77"/>
      <c r="AG14" s="77"/>
      <c r="AH14" s="77"/>
    </row>
    <row r="15" spans="12:34" x14ac:dyDescent="0.25">
      <c r="P15" s="53" t="s">
        <v>93</v>
      </c>
      <c r="Q15" s="53">
        <v>2021</v>
      </c>
      <c r="R15" s="45">
        <v>3117.5292100000001</v>
      </c>
      <c r="S15" s="45">
        <v>3988.6311399999995</v>
      </c>
      <c r="T15" s="45">
        <v>3376.3835299999992</v>
      </c>
      <c r="U15" s="45">
        <v>3021.5246699999993</v>
      </c>
      <c r="V15" s="45">
        <v>3814.7966800000008</v>
      </c>
      <c r="W15" s="45">
        <v>3629.8534799999993</v>
      </c>
      <c r="X15" s="45">
        <v>4041.1528199999998</v>
      </c>
      <c r="Y15" s="45">
        <v>3225.2134000000001</v>
      </c>
      <c r="Z15" s="45">
        <v>1912.7930599999997</v>
      </c>
      <c r="AA15" s="45">
        <v>3133.9940800000004</v>
      </c>
      <c r="AB15" s="45">
        <v>3317.4372599999997</v>
      </c>
      <c r="AC15" s="45">
        <v>3691.6154900000006</v>
      </c>
    </row>
    <row r="16" spans="12:34" x14ac:dyDescent="0.25">
      <c r="P16" s="53" t="s">
        <v>93</v>
      </c>
      <c r="Q16" s="53">
        <v>2022</v>
      </c>
      <c r="R16" s="45">
        <v>3542.5489700000003</v>
      </c>
      <c r="S16" s="45">
        <v>2111.0532599999997</v>
      </c>
      <c r="T16" s="45">
        <v>2992.6367000000005</v>
      </c>
      <c r="U16" s="45">
        <v>2470.3571300000003</v>
      </c>
      <c r="V16" s="45">
        <v>2736.7747400000003</v>
      </c>
      <c r="W16" s="45">
        <v>4378.3114800000012</v>
      </c>
      <c r="X16" s="45">
        <v>2496.6319900000003</v>
      </c>
      <c r="Y16" s="45">
        <v>2620.2215200000001</v>
      </c>
      <c r="Z16" s="45">
        <v>1968.1833100000006</v>
      </c>
      <c r="AA16" s="45">
        <v>2619.0071499999999</v>
      </c>
      <c r="AB16" s="45">
        <v>2643.08617</v>
      </c>
      <c r="AC16" s="45">
        <v>2320.3148099999994</v>
      </c>
    </row>
    <row r="17" spans="16:29" x14ac:dyDescent="0.25">
      <c r="P17" s="49"/>
    </row>
    <row r="18" spans="16:29" x14ac:dyDescent="0.25">
      <c r="P18" s="49"/>
      <c r="Q18" s="53"/>
      <c r="R18" s="53" t="s">
        <v>180</v>
      </c>
      <c r="S18" s="53"/>
      <c r="T18" s="53"/>
      <c r="U18" s="53"/>
      <c r="V18" s="53"/>
      <c r="W18" s="48"/>
      <c r="X18" s="53"/>
      <c r="Y18" s="53"/>
      <c r="Z18" s="53"/>
      <c r="AA18" s="53"/>
      <c r="AB18" s="53"/>
      <c r="AC18" s="53"/>
    </row>
    <row r="19" spans="16:29" x14ac:dyDescent="0.25">
      <c r="P19" s="53"/>
      <c r="Q19" s="53"/>
      <c r="R19" s="54" t="s">
        <v>183</v>
      </c>
      <c r="S19" s="53"/>
      <c r="T19" s="53"/>
      <c r="U19" s="53"/>
      <c r="V19" s="53"/>
      <c r="W19" s="53"/>
      <c r="X19" s="53"/>
      <c r="Y19" s="53"/>
      <c r="Z19" s="53"/>
      <c r="AA19" s="53"/>
      <c r="AB19" s="53"/>
      <c r="AC19" s="53"/>
    </row>
    <row r="20" spans="16:29" x14ac:dyDescent="0.25">
      <c r="P20" s="53"/>
      <c r="Q20" s="53"/>
      <c r="R20" s="53" t="s">
        <v>167</v>
      </c>
      <c r="S20" s="53" t="s">
        <v>168</v>
      </c>
      <c r="T20" s="53" t="s">
        <v>169</v>
      </c>
      <c r="U20" s="53" t="s">
        <v>170</v>
      </c>
      <c r="V20" s="53" t="s">
        <v>171</v>
      </c>
      <c r="W20" s="53" t="s">
        <v>172</v>
      </c>
      <c r="X20" s="53" t="s">
        <v>173</v>
      </c>
      <c r="Y20" s="53" t="s">
        <v>174</v>
      </c>
      <c r="Z20" s="53" t="s">
        <v>175</v>
      </c>
      <c r="AA20" s="53" t="s">
        <v>176</v>
      </c>
      <c r="AB20" s="53" t="s">
        <v>177</v>
      </c>
      <c r="AC20" s="53" t="s">
        <v>178</v>
      </c>
    </row>
    <row r="21" spans="16:29" x14ac:dyDescent="0.25">
      <c r="P21" s="53"/>
      <c r="Q21" s="53">
        <v>2017</v>
      </c>
      <c r="R21" s="76">
        <f t="shared" ref="R21:AC21" si="0">R11/R4</f>
        <v>1.7463445547751675</v>
      </c>
      <c r="S21" s="76">
        <f t="shared" si="0"/>
        <v>1.9535516364310139</v>
      </c>
      <c r="T21" s="76">
        <f t="shared" si="0"/>
        <v>1.8178919928369075</v>
      </c>
      <c r="U21" s="76">
        <f t="shared" si="0"/>
        <v>1.7480736998962993</v>
      </c>
      <c r="V21" s="76">
        <f t="shared" si="0"/>
        <v>1.823142190580133</v>
      </c>
      <c r="W21" s="76">
        <f t="shared" si="0"/>
        <v>1.8992538007591211</v>
      </c>
      <c r="X21" s="76">
        <f t="shared" si="0"/>
        <v>1.883433722079813</v>
      </c>
      <c r="Y21" s="76">
        <f t="shared" si="0"/>
        <v>1.9282925466455172</v>
      </c>
      <c r="Z21" s="76">
        <f t="shared" si="0"/>
        <v>1.9076513490729676</v>
      </c>
      <c r="AA21" s="76">
        <f t="shared" si="0"/>
        <v>1.930573006810518</v>
      </c>
      <c r="AB21" s="76">
        <f t="shared" si="0"/>
        <v>1.8413829682742364</v>
      </c>
      <c r="AC21" s="76">
        <f t="shared" si="0"/>
        <v>2.1079766668499618</v>
      </c>
    </row>
    <row r="22" spans="16:29" x14ac:dyDescent="0.25">
      <c r="P22" s="53"/>
      <c r="Q22" s="53">
        <v>2018</v>
      </c>
      <c r="R22" s="76">
        <f t="shared" ref="R22:AC22" si="1">R12/R5</f>
        <v>1.9396818178803261</v>
      </c>
      <c r="S22" s="76">
        <f t="shared" si="1"/>
        <v>2.1399584719964051</v>
      </c>
      <c r="T22" s="76">
        <f t="shared" si="1"/>
        <v>2.0024203322884735</v>
      </c>
      <c r="U22" s="76">
        <f t="shared" si="1"/>
        <v>2.0338379007463425</v>
      </c>
      <c r="V22" s="76">
        <f t="shared" si="1"/>
        <v>2.0567776880758433</v>
      </c>
      <c r="W22" s="76">
        <f t="shared" si="1"/>
        <v>1.8978357896330897</v>
      </c>
      <c r="X22" s="76">
        <f t="shared" si="1"/>
        <v>1.9918747086311943</v>
      </c>
      <c r="Y22" s="76">
        <f t="shared" si="1"/>
        <v>1.9955413162606375</v>
      </c>
      <c r="Z22" s="76">
        <f t="shared" si="1"/>
        <v>1.9448748961596778</v>
      </c>
      <c r="AA22" s="76">
        <f t="shared" si="1"/>
        <v>1.9233682747336767</v>
      </c>
      <c r="AB22" s="76">
        <f t="shared" si="1"/>
        <v>1.9035819514131853</v>
      </c>
      <c r="AC22" s="76">
        <f t="shared" si="1"/>
        <v>1.8064157435804313</v>
      </c>
    </row>
    <row r="23" spans="16:29" x14ac:dyDescent="0.25">
      <c r="Q23" s="53">
        <v>2019</v>
      </c>
      <c r="R23" s="76">
        <f t="shared" ref="R23:AC23" si="2">R13/R6</f>
        <v>1.865306391386899</v>
      </c>
      <c r="S23" s="76">
        <f t="shared" si="2"/>
        <v>1.8571743167264501</v>
      </c>
      <c r="T23" s="76">
        <f t="shared" si="2"/>
        <v>1.8290936442659269</v>
      </c>
      <c r="U23" s="76">
        <f t="shared" si="2"/>
        <v>1.8977617492425043</v>
      </c>
      <c r="V23" s="76">
        <f t="shared" si="2"/>
        <v>1.9277162455709276</v>
      </c>
      <c r="W23" s="76">
        <f t="shared" si="2"/>
        <v>1.8906041961455242</v>
      </c>
      <c r="X23" s="76">
        <f t="shared" si="2"/>
        <v>1.9927522599111247</v>
      </c>
      <c r="Y23" s="76">
        <f t="shared" si="2"/>
        <v>1.8937903671791654</v>
      </c>
      <c r="Z23" s="76">
        <f t="shared" si="2"/>
        <v>1.8239435676209228</v>
      </c>
      <c r="AA23" s="76">
        <f t="shared" si="2"/>
        <v>1.8556597789966791</v>
      </c>
      <c r="AB23" s="76">
        <f t="shared" si="2"/>
        <v>1.8073244276017504</v>
      </c>
      <c r="AC23" s="76">
        <f t="shared" si="2"/>
        <v>1.8773020230621302</v>
      </c>
    </row>
    <row r="24" spans="16:29" x14ac:dyDescent="0.25">
      <c r="Q24" s="53">
        <v>2020</v>
      </c>
      <c r="R24" s="76">
        <f t="shared" ref="R24:AC24" si="3">R14/R7</f>
        <v>1.8954679945424167</v>
      </c>
      <c r="S24" s="76">
        <f t="shared" si="3"/>
        <v>1.7267881270383603</v>
      </c>
      <c r="T24" s="76">
        <f t="shared" si="3"/>
        <v>1.8258567453950532</v>
      </c>
      <c r="U24" s="76">
        <f t="shared" si="3"/>
        <v>1.7654016421386614</v>
      </c>
      <c r="V24" s="76">
        <f t="shared" si="3"/>
        <v>1.6664326242792904</v>
      </c>
      <c r="W24" s="76">
        <f t="shared" si="3"/>
        <v>1.7260058919633228</v>
      </c>
      <c r="X24" s="76">
        <f t="shared" si="3"/>
        <v>1.849371367862813</v>
      </c>
      <c r="Y24" s="76">
        <f t="shared" si="3"/>
        <v>1.9360561762957536</v>
      </c>
      <c r="Z24" s="76">
        <f t="shared" si="3"/>
        <v>2.1349342776983917</v>
      </c>
      <c r="AA24" s="76">
        <f t="shared" si="3"/>
        <v>1.8435755671589806</v>
      </c>
      <c r="AB24" s="76">
        <f t="shared" si="3"/>
        <v>1.9265673661093132</v>
      </c>
      <c r="AC24" s="76">
        <f t="shared" si="3"/>
        <v>1.9225830933755332</v>
      </c>
    </row>
    <row r="25" spans="16:29" x14ac:dyDescent="0.25">
      <c r="Q25" s="53">
        <v>2021</v>
      </c>
      <c r="R25" s="76">
        <f t="shared" ref="R25:AC25" si="4">R15/R8</f>
        <v>1.9358942226130198</v>
      </c>
      <c r="S25" s="76">
        <f t="shared" si="4"/>
        <v>1.8438176425612247</v>
      </c>
      <c r="T25" s="76">
        <f t="shared" si="4"/>
        <v>1.8802451781728104</v>
      </c>
      <c r="U25" s="76">
        <f t="shared" si="4"/>
        <v>1.9181701701104354</v>
      </c>
      <c r="V25" s="76">
        <f t="shared" si="4"/>
        <v>1.8790185828341646</v>
      </c>
      <c r="W25" s="76">
        <f t="shared" si="4"/>
        <v>1.882352610508411</v>
      </c>
      <c r="X25" s="76">
        <f t="shared" si="4"/>
        <v>1.901873809020687</v>
      </c>
      <c r="Y25" s="76">
        <f t="shared" si="4"/>
        <v>2.2316588119780598</v>
      </c>
      <c r="Z25" s="76">
        <f t="shared" si="4"/>
        <v>1.8931853394394256</v>
      </c>
      <c r="AA25" s="76">
        <f t="shared" si="4"/>
        <v>2.0687207901551417</v>
      </c>
      <c r="AB25" s="76">
        <f t="shared" si="4"/>
        <v>1.8046498341921107</v>
      </c>
      <c r="AC25" s="76">
        <f t="shared" si="4"/>
        <v>1.8668546644874315</v>
      </c>
    </row>
    <row r="26" spans="16:29" x14ac:dyDescent="0.25">
      <c r="Q26" s="53">
        <v>2022</v>
      </c>
      <c r="R26" s="76">
        <f t="shared" ref="R26:AC26" si="5">R16/R9</f>
        <v>1.960233116497935</v>
      </c>
      <c r="S26" s="76">
        <f t="shared" si="5"/>
        <v>1.8023241454970775</v>
      </c>
      <c r="T26" s="76">
        <f t="shared" si="5"/>
        <v>1.7742144457441253</v>
      </c>
      <c r="U26" s="76">
        <f t="shared" si="5"/>
        <v>1.8238309457152815</v>
      </c>
      <c r="V26" s="76">
        <f t="shared" si="5"/>
        <v>1.8226170226262532</v>
      </c>
      <c r="W26" s="76">
        <f t="shared" si="5"/>
        <v>1.829861516336559</v>
      </c>
      <c r="X26" s="76">
        <f t="shared" si="5"/>
        <v>1.9525255891286875</v>
      </c>
      <c r="Y26" s="76">
        <f t="shared" si="5"/>
        <v>1.8925310354267026</v>
      </c>
      <c r="Z26" s="76">
        <f t="shared" si="5"/>
        <v>1.7315451545444873</v>
      </c>
      <c r="AA26" s="76">
        <f t="shared" si="5"/>
        <v>1.6345094300763892</v>
      </c>
      <c r="AB26" s="76">
        <f t="shared" si="5"/>
        <v>1.6380981884823698</v>
      </c>
      <c r="AC26" s="76">
        <f t="shared" si="5"/>
        <v>1.6247064791785697</v>
      </c>
    </row>
  </sheetData>
  <phoneticPr fontId="58" type="noConversion"/>
  <pageMargins left="1" right="1" top="1" bottom="1" header="0.5" footer="0.5"/>
  <pageSetup scale="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O1:AF31"/>
  <sheetViews>
    <sheetView zoomScaleNormal="100" workbookViewId="0"/>
  </sheetViews>
  <sheetFormatPr baseColWidth="10" defaultColWidth="11.42578125" defaultRowHeight="15" x14ac:dyDescent="0.25"/>
  <cols>
    <col min="13" max="13" width="14.28515625" customWidth="1"/>
    <col min="14" max="14" width="14.85546875"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32" x14ac:dyDescent="0.25">
      <c r="O1" s="53"/>
      <c r="P1" s="53"/>
      <c r="Q1" s="53" t="s">
        <v>139</v>
      </c>
      <c r="R1" s="53"/>
      <c r="S1" s="53"/>
      <c r="T1" s="53"/>
      <c r="U1" s="53"/>
      <c r="V1" s="53"/>
      <c r="W1" s="53"/>
      <c r="X1" s="53"/>
      <c r="Y1" s="53"/>
      <c r="Z1" s="53"/>
      <c r="AA1" s="53"/>
      <c r="AB1" s="53"/>
    </row>
    <row r="2" spans="15:32" x14ac:dyDescent="0.25">
      <c r="O2" s="53"/>
      <c r="P2" s="53"/>
      <c r="Q2" s="53" t="s">
        <v>167</v>
      </c>
      <c r="R2" s="53" t="s">
        <v>168</v>
      </c>
      <c r="S2" s="53" t="s">
        <v>169</v>
      </c>
      <c r="T2" s="53" t="s">
        <v>170</v>
      </c>
      <c r="U2" s="53" t="s">
        <v>171</v>
      </c>
      <c r="V2" s="53" t="s">
        <v>172</v>
      </c>
      <c r="W2" s="53" t="s">
        <v>173</v>
      </c>
      <c r="X2" s="53" t="s">
        <v>174</v>
      </c>
      <c r="Y2" s="53" t="s">
        <v>175</v>
      </c>
      <c r="Z2" s="53" t="s">
        <v>176</v>
      </c>
      <c r="AA2" s="53" t="s">
        <v>177</v>
      </c>
      <c r="AB2" s="53" t="s">
        <v>178</v>
      </c>
    </row>
    <row r="3" spans="15:32" x14ac:dyDescent="0.25">
      <c r="O3" s="53" t="s">
        <v>179</v>
      </c>
      <c r="P3" s="53">
        <v>2015</v>
      </c>
      <c r="Q3" s="50">
        <v>399.97153850000001</v>
      </c>
      <c r="R3" s="51">
        <v>158.72399999999999</v>
      </c>
      <c r="S3" s="51">
        <v>177.08</v>
      </c>
      <c r="T3" s="51">
        <v>225.6105</v>
      </c>
      <c r="U3" s="51">
        <v>252.8595</v>
      </c>
      <c r="V3" s="51">
        <v>224.88931260000001</v>
      </c>
      <c r="W3" s="51">
        <v>558.77591419999999</v>
      </c>
      <c r="X3" s="51">
        <v>474.75</v>
      </c>
      <c r="Y3" s="51">
        <v>483.84270000000004</v>
      </c>
      <c r="Z3" s="51">
        <v>650.58937500000002</v>
      </c>
      <c r="AA3" s="51">
        <v>426.94850000000002</v>
      </c>
      <c r="AB3" s="51">
        <v>313.56799999999998</v>
      </c>
      <c r="AD3" s="142"/>
      <c r="AE3" s="142"/>
      <c r="AF3" s="142"/>
    </row>
    <row r="4" spans="15:32" x14ac:dyDescent="0.25">
      <c r="O4" s="53" t="s">
        <v>179</v>
      </c>
      <c r="P4" s="53">
        <v>2016</v>
      </c>
      <c r="Q4" s="51">
        <v>385.96100000000001</v>
      </c>
      <c r="R4" s="51">
        <v>202.4015</v>
      </c>
      <c r="S4" s="51">
        <v>197.05549999999999</v>
      </c>
      <c r="T4" s="51">
        <v>418.07625000000002</v>
      </c>
      <c r="U4" s="51">
        <v>167.35499999999999</v>
      </c>
      <c r="V4" s="51">
        <v>352.71222590000002</v>
      </c>
      <c r="W4" s="51">
        <v>380.96550000000002</v>
      </c>
      <c r="X4" s="51">
        <v>644.22450000000003</v>
      </c>
      <c r="Y4" s="51">
        <v>622.77449999999999</v>
      </c>
      <c r="Z4" s="51">
        <v>754.06500000000005</v>
      </c>
      <c r="AA4" s="51">
        <v>688.6395</v>
      </c>
      <c r="AB4" s="51">
        <v>282.93852000000004</v>
      </c>
      <c r="AD4" s="142"/>
      <c r="AE4" s="142"/>
      <c r="AF4" s="142"/>
    </row>
    <row r="5" spans="15:32" x14ac:dyDescent="0.25">
      <c r="O5" s="53" t="s">
        <v>179</v>
      </c>
      <c r="P5" s="53">
        <v>2017</v>
      </c>
      <c r="Q5" s="51">
        <v>516.37330999999995</v>
      </c>
      <c r="R5" s="51">
        <v>268.77411999999998</v>
      </c>
      <c r="S5" s="51">
        <v>258.07456999999999</v>
      </c>
      <c r="T5" s="51">
        <v>457.72978999999998</v>
      </c>
      <c r="U5" s="51">
        <v>277.4549202</v>
      </c>
      <c r="V5" s="51">
        <v>289.51887140000002</v>
      </c>
      <c r="W5" s="51">
        <v>363.32655999999997</v>
      </c>
      <c r="X5" s="51">
        <v>352.10149000000001</v>
      </c>
      <c r="Y5" s="51">
        <v>473.32110999999998</v>
      </c>
      <c r="Z5" s="51">
        <v>707.4393255</v>
      </c>
      <c r="AA5" s="51">
        <v>1027.8620631000001</v>
      </c>
      <c r="AB5" s="51">
        <v>452.19900999999999</v>
      </c>
      <c r="AD5" s="77"/>
      <c r="AE5" s="77"/>
    </row>
    <row r="6" spans="15:32" x14ac:dyDescent="0.25">
      <c r="O6" s="53" t="s">
        <v>179</v>
      </c>
      <c r="P6" s="53">
        <v>2018</v>
      </c>
      <c r="Q6" s="51">
        <v>365.89858000000004</v>
      </c>
      <c r="R6" s="51">
        <v>137.78725</v>
      </c>
      <c r="S6" s="51">
        <v>292.50461999999999</v>
      </c>
      <c r="T6" s="51">
        <v>300.41128000000003</v>
      </c>
      <c r="U6" s="51">
        <v>227.95296999999999</v>
      </c>
      <c r="V6" s="51">
        <v>287.10892000000001</v>
      </c>
      <c r="W6" s="51">
        <v>332.14456999999999</v>
      </c>
      <c r="X6" s="51">
        <v>522.00900000000001</v>
      </c>
      <c r="Y6" s="51">
        <v>445.041</v>
      </c>
      <c r="Z6" s="51">
        <v>795.90150000000006</v>
      </c>
      <c r="AA6" s="51">
        <v>490.54899999999998</v>
      </c>
      <c r="AB6" s="51">
        <v>415.13290000000001</v>
      </c>
      <c r="AD6" s="77"/>
      <c r="AE6" s="77"/>
    </row>
    <row r="7" spans="15:32" x14ac:dyDescent="0.25">
      <c r="O7" s="53" t="s">
        <v>179</v>
      </c>
      <c r="P7" s="53">
        <v>2019</v>
      </c>
      <c r="Q7" s="51">
        <v>333.0675</v>
      </c>
      <c r="R7" s="51">
        <v>136.8135</v>
      </c>
      <c r="S7" s="51">
        <v>252.87300299999998</v>
      </c>
      <c r="T7" s="51">
        <v>336.79349999999999</v>
      </c>
      <c r="U7" s="51">
        <v>349.95150000000001</v>
      </c>
      <c r="V7" s="51">
        <v>355.51350000000002</v>
      </c>
      <c r="W7" s="51">
        <v>310.34249999999997</v>
      </c>
      <c r="X7" s="51">
        <v>769.25400000000002</v>
      </c>
      <c r="Y7" s="51">
        <v>517.54049999999995</v>
      </c>
      <c r="Z7" s="51">
        <v>587.88850000000002</v>
      </c>
      <c r="AA7" s="51">
        <v>327.19600000000003</v>
      </c>
      <c r="AB7" s="51">
        <v>331.64400000000001</v>
      </c>
      <c r="AD7" s="140"/>
      <c r="AE7" s="180"/>
      <c r="AF7" s="180"/>
    </row>
    <row r="8" spans="15:32" x14ac:dyDescent="0.25">
      <c r="O8" s="53" t="s">
        <v>179</v>
      </c>
      <c r="P8" s="53">
        <v>2020</v>
      </c>
      <c r="Q8" s="51">
        <v>334.899</v>
      </c>
      <c r="R8" s="51">
        <v>228.82050000000001</v>
      </c>
      <c r="S8" s="51">
        <v>144.67500000000001</v>
      </c>
      <c r="T8" s="51">
        <v>242.26499999999999</v>
      </c>
      <c r="U8" s="51">
        <v>316.08</v>
      </c>
      <c r="V8" s="51">
        <v>252.6345</v>
      </c>
      <c r="W8" s="51">
        <v>192.41550000000001</v>
      </c>
      <c r="X8" s="51">
        <v>380.565</v>
      </c>
      <c r="Y8" s="51">
        <v>272.7</v>
      </c>
      <c r="Z8" s="51">
        <v>425.91950000000003</v>
      </c>
      <c r="AA8" s="51">
        <v>441.57150000000001</v>
      </c>
      <c r="AB8" s="51">
        <v>243.155</v>
      </c>
      <c r="AD8" s="140"/>
      <c r="AE8" s="179"/>
      <c r="AF8" s="179"/>
    </row>
    <row r="9" spans="15:32" x14ac:dyDescent="0.25">
      <c r="O9" s="53" t="s">
        <v>184</v>
      </c>
      <c r="P9" s="53">
        <v>2021</v>
      </c>
      <c r="Q9" s="51">
        <v>185.625</v>
      </c>
      <c r="R9" s="51">
        <v>282.89249999999998</v>
      </c>
      <c r="S9" s="51">
        <v>268.70850000000002</v>
      </c>
      <c r="T9" s="51">
        <v>235.12350000000001</v>
      </c>
      <c r="U9" s="51">
        <v>297.08100000000002</v>
      </c>
      <c r="V9" s="51">
        <v>269.23050000000001</v>
      </c>
      <c r="W9" s="51">
        <v>258.13799999999998</v>
      </c>
      <c r="X9" s="51">
        <v>411.56099999999998</v>
      </c>
      <c r="Y9" s="51">
        <v>347.81849999999997</v>
      </c>
      <c r="Z9" s="51">
        <v>314.47726</v>
      </c>
      <c r="AA9" s="51">
        <v>334.80900000000003</v>
      </c>
      <c r="AB9" s="51">
        <v>378.99149999999997</v>
      </c>
      <c r="AD9" s="140"/>
      <c r="AE9" s="87"/>
      <c r="AF9" s="87"/>
    </row>
    <row r="10" spans="15:32" x14ac:dyDescent="0.25">
      <c r="O10" s="53" t="s">
        <v>179</v>
      </c>
      <c r="P10" s="53">
        <v>2022</v>
      </c>
      <c r="Q10" s="51">
        <v>331.4205</v>
      </c>
      <c r="R10" s="51">
        <v>206.5335</v>
      </c>
      <c r="S10" s="51">
        <v>193.32917739999999</v>
      </c>
      <c r="T10" s="51">
        <v>252.78749999999999</v>
      </c>
      <c r="U10" s="51">
        <v>257.43599999999998</v>
      </c>
      <c r="V10" s="51">
        <v>323.66699999999997</v>
      </c>
      <c r="W10" s="51">
        <v>226.785</v>
      </c>
      <c r="X10" s="51">
        <v>450.37925000000001</v>
      </c>
      <c r="Y10" s="51">
        <v>508.95350000000002</v>
      </c>
      <c r="Z10" s="51">
        <v>524.36800000000005</v>
      </c>
      <c r="AA10" s="51">
        <v>372.82049999999998</v>
      </c>
      <c r="AB10" s="51">
        <v>266.7645</v>
      </c>
      <c r="AD10" s="87"/>
      <c r="AE10" s="87"/>
      <c r="AF10" s="87"/>
    </row>
    <row r="11" spans="15:32" x14ac:dyDescent="0.25">
      <c r="AD11" s="87"/>
    </row>
    <row r="12" spans="15:32" x14ac:dyDescent="0.25">
      <c r="O12" s="53" t="s">
        <v>93</v>
      </c>
      <c r="P12" s="53">
        <v>2015</v>
      </c>
      <c r="Q12" s="50">
        <v>1648.04304</v>
      </c>
      <c r="R12" s="51">
        <v>678.70713999999998</v>
      </c>
      <c r="S12" s="51">
        <v>754.57382999999993</v>
      </c>
      <c r="T12" s="51">
        <v>984.09825999999998</v>
      </c>
      <c r="U12" s="51">
        <v>1075.9333999999999</v>
      </c>
      <c r="V12" s="51">
        <v>928.05155000000002</v>
      </c>
      <c r="W12" s="51">
        <v>2183.0439700000002</v>
      </c>
      <c r="X12" s="51">
        <v>1840.7483300000001</v>
      </c>
      <c r="Y12" s="51">
        <v>1857.6918799999999</v>
      </c>
      <c r="Z12" s="51">
        <v>2683.4602200000004</v>
      </c>
      <c r="AA12" s="51">
        <v>1858.6077700000001</v>
      </c>
      <c r="AB12" s="51">
        <v>1269.5903999999998</v>
      </c>
    </row>
    <row r="13" spans="15:32" x14ac:dyDescent="0.25">
      <c r="O13" s="53" t="s">
        <v>93</v>
      </c>
      <c r="P13" s="53">
        <v>2016</v>
      </c>
      <c r="Q13" s="51">
        <v>1561.9673799999998</v>
      </c>
      <c r="R13" s="51">
        <v>807.92711999999995</v>
      </c>
      <c r="S13" s="51">
        <v>812.62441000000001</v>
      </c>
      <c r="T13" s="51">
        <v>1828.61482</v>
      </c>
      <c r="U13" s="51">
        <v>673.38708999999994</v>
      </c>
      <c r="V13" s="51">
        <v>1411.32998</v>
      </c>
      <c r="W13" s="51">
        <v>1342.27772</v>
      </c>
      <c r="X13" s="51">
        <v>2518.9597200000003</v>
      </c>
      <c r="Y13" s="51">
        <v>2454.1771800000001</v>
      </c>
      <c r="Z13" s="51">
        <v>2851.4252000000001</v>
      </c>
      <c r="AA13" s="51">
        <v>3069.1559200000002</v>
      </c>
      <c r="AB13" s="51">
        <v>1141.8811000000001</v>
      </c>
    </row>
    <row r="14" spans="15:32" x14ac:dyDescent="0.25">
      <c r="O14" s="53" t="s">
        <v>93</v>
      </c>
      <c r="P14" s="53">
        <v>2017</v>
      </c>
      <c r="Q14" s="51">
        <v>1999.64895</v>
      </c>
      <c r="R14" s="51">
        <v>1171.82827</v>
      </c>
      <c r="S14" s="51">
        <v>1051.1554699999999</v>
      </c>
      <c r="T14" s="51">
        <v>1830.7113999999999</v>
      </c>
      <c r="U14" s="51">
        <v>1252.3791000000001</v>
      </c>
      <c r="V14" s="51">
        <v>1153.9421599999998</v>
      </c>
      <c r="W14" s="51">
        <v>1506.2209399999999</v>
      </c>
      <c r="X14" s="51">
        <v>1560.3233500000001</v>
      </c>
      <c r="Y14" s="51">
        <v>1952.3849299999999</v>
      </c>
      <c r="Z14" s="51">
        <v>2842.8311899999999</v>
      </c>
      <c r="AA14" s="51">
        <v>3612.8101099999999</v>
      </c>
      <c r="AB14" s="51">
        <v>1975.6716699999999</v>
      </c>
    </row>
    <row r="15" spans="15:32" x14ac:dyDescent="0.25">
      <c r="O15" s="53" t="s">
        <v>93</v>
      </c>
      <c r="P15" s="53">
        <v>2018</v>
      </c>
      <c r="Q15" s="51">
        <v>1648.7111</v>
      </c>
      <c r="R15" s="51">
        <v>631.02158999999995</v>
      </c>
      <c r="S15" s="51">
        <v>1242.11949</v>
      </c>
      <c r="T15" s="51">
        <v>1344.39372</v>
      </c>
      <c r="U15" s="51">
        <v>1110.0585700000001</v>
      </c>
      <c r="V15" s="51">
        <v>1138.68722</v>
      </c>
      <c r="W15" s="51">
        <v>1415.0776599999999</v>
      </c>
      <c r="X15" s="51">
        <v>2130.4803700000002</v>
      </c>
      <c r="Y15" s="51">
        <v>1674.7162900000001</v>
      </c>
      <c r="Z15" s="51">
        <v>3268.22946</v>
      </c>
      <c r="AA15" s="51">
        <v>1964.8206100000002</v>
      </c>
      <c r="AB15" s="51">
        <v>1613.9065399999999</v>
      </c>
    </row>
    <row r="16" spans="15:32" x14ac:dyDescent="0.25">
      <c r="O16" s="53" t="s">
        <v>93</v>
      </c>
      <c r="P16" s="53">
        <v>2019</v>
      </c>
      <c r="Q16" s="50">
        <v>1337.5923999999998</v>
      </c>
      <c r="R16" s="50">
        <v>536.63702999999998</v>
      </c>
      <c r="S16" s="50">
        <v>1041.7046300000002</v>
      </c>
      <c r="T16" s="50">
        <v>1332.3517400000001</v>
      </c>
      <c r="U16" s="50">
        <v>1429.31951</v>
      </c>
      <c r="V16" s="50">
        <v>1396.4903100000001</v>
      </c>
      <c r="W16" s="45">
        <v>1317.1010900000001</v>
      </c>
      <c r="X16" s="45">
        <v>3060.8019099999992</v>
      </c>
      <c r="Y16" s="45">
        <v>2063.24244</v>
      </c>
      <c r="Z16" s="45">
        <v>2335.2095300000001</v>
      </c>
      <c r="AA16" s="45">
        <v>1338.1952699999997</v>
      </c>
      <c r="AB16" s="51">
        <v>1348.36447</v>
      </c>
    </row>
    <row r="17" spans="15:32" x14ac:dyDescent="0.25">
      <c r="O17" s="53" t="s">
        <v>93</v>
      </c>
      <c r="P17" s="53">
        <v>2020</v>
      </c>
      <c r="Q17" s="50">
        <v>1496.7915100000002</v>
      </c>
      <c r="R17" s="50">
        <v>895.42285000000004</v>
      </c>
      <c r="S17" s="50">
        <v>613.71274999999991</v>
      </c>
      <c r="T17" s="50">
        <v>1392.20975</v>
      </c>
      <c r="U17" s="50">
        <v>1282.8476799999999</v>
      </c>
      <c r="V17" s="50">
        <v>1023.8345700000001</v>
      </c>
      <c r="W17" s="50">
        <v>817.4241300000001</v>
      </c>
      <c r="X17" s="50">
        <v>1517.1010800000004</v>
      </c>
      <c r="Y17" s="50">
        <v>1112.3167599999997</v>
      </c>
      <c r="Z17" s="50">
        <v>1727.5803899999999</v>
      </c>
      <c r="AA17" s="50">
        <v>1866.5261500000001</v>
      </c>
      <c r="AB17" s="50">
        <v>929.11856999999986</v>
      </c>
      <c r="AD17" s="77"/>
      <c r="AE17" s="77"/>
      <c r="AF17" s="77"/>
    </row>
    <row r="18" spans="15:32" x14ac:dyDescent="0.25">
      <c r="O18" s="53" t="s">
        <v>93</v>
      </c>
      <c r="P18" s="53">
        <v>2021</v>
      </c>
      <c r="Q18" s="50">
        <v>849.23722999999995</v>
      </c>
      <c r="R18" s="50">
        <v>1086.1081299999998</v>
      </c>
      <c r="S18" s="50">
        <v>1092.96487</v>
      </c>
      <c r="T18" s="50">
        <v>976.2770300000002</v>
      </c>
      <c r="U18" s="50">
        <v>1063.70309</v>
      </c>
      <c r="V18" s="50">
        <v>1162.71678</v>
      </c>
      <c r="W18" s="50">
        <v>1052.4551799999999</v>
      </c>
      <c r="X18" s="50">
        <v>1702.3689100000001</v>
      </c>
      <c r="Y18" s="50">
        <v>1398.8854200000003</v>
      </c>
      <c r="Z18" s="50">
        <v>1280.24676</v>
      </c>
      <c r="AA18" s="45">
        <v>1470.3960100000004</v>
      </c>
      <c r="AB18" s="45">
        <v>1347.0470499999999</v>
      </c>
    </row>
    <row r="19" spans="15:32" x14ac:dyDescent="0.25">
      <c r="O19" s="53" t="s">
        <v>93</v>
      </c>
      <c r="P19" s="53">
        <v>2022</v>
      </c>
      <c r="Q19" s="50">
        <v>1253.9362300000003</v>
      </c>
      <c r="R19" s="50">
        <v>823.25831000000005</v>
      </c>
      <c r="S19" s="50">
        <v>806.36372000000006</v>
      </c>
      <c r="T19" s="50">
        <v>1063.4191899999998</v>
      </c>
      <c r="U19" s="50">
        <v>925.06336999999985</v>
      </c>
      <c r="V19" s="50">
        <v>1310.0266299999998</v>
      </c>
      <c r="W19" s="50">
        <v>916.34339000000011</v>
      </c>
      <c r="X19" s="50">
        <v>1792.0772500000003</v>
      </c>
      <c r="Y19" s="50">
        <v>2007.91572</v>
      </c>
      <c r="Z19" s="50">
        <v>2025.2499900000003</v>
      </c>
      <c r="AA19" s="45">
        <v>1493.9624400000002</v>
      </c>
      <c r="AB19" s="45">
        <v>1034.7021199999999</v>
      </c>
    </row>
    <row r="20" spans="15:32" x14ac:dyDescent="0.25">
      <c r="O20" s="53"/>
    </row>
    <row r="21" spans="15:32" x14ac:dyDescent="0.25">
      <c r="O21" s="49"/>
      <c r="P21" s="53"/>
      <c r="Q21" s="53" t="s">
        <v>180</v>
      </c>
      <c r="R21" s="53"/>
      <c r="S21" s="53"/>
      <c r="T21" s="53"/>
      <c r="U21" s="49"/>
      <c r="V21" s="53"/>
      <c r="W21" s="53"/>
      <c r="X21" s="53"/>
      <c r="Y21" s="53"/>
      <c r="Z21" s="53"/>
      <c r="AA21" s="53"/>
      <c r="AB21" s="53"/>
    </row>
    <row r="22" spans="15:32" x14ac:dyDescent="0.25">
      <c r="O22" s="49"/>
      <c r="P22" s="53"/>
      <c r="Q22" s="53" t="s">
        <v>139</v>
      </c>
      <c r="R22" s="53"/>
      <c r="S22" s="53"/>
      <c r="T22" s="53"/>
      <c r="U22" s="53"/>
      <c r="V22" s="53"/>
      <c r="W22" s="53"/>
      <c r="X22" s="53"/>
      <c r="Y22" s="53"/>
      <c r="Z22" s="53"/>
      <c r="AA22" s="53"/>
      <c r="AB22" s="53"/>
    </row>
    <row r="23" spans="15:32" x14ac:dyDescent="0.25">
      <c r="O23" s="47"/>
      <c r="P23" s="53"/>
      <c r="Q23" s="53" t="s">
        <v>167</v>
      </c>
      <c r="R23" s="53" t="s">
        <v>168</v>
      </c>
      <c r="S23" s="53" t="s">
        <v>169</v>
      </c>
      <c r="T23" s="53" t="s">
        <v>170</v>
      </c>
      <c r="U23" s="53" t="s">
        <v>171</v>
      </c>
      <c r="V23" s="53" t="s">
        <v>172</v>
      </c>
      <c r="W23" s="53" t="s">
        <v>173</v>
      </c>
      <c r="X23" s="53" t="s">
        <v>174</v>
      </c>
      <c r="Y23" s="53" t="s">
        <v>175</v>
      </c>
      <c r="Z23" s="53" t="s">
        <v>176</v>
      </c>
      <c r="AA23" s="53" t="s">
        <v>177</v>
      </c>
      <c r="AB23" s="53" t="s">
        <v>178</v>
      </c>
    </row>
    <row r="24" spans="15:32" x14ac:dyDescent="0.25">
      <c r="O24" s="48"/>
      <c r="P24" s="53">
        <v>2015</v>
      </c>
      <c r="Q24" s="76">
        <f t="shared" ref="Q24:AB24" si="0">Q12/Q3</f>
        <v>4.12040078196714</v>
      </c>
      <c r="R24" s="76">
        <f t="shared" si="0"/>
        <v>4.2760208916105951</v>
      </c>
      <c r="S24" s="76">
        <f t="shared" si="0"/>
        <v>4.2612030155861751</v>
      </c>
      <c r="T24" s="76">
        <f t="shared" si="0"/>
        <v>4.3619346617289532</v>
      </c>
      <c r="U24" s="76">
        <f t="shared" si="0"/>
        <v>4.2550641759554217</v>
      </c>
      <c r="V24" s="76">
        <f t="shared" si="0"/>
        <v>4.1267036626621802</v>
      </c>
      <c r="W24" s="76">
        <f t="shared" si="0"/>
        <v>3.9068326220278595</v>
      </c>
      <c r="X24" s="76">
        <f t="shared" si="0"/>
        <v>3.8773003264876253</v>
      </c>
      <c r="Y24" s="76">
        <f t="shared" si="0"/>
        <v>3.8394541862468934</v>
      </c>
      <c r="Z24" s="76">
        <f t="shared" si="0"/>
        <v>4.1246603819805703</v>
      </c>
      <c r="AA24" s="76">
        <f t="shared" si="0"/>
        <v>4.3532364442081422</v>
      </c>
      <c r="AB24" s="76">
        <f t="shared" si="0"/>
        <v>4.0488519236656799</v>
      </c>
    </row>
    <row r="25" spans="15:32" x14ac:dyDescent="0.25">
      <c r="O25" s="48"/>
      <c r="P25" s="53">
        <v>2016</v>
      </c>
      <c r="Q25" s="76">
        <f t="shared" ref="Q25:AB25" si="1">Q13/Q4</f>
        <v>4.0469565059682191</v>
      </c>
      <c r="R25" s="76">
        <f t="shared" si="1"/>
        <v>3.9917051998132425</v>
      </c>
      <c r="S25" s="76">
        <f t="shared" si="1"/>
        <v>4.1238352139371903</v>
      </c>
      <c r="T25" s="76">
        <f t="shared" si="1"/>
        <v>4.3738787362353158</v>
      </c>
      <c r="U25" s="76">
        <f t="shared" si="1"/>
        <v>4.0237046398374714</v>
      </c>
      <c r="V25" s="76">
        <f t="shared" si="1"/>
        <v>4.0013639345751972</v>
      </c>
      <c r="W25" s="76">
        <f t="shared" si="1"/>
        <v>3.5233576793699166</v>
      </c>
      <c r="X25" s="76">
        <f t="shared" si="1"/>
        <v>3.9100650782452391</v>
      </c>
      <c r="Y25" s="76">
        <f t="shared" si="1"/>
        <v>3.9407155880659857</v>
      </c>
      <c r="Z25" s="76">
        <f t="shared" si="1"/>
        <v>3.7814050512886821</v>
      </c>
      <c r="AA25" s="76">
        <f t="shared" si="1"/>
        <v>4.456839783369964</v>
      </c>
      <c r="AB25" s="76">
        <f t="shared" si="1"/>
        <v>4.0357922986237433</v>
      </c>
    </row>
    <row r="26" spans="15:32" x14ac:dyDescent="0.25">
      <c r="O26" s="53"/>
      <c r="P26" s="53">
        <v>2017</v>
      </c>
      <c r="Q26" s="76">
        <f t="shared" ref="Q26:AB26" si="2">Q14/Q5</f>
        <v>3.8724870384954642</v>
      </c>
      <c r="R26" s="76">
        <f t="shared" si="2"/>
        <v>4.3598999412592256</v>
      </c>
      <c r="S26" s="76">
        <f t="shared" si="2"/>
        <v>4.0730687645822679</v>
      </c>
      <c r="T26" s="76">
        <f t="shared" si="2"/>
        <v>3.9995461077593397</v>
      </c>
      <c r="U26" s="76">
        <f t="shared" si="2"/>
        <v>4.5138111052319339</v>
      </c>
      <c r="V26" s="76">
        <f t="shared" si="2"/>
        <v>3.9857234674202302</v>
      </c>
      <c r="W26" s="76">
        <f t="shared" si="2"/>
        <v>4.1456395040318554</v>
      </c>
      <c r="X26" s="76">
        <f t="shared" si="2"/>
        <v>4.4314590943650938</v>
      </c>
      <c r="Y26" s="76">
        <f t="shared" si="2"/>
        <v>4.1248634146066294</v>
      </c>
      <c r="Z26" s="76">
        <f t="shared" si="2"/>
        <v>4.0184805785157049</v>
      </c>
      <c r="AA26" s="76">
        <f t="shared" si="2"/>
        <v>3.5148783476878958</v>
      </c>
      <c r="AB26" s="76">
        <f t="shared" si="2"/>
        <v>4.3690313917317072</v>
      </c>
    </row>
    <row r="27" spans="15:32" x14ac:dyDescent="0.25">
      <c r="O27" s="53"/>
      <c r="P27" s="53">
        <v>2018</v>
      </c>
      <c r="Q27" s="76">
        <f t="shared" ref="Q27:AB27" si="3">Q15/Q6</f>
        <v>4.5059237453176229</v>
      </c>
      <c r="R27" s="76">
        <f t="shared" si="3"/>
        <v>4.5796805582519422</v>
      </c>
      <c r="S27" s="76">
        <f t="shared" si="3"/>
        <v>4.2464952861257377</v>
      </c>
      <c r="T27" s="76">
        <f t="shared" si="3"/>
        <v>4.4751772303623216</v>
      </c>
      <c r="U27" s="76">
        <f t="shared" si="3"/>
        <v>4.8696824173863593</v>
      </c>
      <c r="V27" s="76">
        <f t="shared" si="3"/>
        <v>3.9660461263272486</v>
      </c>
      <c r="W27" s="76">
        <f t="shared" si="3"/>
        <v>4.2604268978415032</v>
      </c>
      <c r="X27" s="76">
        <f t="shared" si="3"/>
        <v>4.0813096517492999</v>
      </c>
      <c r="Y27" s="76">
        <f t="shared" si="3"/>
        <v>3.7630606842965033</v>
      </c>
      <c r="Z27" s="76">
        <f t="shared" si="3"/>
        <v>4.1063240363286155</v>
      </c>
      <c r="AA27" s="76">
        <f t="shared" si="3"/>
        <v>4.0053503523603151</v>
      </c>
      <c r="AB27" s="76">
        <f t="shared" si="3"/>
        <v>3.8876864252387606</v>
      </c>
    </row>
    <row r="28" spans="15:32" x14ac:dyDescent="0.25">
      <c r="P28" s="53">
        <v>2019</v>
      </c>
      <c r="Q28" s="76">
        <f t="shared" ref="Q28:AB28" si="4">Q16/Q7</f>
        <v>4.0159799440053439</v>
      </c>
      <c r="R28" s="76">
        <f t="shared" si="4"/>
        <v>3.9223982282450196</v>
      </c>
      <c r="S28" s="76">
        <f t="shared" si="4"/>
        <v>4.1194774358732165</v>
      </c>
      <c r="T28" s="76">
        <f t="shared" si="4"/>
        <v>3.9559900651289293</v>
      </c>
      <c r="U28" s="76">
        <f t="shared" si="4"/>
        <v>4.0843360008458314</v>
      </c>
      <c r="V28" s="76">
        <f t="shared" si="4"/>
        <v>3.9280936166981002</v>
      </c>
      <c r="W28" s="76">
        <f t="shared" si="4"/>
        <v>4.2440242312928467</v>
      </c>
      <c r="X28" s="76">
        <f t="shared" si="4"/>
        <v>3.9789223195459487</v>
      </c>
      <c r="Y28" s="76">
        <f t="shared" si="4"/>
        <v>3.9866299159196239</v>
      </c>
      <c r="Z28" s="76">
        <f t="shared" si="4"/>
        <v>3.972198010336994</v>
      </c>
      <c r="AA28" s="76">
        <f t="shared" si="4"/>
        <v>4.0898888433843918</v>
      </c>
      <c r="AB28" s="76">
        <f t="shared" si="4"/>
        <v>4.0656983693357933</v>
      </c>
    </row>
    <row r="29" spans="15:32" x14ac:dyDescent="0.25">
      <c r="P29" s="53">
        <v>2020</v>
      </c>
      <c r="Q29" s="76">
        <f t="shared" ref="Q29:AB29" si="5">Q17/Q8</f>
        <v>4.4693818434811696</v>
      </c>
      <c r="R29" s="76">
        <f t="shared" si="5"/>
        <v>3.9132107918652395</v>
      </c>
      <c r="S29" s="76">
        <f t="shared" si="5"/>
        <v>4.2420096768619313</v>
      </c>
      <c r="T29" s="76">
        <f t="shared" si="5"/>
        <v>5.746640042928199</v>
      </c>
      <c r="U29" s="76">
        <f t="shared" si="5"/>
        <v>4.0586170589724118</v>
      </c>
      <c r="V29" s="76">
        <f t="shared" si="5"/>
        <v>4.0526316476965736</v>
      </c>
      <c r="W29" s="76">
        <f t="shared" si="5"/>
        <v>4.2482239216695126</v>
      </c>
      <c r="X29" s="76">
        <f t="shared" si="5"/>
        <v>3.9864440502936431</v>
      </c>
      <c r="Y29" s="76">
        <f t="shared" si="5"/>
        <v>4.0789026769343595</v>
      </c>
      <c r="Z29" s="76">
        <f t="shared" si="5"/>
        <v>4.0561195014550862</v>
      </c>
      <c r="AA29" s="76">
        <f t="shared" si="5"/>
        <v>4.2270077439327496</v>
      </c>
      <c r="AB29" s="76">
        <f t="shared" si="5"/>
        <v>3.8210958853406258</v>
      </c>
    </row>
    <row r="30" spans="15:32" x14ac:dyDescent="0.25">
      <c r="P30" s="53">
        <v>2021</v>
      </c>
      <c r="Q30" s="76">
        <f t="shared" ref="Q30:AB30" si="6">Q18/Q9</f>
        <v>4.5750153804713802</v>
      </c>
      <c r="R30" s="76">
        <f t="shared" si="6"/>
        <v>3.8392963051335753</v>
      </c>
      <c r="S30" s="76">
        <f t="shared" si="6"/>
        <v>4.0674741215852865</v>
      </c>
      <c r="T30" s="76">
        <f t="shared" si="6"/>
        <v>4.1521882329924491</v>
      </c>
      <c r="U30" s="76">
        <f t="shared" si="6"/>
        <v>3.5805153813269777</v>
      </c>
      <c r="V30" s="76">
        <f t="shared" si="6"/>
        <v>4.3186666443809303</v>
      </c>
      <c r="W30" s="76">
        <f t="shared" si="6"/>
        <v>4.0771028674584917</v>
      </c>
      <c r="X30" s="76">
        <f t="shared" si="6"/>
        <v>4.1363708174486895</v>
      </c>
      <c r="Y30" s="76">
        <f t="shared" si="6"/>
        <v>4.0218833098296969</v>
      </c>
      <c r="Z30" s="76">
        <f t="shared" si="6"/>
        <v>4.071031272658634</v>
      </c>
      <c r="AA30" s="76">
        <f t="shared" si="6"/>
        <v>4.3917457714697044</v>
      </c>
      <c r="AB30" s="76">
        <f t="shared" si="6"/>
        <v>3.5542935659506876</v>
      </c>
    </row>
    <row r="31" spans="15:32" x14ac:dyDescent="0.25">
      <c r="P31" s="53">
        <v>2022</v>
      </c>
      <c r="Q31" s="76">
        <f t="shared" ref="Q31:AB31" si="7">Q19/Q10</f>
        <v>3.783520421941311</v>
      </c>
      <c r="R31" s="76">
        <f t="shared" si="7"/>
        <v>3.9860763992282124</v>
      </c>
      <c r="S31" s="76">
        <f t="shared" si="7"/>
        <v>4.1709364868998824</v>
      </c>
      <c r="T31" s="76">
        <f t="shared" si="7"/>
        <v>4.2067712604460263</v>
      </c>
      <c r="U31" s="76">
        <f t="shared" si="7"/>
        <v>3.593372216783977</v>
      </c>
      <c r="V31" s="76">
        <f t="shared" si="7"/>
        <v>4.0474519490711129</v>
      </c>
      <c r="W31" s="76">
        <f t="shared" si="7"/>
        <v>4.040582004982693</v>
      </c>
      <c r="X31" s="76">
        <f t="shared" si="7"/>
        <v>3.9790404420274696</v>
      </c>
      <c r="Y31" s="76">
        <f t="shared" si="7"/>
        <v>3.9451850119902896</v>
      </c>
      <c r="Z31" s="76">
        <f t="shared" si="7"/>
        <v>3.8622684641320602</v>
      </c>
      <c r="AA31" s="76">
        <f t="shared" si="7"/>
        <v>4.0071896261069346</v>
      </c>
      <c r="AB31" s="76">
        <f t="shared" si="7"/>
        <v>3.8787099482877219</v>
      </c>
    </row>
  </sheetData>
  <phoneticPr fontId="58" type="noConversion"/>
  <pageMargins left="1" right="1" top="1" bottom="1" header="0.5" footer="0.5"/>
  <pageSetup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EA340-50D1-447E-9A16-C615AF2660F7}">
  <dimension ref="P1:AC13"/>
  <sheetViews>
    <sheetView workbookViewId="0"/>
  </sheetViews>
  <sheetFormatPr baseColWidth="10" defaultRowHeight="15" x14ac:dyDescent="0.25"/>
  <sheetData>
    <row r="1" spans="16:29" x14ac:dyDescent="0.25">
      <c r="P1" s="33"/>
      <c r="Q1" s="33"/>
      <c r="R1" s="33" t="s">
        <v>167</v>
      </c>
      <c r="S1" s="33" t="s">
        <v>168</v>
      </c>
      <c r="T1" s="33" t="s">
        <v>169</v>
      </c>
      <c r="U1" s="33" t="s">
        <v>170</v>
      </c>
      <c r="V1" s="33" t="s">
        <v>171</v>
      </c>
      <c r="W1" s="33" t="s">
        <v>172</v>
      </c>
      <c r="X1" s="33" t="s">
        <v>173</v>
      </c>
      <c r="Y1" s="33" t="s">
        <v>174</v>
      </c>
      <c r="Z1" s="33" t="s">
        <v>175</v>
      </c>
      <c r="AA1" s="33" t="s">
        <v>176</v>
      </c>
      <c r="AB1" s="33" t="s">
        <v>177</v>
      </c>
      <c r="AC1" s="33" t="s">
        <v>178</v>
      </c>
    </row>
    <row r="2" spans="16:29" x14ac:dyDescent="0.25">
      <c r="P2" s="33" t="s">
        <v>179</v>
      </c>
      <c r="Q2" s="33">
        <v>2022</v>
      </c>
      <c r="R2" s="271">
        <v>10.898999999999999</v>
      </c>
      <c r="S2" s="271">
        <v>13.41</v>
      </c>
      <c r="T2" s="271">
        <v>18.405000000000001</v>
      </c>
      <c r="U2" s="271">
        <v>16.816500000000001</v>
      </c>
      <c r="V2" s="271">
        <v>5.5259999999999998</v>
      </c>
      <c r="W2" s="271">
        <v>2.0249999999999999</v>
      </c>
      <c r="X2" s="271">
        <v>3.6</v>
      </c>
      <c r="Y2" s="271">
        <v>10.08</v>
      </c>
      <c r="Z2" s="271">
        <v>12.545999999999999</v>
      </c>
      <c r="AA2" s="271">
        <v>2.34</v>
      </c>
      <c r="AB2" s="271">
        <v>8.5500000000000007</v>
      </c>
      <c r="AC2" s="271">
        <v>1.35</v>
      </c>
    </row>
    <row r="3" spans="16:29" x14ac:dyDescent="0.25">
      <c r="P3" s="33" t="s">
        <v>179</v>
      </c>
      <c r="Q3" s="33">
        <v>2023</v>
      </c>
      <c r="R3" s="271"/>
      <c r="S3" s="271"/>
      <c r="T3" s="271"/>
      <c r="U3" s="271"/>
      <c r="V3" s="271"/>
      <c r="W3" s="271"/>
      <c r="X3" s="271"/>
      <c r="Y3" s="271"/>
      <c r="Z3" s="271"/>
      <c r="AA3" s="271">
        <f t="shared" ref="AA3:AC3" si="0">AO3/1000</f>
        <v>0</v>
      </c>
      <c r="AB3" s="271">
        <f t="shared" si="0"/>
        <v>0</v>
      </c>
      <c r="AC3" s="271">
        <f t="shared" si="0"/>
        <v>0</v>
      </c>
    </row>
    <row r="4" spans="16:29" x14ac:dyDescent="0.25">
      <c r="P4" s="13"/>
      <c r="Q4" s="13"/>
      <c r="R4" s="270"/>
      <c r="S4" s="270"/>
      <c r="T4" s="270"/>
      <c r="U4" s="270"/>
      <c r="V4" s="270"/>
      <c r="W4" s="270"/>
      <c r="X4" s="270"/>
      <c r="Y4" s="270"/>
      <c r="Z4" s="270"/>
      <c r="AA4" s="270"/>
      <c r="AB4" s="87"/>
      <c r="AC4" s="87"/>
    </row>
    <row r="5" spans="16:29" x14ac:dyDescent="0.25">
      <c r="P5" s="33" t="s">
        <v>93</v>
      </c>
      <c r="Q5" s="33">
        <v>2022</v>
      </c>
      <c r="R5" s="269">
        <v>55.630749999999999</v>
      </c>
      <c r="S5" s="269">
        <v>62.263460000000002</v>
      </c>
      <c r="T5" s="269">
        <v>97.725399999999993</v>
      </c>
      <c r="U5" s="269">
        <v>83.822699999999998</v>
      </c>
      <c r="V5" s="269">
        <v>39.767269999999996</v>
      </c>
      <c r="W5" s="269">
        <v>13.62776</v>
      </c>
      <c r="X5" s="269">
        <v>23.499510000000001</v>
      </c>
      <c r="Y5" s="269">
        <v>70.742519999999999</v>
      </c>
      <c r="Z5" s="269">
        <v>84.863820000000004</v>
      </c>
      <c r="AA5" s="269">
        <v>16.832889999999999</v>
      </c>
      <c r="AB5" s="269">
        <v>57.5</v>
      </c>
      <c r="AC5" s="269">
        <v>9.6129999999999995</v>
      </c>
    </row>
    <row r="6" spans="16:29" x14ac:dyDescent="0.25">
      <c r="P6" s="33" t="s">
        <v>93</v>
      </c>
      <c r="Q6" s="33">
        <v>2023</v>
      </c>
      <c r="R6" s="269"/>
      <c r="S6" s="269"/>
      <c r="T6" s="269"/>
      <c r="U6" s="269"/>
      <c r="V6" s="269"/>
      <c r="W6" s="269"/>
      <c r="X6" s="269"/>
      <c r="Y6" s="269"/>
      <c r="Z6" s="269"/>
      <c r="AA6" s="269">
        <f t="shared" ref="AA6:AC6" si="1">AO6/1000</f>
        <v>0</v>
      </c>
      <c r="AB6" s="269">
        <f t="shared" si="1"/>
        <v>0</v>
      </c>
      <c r="AC6" s="269">
        <f t="shared" si="1"/>
        <v>0</v>
      </c>
    </row>
    <row r="7" spans="16:29" x14ac:dyDescent="0.25">
      <c r="P7" s="13"/>
      <c r="Q7" s="13"/>
      <c r="R7" s="270"/>
      <c r="S7" s="270"/>
      <c r="T7" s="270"/>
      <c r="U7" s="270"/>
      <c r="V7" s="270"/>
      <c r="W7" s="270"/>
      <c r="X7" s="270"/>
      <c r="Y7" s="270"/>
      <c r="Z7" s="270"/>
      <c r="AA7" s="270"/>
      <c r="AB7" s="87"/>
      <c r="AC7" s="87"/>
    </row>
    <row r="8" spans="16:29" x14ac:dyDescent="0.25">
      <c r="P8" s="33" t="s">
        <v>180</v>
      </c>
      <c r="Q8" s="33"/>
      <c r="R8" s="13"/>
      <c r="S8" s="33"/>
      <c r="T8" s="33"/>
      <c r="U8" s="33"/>
      <c r="V8" s="33"/>
      <c r="W8" s="33"/>
      <c r="X8" s="33"/>
      <c r="Y8" s="33"/>
      <c r="Z8" s="33"/>
      <c r="AA8" s="34"/>
      <c r="AB8" s="34"/>
      <c r="AC8" s="33"/>
    </row>
    <row r="9" spans="16:29" x14ac:dyDescent="0.25">
      <c r="P9" s="34"/>
      <c r="Q9" s="33"/>
      <c r="R9" s="33" t="s">
        <v>167</v>
      </c>
      <c r="S9" s="33" t="s">
        <v>168</v>
      </c>
      <c r="T9" s="33" t="s">
        <v>169</v>
      </c>
      <c r="U9" s="33" t="s">
        <v>170</v>
      </c>
      <c r="V9" s="33" t="s">
        <v>171</v>
      </c>
      <c r="W9" s="33" t="s">
        <v>172</v>
      </c>
      <c r="X9" s="33" t="s">
        <v>173</v>
      </c>
      <c r="Y9" s="33" t="s">
        <v>174</v>
      </c>
      <c r="Z9" s="33" t="s">
        <v>175</v>
      </c>
      <c r="AA9" s="33" t="s">
        <v>176</v>
      </c>
      <c r="AB9" s="33" t="s">
        <v>177</v>
      </c>
      <c r="AC9" s="33" t="s">
        <v>178</v>
      </c>
    </row>
    <row r="10" spans="16:29" x14ac:dyDescent="0.25">
      <c r="P10" s="36"/>
      <c r="Q10" s="33">
        <v>2022</v>
      </c>
      <c r="R10" s="36">
        <f t="shared" ref="R10:AC10" si="2">R5/R2</f>
        <v>5.1042068079640339</v>
      </c>
      <c r="S10" s="36">
        <f t="shared" si="2"/>
        <v>4.6430618941088744</v>
      </c>
      <c r="T10" s="36">
        <f t="shared" si="2"/>
        <v>5.3097201847324094</v>
      </c>
      <c r="U10" s="36">
        <f t="shared" si="2"/>
        <v>4.9845508875211841</v>
      </c>
      <c r="V10" s="36">
        <f t="shared" si="2"/>
        <v>7.1963934129569305</v>
      </c>
      <c r="W10" s="36">
        <f t="shared" si="2"/>
        <v>6.7297580246913586</v>
      </c>
      <c r="X10" s="36">
        <f t="shared" si="2"/>
        <v>6.5276416666666668</v>
      </c>
      <c r="Y10" s="36">
        <f t="shared" si="2"/>
        <v>7.0181071428571427</v>
      </c>
      <c r="Z10" s="36">
        <f t="shared" si="2"/>
        <v>6.7642132950741276</v>
      </c>
      <c r="AA10" s="36">
        <f t="shared" si="2"/>
        <v>7.193542735042735</v>
      </c>
      <c r="AB10" s="36">
        <f t="shared" si="2"/>
        <v>6.7251461988304087</v>
      </c>
      <c r="AC10" s="36">
        <f t="shared" si="2"/>
        <v>7.1207407407407404</v>
      </c>
    </row>
    <row r="11" spans="16:29" x14ac:dyDescent="0.25">
      <c r="P11" s="37"/>
      <c r="Q11" s="33">
        <v>2023</v>
      </c>
      <c r="R11" s="36" t="e">
        <f t="shared" ref="R11:AC11" si="3">R6/R3</f>
        <v>#DIV/0!</v>
      </c>
      <c r="S11" s="36" t="e">
        <f t="shared" si="3"/>
        <v>#DIV/0!</v>
      </c>
      <c r="T11" s="36" t="e">
        <f t="shared" si="3"/>
        <v>#DIV/0!</v>
      </c>
      <c r="U11" s="36" t="e">
        <f t="shared" si="3"/>
        <v>#DIV/0!</v>
      </c>
      <c r="V11" s="36" t="e">
        <f t="shared" si="3"/>
        <v>#DIV/0!</v>
      </c>
      <c r="W11" s="36" t="e">
        <f t="shared" si="3"/>
        <v>#DIV/0!</v>
      </c>
      <c r="X11" s="36" t="e">
        <f t="shared" si="3"/>
        <v>#DIV/0!</v>
      </c>
      <c r="Y11" s="36" t="e">
        <f t="shared" si="3"/>
        <v>#DIV/0!</v>
      </c>
      <c r="Z11" s="36" t="e">
        <f t="shared" si="3"/>
        <v>#DIV/0!</v>
      </c>
      <c r="AA11" s="36" t="e">
        <f t="shared" si="3"/>
        <v>#DIV/0!</v>
      </c>
      <c r="AB11" s="36" t="e">
        <f t="shared" si="3"/>
        <v>#DIV/0!</v>
      </c>
      <c r="AC11" s="36" t="e">
        <f t="shared" si="3"/>
        <v>#DIV/0!</v>
      </c>
    </row>
    <row r="12" spans="16:29" x14ac:dyDescent="0.25">
      <c r="P12" s="31"/>
      <c r="Q12" s="33"/>
      <c r="R12" s="36"/>
      <c r="S12" s="36"/>
      <c r="T12" s="36"/>
      <c r="U12" s="36"/>
      <c r="V12" s="36"/>
      <c r="W12" s="36"/>
      <c r="X12" s="36"/>
      <c r="Y12" s="36"/>
      <c r="Z12" s="36"/>
      <c r="AA12" s="36"/>
      <c r="AB12" s="36"/>
      <c r="AC12" s="36"/>
    </row>
    <row r="13" spans="16:29" x14ac:dyDescent="0.25">
      <c r="P13" s="32"/>
      <c r="Q13" s="33"/>
      <c r="R13" s="36"/>
      <c r="S13" s="36"/>
      <c r="T13" s="36"/>
      <c r="U13" s="36"/>
      <c r="V13" s="36"/>
      <c r="W13" s="36"/>
      <c r="X13" s="36"/>
      <c r="Y13" s="36"/>
      <c r="Z13" s="36"/>
      <c r="AA13" s="36"/>
      <c r="AB13" s="36"/>
      <c r="AC13" s="36"/>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5"/>
  <sheetViews>
    <sheetView zoomScale="90" zoomScaleNormal="90" zoomScaleSheetLayoutView="100" workbookViewId="0">
      <selection sqref="A1:J1"/>
    </sheetView>
  </sheetViews>
  <sheetFormatPr baseColWidth="10" defaultColWidth="11.42578125" defaultRowHeight="15" x14ac:dyDescent="0.25"/>
  <cols>
    <col min="1" max="1" width="15.7109375" customWidth="1"/>
    <col min="2" max="2" width="10.42578125" customWidth="1"/>
    <col min="3" max="4" width="10.85546875" customWidth="1"/>
    <col min="5" max="5" width="12.42578125" customWidth="1"/>
    <col min="6" max="8" width="10.7109375" customWidth="1"/>
    <col min="11" max="11" width="11.42578125" customWidth="1"/>
  </cols>
  <sheetData>
    <row r="1" spans="1:11" x14ac:dyDescent="0.25">
      <c r="A1" s="366" t="s">
        <v>549</v>
      </c>
      <c r="B1" s="366"/>
      <c r="C1" s="366"/>
      <c r="D1" s="366"/>
      <c r="E1" s="366"/>
      <c r="F1" s="366"/>
      <c r="G1" s="366"/>
      <c r="H1" s="366"/>
      <c r="I1" s="366"/>
      <c r="J1" s="366"/>
    </row>
    <row r="2" spans="1:11" x14ac:dyDescent="0.25">
      <c r="A2" s="367" t="s">
        <v>145</v>
      </c>
      <c r="B2" s="363" t="s">
        <v>146</v>
      </c>
      <c r="C2" s="363"/>
      <c r="D2" s="363"/>
      <c r="E2" s="363"/>
      <c r="F2" s="364" t="s">
        <v>147</v>
      </c>
      <c r="G2" s="363"/>
      <c r="H2" s="363"/>
      <c r="I2" s="363"/>
      <c r="J2" s="365"/>
    </row>
    <row r="3" spans="1:11" x14ac:dyDescent="0.25">
      <c r="A3" s="368"/>
      <c r="B3" s="361">
        <v>2020</v>
      </c>
      <c r="C3" s="359">
        <v>2021</v>
      </c>
      <c r="D3" s="360">
        <v>2022</v>
      </c>
      <c r="E3" s="359" t="s">
        <v>292</v>
      </c>
      <c r="F3" s="370">
        <v>2021</v>
      </c>
      <c r="G3" s="359">
        <f>C3</f>
        <v>2021</v>
      </c>
      <c r="H3" s="359">
        <v>2022</v>
      </c>
      <c r="I3" s="359" t="s">
        <v>292</v>
      </c>
      <c r="J3" s="359" t="s">
        <v>293</v>
      </c>
    </row>
    <row r="4" spans="1:11" x14ac:dyDescent="0.25">
      <c r="A4" s="369"/>
      <c r="B4" s="362"/>
      <c r="C4" s="359"/>
      <c r="D4" s="360"/>
      <c r="E4" s="359"/>
      <c r="F4" s="371"/>
      <c r="G4" s="359"/>
      <c r="H4" s="359"/>
      <c r="I4" s="359"/>
      <c r="J4" s="359"/>
    </row>
    <row r="5" spans="1:11" x14ac:dyDescent="0.25">
      <c r="A5" s="178" t="s">
        <v>148</v>
      </c>
      <c r="B5" s="93">
        <v>48851</v>
      </c>
      <c r="C5" s="93">
        <v>63839</v>
      </c>
      <c r="D5" s="93">
        <v>57884</v>
      </c>
      <c r="E5" s="236">
        <f>D5/C5-1</f>
        <v>-9.3281536364917983E-2</v>
      </c>
      <c r="F5" s="93">
        <v>181985</v>
      </c>
      <c r="G5" s="93">
        <v>249603</v>
      </c>
      <c r="H5" s="93">
        <v>225231</v>
      </c>
      <c r="I5" s="194">
        <f>H5/G5-1</f>
        <v>-9.7643057174793602E-2</v>
      </c>
      <c r="J5" s="194">
        <f>H5/H$17</f>
        <v>0.15433080901518703</v>
      </c>
      <c r="K5" s="79"/>
    </row>
    <row r="6" spans="1:11" x14ac:dyDescent="0.25">
      <c r="A6" s="178" t="s">
        <v>149</v>
      </c>
      <c r="B6" s="93">
        <v>72518</v>
      </c>
      <c r="C6" s="93">
        <v>67682</v>
      </c>
      <c r="D6" s="93">
        <v>66512</v>
      </c>
      <c r="E6" s="236">
        <f t="shared" ref="E6:E17" si="0">D6/C6-1</f>
        <v>-1.7286723205579002E-2</v>
      </c>
      <c r="F6" s="93">
        <v>179547</v>
      </c>
      <c r="G6" s="93">
        <v>179278</v>
      </c>
      <c r="H6" s="93">
        <v>179492</v>
      </c>
      <c r="I6" s="194">
        <f>H6/G6-1</f>
        <v>1.193676859402748E-3</v>
      </c>
      <c r="J6" s="194">
        <f>H6/H$17</f>
        <v>0.12298993287670858</v>
      </c>
      <c r="K6" s="79"/>
    </row>
    <row r="7" spans="1:11" x14ac:dyDescent="0.25">
      <c r="A7" s="178" t="s">
        <v>150</v>
      </c>
      <c r="B7" s="93">
        <v>52994</v>
      </c>
      <c r="C7" s="93">
        <v>53405</v>
      </c>
      <c r="D7" s="93">
        <v>44353</v>
      </c>
      <c r="E7" s="236">
        <f t="shared" si="0"/>
        <v>-0.16949723808632156</v>
      </c>
      <c r="F7" s="93">
        <v>151139</v>
      </c>
      <c r="G7" s="93">
        <v>165316</v>
      </c>
      <c r="H7" s="93">
        <v>130105</v>
      </c>
      <c r="I7" s="194">
        <f t="shared" ref="I7:I17" si="1">H7/G7-1</f>
        <v>-0.21299208788018098</v>
      </c>
      <c r="J7" s="194">
        <f>H7/H$17</f>
        <v>8.9149406195953962E-2</v>
      </c>
      <c r="K7" s="79"/>
    </row>
    <row r="8" spans="1:11" x14ac:dyDescent="0.25">
      <c r="A8" s="178" t="s">
        <v>151</v>
      </c>
      <c r="B8" s="93">
        <v>47871</v>
      </c>
      <c r="C8" s="93">
        <v>41647</v>
      </c>
      <c r="D8" s="93">
        <v>43476</v>
      </c>
      <c r="E8" s="236">
        <f t="shared" si="0"/>
        <v>4.391672869594454E-2</v>
      </c>
      <c r="F8" s="93">
        <v>130602</v>
      </c>
      <c r="G8" s="93">
        <v>114739</v>
      </c>
      <c r="H8" s="93">
        <v>122626</v>
      </c>
      <c r="I8" s="194">
        <f t="shared" si="1"/>
        <v>6.8738615466406472E-2</v>
      </c>
      <c r="J8" s="194">
        <f>H8/H$17</f>
        <v>8.4024711457553899E-2</v>
      </c>
      <c r="K8" s="79"/>
    </row>
    <row r="9" spans="1:11" x14ac:dyDescent="0.25">
      <c r="A9" s="178" t="s">
        <v>152</v>
      </c>
      <c r="B9" s="93">
        <v>31395</v>
      </c>
      <c r="C9" s="93">
        <v>31858</v>
      </c>
      <c r="D9" s="93">
        <v>27407</v>
      </c>
      <c r="E9" s="236">
        <f t="shared" si="0"/>
        <v>-0.13971372967543472</v>
      </c>
      <c r="F9" s="93">
        <v>103846</v>
      </c>
      <c r="G9" s="93">
        <v>113662</v>
      </c>
      <c r="H9" s="93">
        <v>110303</v>
      </c>
      <c r="I9" s="194">
        <f t="shared" si="1"/>
        <v>-2.9552532948566856E-2</v>
      </c>
      <c r="J9" s="194">
        <f t="shared" ref="J9:J17" si="2">H9/H$17</f>
        <v>7.5580853553916527E-2</v>
      </c>
      <c r="K9" s="79"/>
    </row>
    <row r="10" spans="1:11" x14ac:dyDescent="0.25">
      <c r="A10" s="178" t="s">
        <v>154</v>
      </c>
      <c r="B10" s="93">
        <v>29914</v>
      </c>
      <c r="C10" s="93">
        <v>26568</v>
      </c>
      <c r="D10" s="93">
        <v>27221</v>
      </c>
      <c r="E10" s="236">
        <f t="shared" si="0"/>
        <v>2.4578440228846699E-2</v>
      </c>
      <c r="F10" s="93">
        <v>92721</v>
      </c>
      <c r="G10" s="93">
        <v>88384</v>
      </c>
      <c r="H10" s="93">
        <v>81730</v>
      </c>
      <c r="I10" s="194">
        <f t="shared" si="1"/>
        <v>-7.5285119478638696E-2</v>
      </c>
      <c r="J10" s="194">
        <f t="shared" si="2"/>
        <v>5.6002313273089563E-2</v>
      </c>
      <c r="K10" s="79"/>
    </row>
    <row r="11" spans="1:11" x14ac:dyDescent="0.25">
      <c r="A11" s="178" t="s">
        <v>153</v>
      </c>
      <c r="B11" s="93">
        <v>14460</v>
      </c>
      <c r="C11" s="93">
        <v>17453</v>
      </c>
      <c r="D11" s="93">
        <v>13015</v>
      </c>
      <c r="E11" s="236">
        <f t="shared" si="0"/>
        <v>-0.25428293130120894</v>
      </c>
      <c r="F11" s="93">
        <v>56106</v>
      </c>
      <c r="G11" s="93">
        <v>76210</v>
      </c>
      <c r="H11" s="93">
        <v>64145</v>
      </c>
      <c r="I11" s="194">
        <f>H11/G11-1</f>
        <v>-0.15831255740716443</v>
      </c>
      <c r="J11" s="194">
        <f t="shared" si="2"/>
        <v>4.3952873912912395E-2</v>
      </c>
      <c r="K11" s="79"/>
    </row>
    <row r="12" spans="1:11" x14ac:dyDescent="0.25">
      <c r="A12" s="178" t="s">
        <v>155</v>
      </c>
      <c r="B12" s="93">
        <v>13703</v>
      </c>
      <c r="C12" s="93">
        <v>12972</v>
      </c>
      <c r="D12" s="93">
        <v>13323</v>
      </c>
      <c r="E12" s="236">
        <f t="shared" si="0"/>
        <v>2.7058279370952842E-2</v>
      </c>
      <c r="F12" s="93">
        <v>58660</v>
      </c>
      <c r="G12" s="93">
        <v>62849</v>
      </c>
      <c r="H12" s="93">
        <v>63009</v>
      </c>
      <c r="I12" s="194">
        <f t="shared" si="1"/>
        <v>2.545784340244106E-3</v>
      </c>
      <c r="J12" s="194">
        <f t="shared" si="2"/>
        <v>4.3174473963343937E-2</v>
      </c>
      <c r="K12" s="79"/>
    </row>
    <row r="13" spans="1:11" x14ac:dyDescent="0.25">
      <c r="A13" s="178" t="s">
        <v>156</v>
      </c>
      <c r="B13" s="93">
        <v>13258</v>
      </c>
      <c r="C13" s="93">
        <v>15195</v>
      </c>
      <c r="D13" s="93">
        <v>19572</v>
      </c>
      <c r="E13" s="236">
        <f t="shared" si="0"/>
        <v>0.28805528134254699</v>
      </c>
      <c r="F13" s="93">
        <v>32905</v>
      </c>
      <c r="G13" s="93">
        <v>39780</v>
      </c>
      <c r="H13" s="93">
        <v>52883</v>
      </c>
      <c r="I13" s="194">
        <f t="shared" si="1"/>
        <v>0.32938662644544991</v>
      </c>
      <c r="J13" s="194">
        <f t="shared" si="2"/>
        <v>3.6236025117102597E-2</v>
      </c>
      <c r="K13" s="79"/>
    </row>
    <row r="14" spans="1:11" x14ac:dyDescent="0.25">
      <c r="A14" s="178" t="s">
        <v>298</v>
      </c>
      <c r="B14" s="93">
        <v>14710</v>
      </c>
      <c r="C14" s="93">
        <v>12279</v>
      </c>
      <c r="D14" s="93">
        <v>14712</v>
      </c>
      <c r="E14" s="236">
        <f t="shared" si="0"/>
        <v>0.19814317126801861</v>
      </c>
      <c r="F14" s="93">
        <v>46965</v>
      </c>
      <c r="G14" s="93">
        <v>40373</v>
      </c>
      <c r="H14" s="93">
        <v>41299</v>
      </c>
      <c r="I14" s="194">
        <f t="shared" si="1"/>
        <v>2.2936120674708294E-2</v>
      </c>
      <c r="J14" s="194">
        <f t="shared" si="2"/>
        <v>2.8298538307418644E-2</v>
      </c>
      <c r="K14" s="79"/>
    </row>
    <row r="15" spans="1:11" x14ac:dyDescent="0.25">
      <c r="A15" s="94" t="s">
        <v>157</v>
      </c>
      <c r="B15" s="95">
        <v>339674</v>
      </c>
      <c r="C15" s="95">
        <v>342898</v>
      </c>
      <c r="D15" s="95">
        <v>327475</v>
      </c>
      <c r="E15" s="237">
        <f t="shared" si="0"/>
        <v>-4.4978390075182673E-2</v>
      </c>
      <c r="F15" s="95">
        <v>1034476</v>
      </c>
      <c r="G15" s="95">
        <v>1130194</v>
      </c>
      <c r="H15" s="95">
        <v>1070823</v>
      </c>
      <c r="I15" s="195">
        <f t="shared" si="1"/>
        <v>-5.2531689249810221E-2</v>
      </c>
      <c r="J15" s="195">
        <f t="shared" si="2"/>
        <v>0.73373993767318713</v>
      </c>
      <c r="K15" s="79"/>
    </row>
    <row r="16" spans="1:11" x14ac:dyDescent="0.25">
      <c r="A16" s="96" t="s">
        <v>158</v>
      </c>
      <c r="B16" s="93">
        <v>106217</v>
      </c>
      <c r="C16" s="93">
        <v>105276</v>
      </c>
      <c r="D16" s="93">
        <v>115990</v>
      </c>
      <c r="E16" s="236">
        <f t="shared" si="0"/>
        <v>0.10177058398875327</v>
      </c>
      <c r="F16" s="93">
        <v>359398</v>
      </c>
      <c r="G16" s="93">
        <v>375437</v>
      </c>
      <c r="H16" s="93">
        <v>388581</v>
      </c>
      <c r="I16" s="194">
        <f t="shared" si="1"/>
        <v>3.5009868499908059E-2</v>
      </c>
      <c r="J16" s="194">
        <f t="shared" si="2"/>
        <v>0.26626006232681287</v>
      </c>
      <c r="K16" s="79"/>
    </row>
    <row r="17" spans="1:11" x14ac:dyDescent="0.25">
      <c r="A17" s="97" t="s">
        <v>159</v>
      </c>
      <c r="B17" s="95">
        <v>445891</v>
      </c>
      <c r="C17" s="95">
        <v>448174</v>
      </c>
      <c r="D17" s="95">
        <v>443465</v>
      </c>
      <c r="E17" s="237">
        <f t="shared" si="0"/>
        <v>-1.050707983952659E-2</v>
      </c>
      <c r="F17" s="95">
        <v>1393874</v>
      </c>
      <c r="G17" s="95">
        <v>1505631</v>
      </c>
      <c r="H17" s="95">
        <v>1459404</v>
      </c>
      <c r="I17" s="195">
        <f t="shared" si="1"/>
        <v>-3.0702741906881603E-2</v>
      </c>
      <c r="J17" s="195">
        <f t="shared" si="2"/>
        <v>1</v>
      </c>
      <c r="K17" s="79"/>
    </row>
    <row r="18" spans="1:11" x14ac:dyDescent="0.25">
      <c r="A18" s="351" t="s">
        <v>160</v>
      </c>
      <c r="B18" s="351"/>
      <c r="C18" s="351"/>
      <c r="D18" s="351"/>
      <c r="E18" s="351"/>
      <c r="F18" s="351"/>
      <c r="G18" s="351"/>
      <c r="H18" s="351"/>
      <c r="I18" s="351"/>
      <c r="J18" s="351"/>
    </row>
    <row r="19" spans="1:11" x14ac:dyDescent="0.25">
      <c r="A19" s="351" t="s">
        <v>161</v>
      </c>
      <c r="B19" s="351"/>
      <c r="C19" s="351"/>
      <c r="D19" s="351"/>
      <c r="E19" s="351"/>
      <c r="F19" s="351"/>
      <c r="G19" s="351"/>
      <c r="H19" s="351"/>
      <c r="I19" s="351"/>
      <c r="J19" s="351"/>
    </row>
    <row r="33" spans="1:11" x14ac:dyDescent="0.25">
      <c r="A33" s="366" t="s">
        <v>550</v>
      </c>
      <c r="B33" s="366"/>
      <c r="C33" s="366"/>
      <c r="D33" s="366"/>
      <c r="E33" s="366"/>
      <c r="F33" s="366"/>
      <c r="G33" s="366"/>
      <c r="H33" s="366"/>
      <c r="I33" s="366"/>
      <c r="J33" s="366"/>
    </row>
    <row r="34" spans="1:11" x14ac:dyDescent="0.25">
      <c r="A34" s="367" t="s">
        <v>145</v>
      </c>
      <c r="B34" s="363" t="s">
        <v>146</v>
      </c>
      <c r="C34" s="363"/>
      <c r="D34" s="363"/>
      <c r="E34" s="363"/>
      <c r="F34" s="364" t="s">
        <v>147</v>
      </c>
      <c r="G34" s="363"/>
      <c r="H34" s="363"/>
      <c r="I34" s="363"/>
      <c r="J34" s="365"/>
    </row>
    <row r="35" spans="1:11" x14ac:dyDescent="0.25">
      <c r="A35" s="368"/>
      <c r="B35" s="359">
        <v>2020</v>
      </c>
      <c r="C35" s="359">
        <v>2021</v>
      </c>
      <c r="D35" s="359">
        <v>2022</v>
      </c>
      <c r="E35" s="359" t="s">
        <v>292</v>
      </c>
      <c r="F35" s="370">
        <v>2020</v>
      </c>
      <c r="G35" s="359">
        <v>2021</v>
      </c>
      <c r="H35" s="359">
        <v>2022</v>
      </c>
      <c r="I35" s="359" t="s">
        <v>292</v>
      </c>
      <c r="J35" s="359" t="s">
        <v>293</v>
      </c>
    </row>
    <row r="36" spans="1:11" x14ac:dyDescent="0.25">
      <c r="A36" s="369"/>
      <c r="B36" s="359"/>
      <c r="C36" s="359"/>
      <c r="D36" s="359"/>
      <c r="E36" s="359"/>
      <c r="F36" s="371"/>
      <c r="G36" s="359"/>
      <c r="H36" s="359"/>
      <c r="I36" s="359"/>
      <c r="J36" s="359"/>
    </row>
    <row r="37" spans="1:11" x14ac:dyDescent="0.25">
      <c r="A37" s="245" t="s">
        <v>150</v>
      </c>
      <c r="B37" s="192">
        <v>73238</v>
      </c>
      <c r="C37" s="192">
        <v>61811</v>
      </c>
      <c r="D37" s="192">
        <v>67674</v>
      </c>
      <c r="E37" s="168">
        <f>D37/C37-1</f>
        <v>9.4853666823057292E-2</v>
      </c>
      <c r="F37" s="99">
        <v>65609</v>
      </c>
      <c r="G37" s="99">
        <v>60380</v>
      </c>
      <c r="H37" s="99">
        <v>70848</v>
      </c>
      <c r="I37" s="168">
        <f>H37/G37-1</f>
        <v>0.17336866512090099</v>
      </c>
      <c r="J37" s="168">
        <f>H37/$H$49</f>
        <v>0.23674950627061384</v>
      </c>
      <c r="K37" s="79"/>
    </row>
    <row r="38" spans="1:11" x14ac:dyDescent="0.25">
      <c r="A38" s="245" t="s">
        <v>152</v>
      </c>
      <c r="B38" s="192">
        <v>104573</v>
      </c>
      <c r="C38" s="192">
        <v>129870</v>
      </c>
      <c r="D38" s="192">
        <v>81117</v>
      </c>
      <c r="E38" s="168">
        <f t="shared" ref="E38:E49" si="3">D38/C38-1</f>
        <v>-0.37539847539847537</v>
      </c>
      <c r="F38" s="99">
        <v>80145</v>
      </c>
      <c r="G38" s="99">
        <v>101224</v>
      </c>
      <c r="H38" s="99">
        <v>69951</v>
      </c>
      <c r="I38" s="168">
        <f t="shared" ref="I38:I49" si="4">H38/G38-1</f>
        <v>-0.3089484707184067</v>
      </c>
      <c r="J38" s="168">
        <f t="shared" ref="J38:J49" si="5">H38/$H$49</f>
        <v>0.23375204258603924</v>
      </c>
      <c r="K38" s="79"/>
    </row>
    <row r="39" spans="1:11" x14ac:dyDescent="0.25">
      <c r="A39" s="245" t="s">
        <v>148</v>
      </c>
      <c r="B39" s="192">
        <v>40825</v>
      </c>
      <c r="C39" s="192">
        <v>57540</v>
      </c>
      <c r="D39" s="192">
        <v>71896</v>
      </c>
      <c r="E39" s="168">
        <f t="shared" si="3"/>
        <v>0.2494960027806743</v>
      </c>
      <c r="F39" s="99">
        <v>45275</v>
      </c>
      <c r="G39" s="99">
        <v>55162</v>
      </c>
      <c r="H39" s="99">
        <v>68952</v>
      </c>
      <c r="I39" s="168">
        <f t="shared" si="4"/>
        <v>0.24999093578913012</v>
      </c>
      <c r="J39" s="168">
        <f t="shared" si="5"/>
        <v>0.23041373018816855</v>
      </c>
      <c r="K39" s="79"/>
    </row>
    <row r="40" spans="1:11" x14ac:dyDescent="0.25">
      <c r="A40" s="245" t="s">
        <v>162</v>
      </c>
      <c r="B40" s="192">
        <v>34786</v>
      </c>
      <c r="C40" s="192">
        <v>25959</v>
      </c>
      <c r="D40" s="192">
        <v>23214</v>
      </c>
      <c r="E40" s="168">
        <f t="shared" si="3"/>
        <v>-0.10574367271466545</v>
      </c>
      <c r="F40" s="99">
        <v>27497</v>
      </c>
      <c r="G40" s="99">
        <v>23240</v>
      </c>
      <c r="H40" s="99">
        <v>19353</v>
      </c>
      <c r="I40" s="168">
        <f t="shared" si="4"/>
        <v>-0.16725473321858864</v>
      </c>
      <c r="J40" s="168">
        <f t="shared" si="5"/>
        <v>6.4671030866858478E-2</v>
      </c>
      <c r="K40" s="79"/>
    </row>
    <row r="41" spans="1:11" x14ac:dyDescent="0.25">
      <c r="A41" s="245" t="s">
        <v>151</v>
      </c>
      <c r="B41" s="192">
        <v>21583</v>
      </c>
      <c r="C41" s="192">
        <v>18718</v>
      </c>
      <c r="D41" s="192">
        <v>18916</v>
      </c>
      <c r="E41" s="168">
        <f t="shared" si="3"/>
        <v>1.0578053210813065E-2</v>
      </c>
      <c r="F41" s="99">
        <v>17153</v>
      </c>
      <c r="G41" s="99">
        <v>14857</v>
      </c>
      <c r="H41" s="99">
        <v>15078</v>
      </c>
      <c r="I41" s="168">
        <f t="shared" si="4"/>
        <v>1.4875143030221416E-2</v>
      </c>
      <c r="J41" s="168">
        <f t="shared" si="5"/>
        <v>5.0385459794889273E-2</v>
      </c>
      <c r="K41" s="79"/>
    </row>
    <row r="42" spans="1:11" x14ac:dyDescent="0.25">
      <c r="A42" s="245" t="s">
        <v>163</v>
      </c>
      <c r="B42" s="192">
        <v>11044</v>
      </c>
      <c r="C42" s="192">
        <v>9629</v>
      </c>
      <c r="D42" s="192">
        <v>8970</v>
      </c>
      <c r="E42" s="168">
        <f t="shared" si="3"/>
        <v>-6.843909024820849E-2</v>
      </c>
      <c r="F42" s="99">
        <v>13665</v>
      </c>
      <c r="G42" s="99">
        <v>12829</v>
      </c>
      <c r="H42" s="99">
        <v>11528</v>
      </c>
      <c r="I42" s="168">
        <f t="shared" si="4"/>
        <v>-0.10141086600670357</v>
      </c>
      <c r="J42" s="168">
        <f t="shared" si="5"/>
        <v>3.8522587910563968E-2</v>
      </c>
      <c r="K42" s="79"/>
    </row>
    <row r="43" spans="1:11" x14ac:dyDescent="0.25">
      <c r="A43" s="245" t="s">
        <v>164</v>
      </c>
      <c r="B43" s="192">
        <v>9103</v>
      </c>
      <c r="C43" s="192">
        <v>9565</v>
      </c>
      <c r="D43" s="192">
        <v>11691</v>
      </c>
      <c r="E43" s="168">
        <f t="shared" si="3"/>
        <v>0.22226868792472554</v>
      </c>
      <c r="F43" s="99">
        <v>7230</v>
      </c>
      <c r="G43" s="99">
        <v>8110</v>
      </c>
      <c r="H43" s="99">
        <v>10541</v>
      </c>
      <c r="I43" s="168">
        <f t="shared" si="4"/>
        <v>0.29975339087546238</v>
      </c>
      <c r="J43" s="168">
        <f t="shared" si="5"/>
        <v>3.5224375361316347E-2</v>
      </c>
      <c r="K43" s="79"/>
    </row>
    <row r="44" spans="1:11" x14ac:dyDescent="0.25">
      <c r="A44" s="245" t="s">
        <v>156</v>
      </c>
      <c r="B44" s="192">
        <v>1508</v>
      </c>
      <c r="C44" s="192">
        <v>3376</v>
      </c>
      <c r="D44" s="192">
        <v>13168</v>
      </c>
      <c r="E44" s="168">
        <f t="shared" si="3"/>
        <v>2.9004739336492893</v>
      </c>
      <c r="F44" s="99">
        <v>747</v>
      </c>
      <c r="G44" s="99">
        <v>1728</v>
      </c>
      <c r="H44" s="99">
        <v>8742</v>
      </c>
      <c r="I44" s="168">
        <f t="shared" si="4"/>
        <v>4.0590277777777777</v>
      </c>
      <c r="J44" s="168">
        <f>H44/$H$49</f>
        <v>2.9212739721907549E-2</v>
      </c>
      <c r="K44" s="79"/>
    </row>
    <row r="45" spans="1:11" x14ac:dyDescent="0.25">
      <c r="A45" s="245" t="s">
        <v>155</v>
      </c>
      <c r="B45" s="192">
        <v>18970</v>
      </c>
      <c r="C45" s="192">
        <v>11156</v>
      </c>
      <c r="D45" s="192">
        <v>7604</v>
      </c>
      <c r="E45" s="168">
        <f t="shared" si="3"/>
        <v>-0.31839368949444247</v>
      </c>
      <c r="F45" s="99">
        <v>13079</v>
      </c>
      <c r="G45" s="99">
        <v>8350</v>
      </c>
      <c r="H45" s="99">
        <v>6495</v>
      </c>
      <c r="I45" s="168">
        <f t="shared" si="4"/>
        <v>-0.22215568862275448</v>
      </c>
      <c r="J45" s="168">
        <f t="shared" si="5"/>
        <v>2.170404306723742E-2</v>
      </c>
      <c r="K45" s="79"/>
    </row>
    <row r="46" spans="1:11" x14ac:dyDescent="0.25">
      <c r="A46" s="245" t="s">
        <v>233</v>
      </c>
      <c r="B46" s="192">
        <v>5088</v>
      </c>
      <c r="C46" s="192">
        <v>6288</v>
      </c>
      <c r="D46" s="192">
        <v>3624</v>
      </c>
      <c r="E46" s="168">
        <f t="shared" si="3"/>
        <v>-0.42366412213740456</v>
      </c>
      <c r="F46" s="99">
        <v>3256</v>
      </c>
      <c r="G46" s="99">
        <v>3839</v>
      </c>
      <c r="H46" s="99">
        <v>2790</v>
      </c>
      <c r="I46" s="168">
        <f t="shared" si="4"/>
        <v>-0.27324824172961704</v>
      </c>
      <c r="J46" s="168">
        <f t="shared" si="5"/>
        <v>9.3232148048641109E-3</v>
      </c>
      <c r="K46" s="79"/>
    </row>
    <row r="47" spans="1:11" x14ac:dyDescent="0.25">
      <c r="A47" s="193" t="s">
        <v>157</v>
      </c>
      <c r="B47" s="192">
        <v>320718</v>
      </c>
      <c r="C47" s="192">
        <v>333912</v>
      </c>
      <c r="D47" s="192">
        <v>307874</v>
      </c>
      <c r="E47" s="169">
        <f t="shared" si="3"/>
        <v>-7.7978629099882624E-2</v>
      </c>
      <c r="F47" s="100">
        <v>273656</v>
      </c>
      <c r="G47" s="100">
        <v>289719</v>
      </c>
      <c r="H47" s="100">
        <v>284278</v>
      </c>
      <c r="I47" s="169">
        <f t="shared" si="4"/>
        <v>-1.8780266396059675E-2</v>
      </c>
      <c r="J47" s="169">
        <f t="shared" si="5"/>
        <v>0.94995873057245872</v>
      </c>
      <c r="K47" s="79"/>
    </row>
    <row r="48" spans="1:11" x14ac:dyDescent="0.25">
      <c r="A48" s="193" t="s">
        <v>158</v>
      </c>
      <c r="B48" s="192">
        <v>18918</v>
      </c>
      <c r="C48" s="192">
        <v>19126</v>
      </c>
      <c r="D48" s="192">
        <v>14982</v>
      </c>
      <c r="E48" s="168">
        <f t="shared" si="3"/>
        <v>-0.21666840949492838</v>
      </c>
      <c r="F48" s="101">
        <v>18444</v>
      </c>
      <c r="G48" s="101">
        <v>19158</v>
      </c>
      <c r="H48" s="101">
        <v>14975</v>
      </c>
      <c r="I48" s="168">
        <f t="shared" si="4"/>
        <v>-0.21834220691095108</v>
      </c>
      <c r="J48" s="168">
        <f t="shared" si="5"/>
        <v>5.0041269427541245E-2</v>
      </c>
      <c r="K48" s="79"/>
    </row>
    <row r="49" spans="1:11" x14ac:dyDescent="0.25">
      <c r="A49" s="193" t="s">
        <v>159</v>
      </c>
      <c r="B49" s="192">
        <v>339636</v>
      </c>
      <c r="C49" s="192">
        <v>353038</v>
      </c>
      <c r="D49" s="192">
        <v>322856</v>
      </c>
      <c r="E49" s="169">
        <f t="shared" si="3"/>
        <v>-8.549221330281731E-2</v>
      </c>
      <c r="F49" s="102">
        <v>292100</v>
      </c>
      <c r="G49" s="102">
        <v>308877</v>
      </c>
      <c r="H49" s="102">
        <v>299253</v>
      </c>
      <c r="I49" s="169">
        <f t="shared" si="4"/>
        <v>-3.1158033780436911E-2</v>
      </c>
      <c r="J49" s="169">
        <f t="shared" si="5"/>
        <v>1</v>
      </c>
      <c r="K49" s="79"/>
    </row>
    <row r="50" spans="1:11" x14ac:dyDescent="0.25">
      <c r="A50" s="351" t="s">
        <v>160</v>
      </c>
      <c r="B50" s="351"/>
      <c r="C50" s="351"/>
      <c r="D50" s="351"/>
      <c r="E50" s="351"/>
      <c r="F50" s="351"/>
      <c r="G50" s="351"/>
      <c r="H50" s="351"/>
      <c r="I50" s="351"/>
      <c r="J50" s="351"/>
      <c r="K50" s="79"/>
    </row>
    <row r="51" spans="1:11" x14ac:dyDescent="0.25">
      <c r="A51" s="351" t="s">
        <v>161</v>
      </c>
      <c r="B51" s="351"/>
      <c r="C51" s="351"/>
      <c r="D51" s="351"/>
      <c r="E51" s="351"/>
      <c r="F51" s="351"/>
      <c r="G51" s="351"/>
      <c r="H51" s="351"/>
      <c r="I51" s="351"/>
      <c r="J51" s="351"/>
    </row>
    <row r="65" spans="1:11" x14ac:dyDescent="0.25">
      <c r="A65" s="366" t="s">
        <v>551</v>
      </c>
      <c r="B65" s="366"/>
      <c r="C65" s="366"/>
      <c r="D65" s="366"/>
      <c r="E65" s="366"/>
      <c r="F65" s="366"/>
      <c r="G65" s="366"/>
      <c r="H65" s="366"/>
      <c r="I65" s="366"/>
      <c r="J65" s="366"/>
    </row>
    <row r="66" spans="1:11" x14ac:dyDescent="0.25">
      <c r="A66" s="367" t="s">
        <v>145</v>
      </c>
      <c r="B66" s="363" t="s">
        <v>146</v>
      </c>
      <c r="C66" s="363"/>
      <c r="D66" s="363"/>
      <c r="E66" s="363"/>
      <c r="F66" s="364" t="s">
        <v>147</v>
      </c>
      <c r="G66" s="363"/>
      <c r="H66" s="363"/>
      <c r="I66" s="363"/>
      <c r="J66" s="365"/>
    </row>
    <row r="67" spans="1:11" x14ac:dyDescent="0.25">
      <c r="A67" s="368"/>
      <c r="B67" s="359">
        <v>2020</v>
      </c>
      <c r="C67" s="359">
        <v>2021</v>
      </c>
      <c r="D67" s="359">
        <v>2022</v>
      </c>
      <c r="E67" s="359" t="s">
        <v>292</v>
      </c>
      <c r="F67" s="359">
        <v>2020</v>
      </c>
      <c r="G67" s="359">
        <f>C67</f>
        <v>2021</v>
      </c>
      <c r="H67" s="359">
        <v>2022</v>
      </c>
      <c r="I67" s="359" t="s">
        <v>292</v>
      </c>
      <c r="J67" s="359" t="s">
        <v>293</v>
      </c>
    </row>
    <row r="68" spans="1:11" x14ac:dyDescent="0.25">
      <c r="A68" s="369"/>
      <c r="B68" s="359"/>
      <c r="C68" s="359"/>
      <c r="D68" s="359"/>
      <c r="E68" s="359"/>
      <c r="F68" s="359"/>
      <c r="G68" s="359"/>
      <c r="H68" s="359"/>
      <c r="I68" s="359"/>
      <c r="J68" s="359"/>
    </row>
    <row r="69" spans="1:11" x14ac:dyDescent="0.25">
      <c r="A69" s="98" t="s">
        <v>151</v>
      </c>
      <c r="B69" s="99">
        <v>3370.6015766999999</v>
      </c>
      <c r="C69" s="99">
        <v>3280.395</v>
      </c>
      <c r="D69" s="99">
        <v>3904.9780000000001</v>
      </c>
      <c r="E69" s="137">
        <f t="shared" ref="E69:E81" si="6">D69/C69-1</f>
        <v>0.19039871722765089</v>
      </c>
      <c r="F69" s="99">
        <v>6454.9097700000002</v>
      </c>
      <c r="G69" s="99">
        <v>6419.8452400000006</v>
      </c>
      <c r="H69" s="99">
        <v>7852.6356699999997</v>
      </c>
      <c r="I69" s="137">
        <f t="shared" ref="I69:I81" si="7">H69/G69-1</f>
        <v>0.22318145943343626</v>
      </c>
      <c r="J69" s="137">
        <f t="shared" ref="J69:J81" si="8">H69/$H$81</f>
        <v>0.23867818844607946</v>
      </c>
      <c r="K69" s="79"/>
    </row>
    <row r="70" spans="1:11" x14ac:dyDescent="0.25">
      <c r="A70" s="98" t="s">
        <v>542</v>
      </c>
      <c r="B70" s="99">
        <v>5787.6120000000001</v>
      </c>
      <c r="C70" s="99">
        <v>5950.14</v>
      </c>
      <c r="D70" s="99">
        <v>4131.3</v>
      </c>
      <c r="E70" s="138">
        <f t="shared" si="6"/>
        <v>-0.30568020248263061</v>
      </c>
      <c r="F70" s="99">
        <v>9410.5842799999991</v>
      </c>
      <c r="G70" s="99">
        <v>10999.210419999999</v>
      </c>
      <c r="H70" s="99">
        <v>6971.5123300000005</v>
      </c>
      <c r="I70" s="138">
        <f t="shared" si="7"/>
        <v>-0.36618065626568852</v>
      </c>
      <c r="J70" s="138">
        <f t="shared" si="8"/>
        <v>0.21189674442821904</v>
      </c>
      <c r="K70" s="79"/>
    </row>
    <row r="71" spans="1:11" x14ac:dyDescent="0.25">
      <c r="A71" s="98" t="s">
        <v>165</v>
      </c>
      <c r="B71" s="99">
        <v>4597.143</v>
      </c>
      <c r="C71" s="99">
        <v>3941.76</v>
      </c>
      <c r="D71" s="99">
        <v>4452.9120000000003</v>
      </c>
      <c r="E71" s="137">
        <f t="shared" si="6"/>
        <v>0.12967608377983431</v>
      </c>
      <c r="F71" s="99">
        <v>8577.8916200000003</v>
      </c>
      <c r="G71" s="99">
        <v>6997.0386200000003</v>
      </c>
      <c r="H71" s="99">
        <v>6492.5012500000003</v>
      </c>
      <c r="I71" s="137">
        <f t="shared" si="7"/>
        <v>-7.2107272433491243E-2</v>
      </c>
      <c r="J71" s="137">
        <f t="shared" si="8"/>
        <v>0.19733736568908036</v>
      </c>
      <c r="K71" s="79"/>
    </row>
    <row r="72" spans="1:11" x14ac:dyDescent="0.25">
      <c r="A72" s="98" t="s">
        <v>543</v>
      </c>
      <c r="B72" s="99">
        <v>4279.2839999999997</v>
      </c>
      <c r="C72" s="99">
        <v>3679.5</v>
      </c>
      <c r="D72" s="99">
        <v>3144.7080000000001</v>
      </c>
      <c r="E72" s="137">
        <f t="shared" si="6"/>
        <v>-0.14534366082348138</v>
      </c>
      <c r="F72" s="99">
        <v>7468.8983900000003</v>
      </c>
      <c r="G72" s="99">
        <v>6931.0654100000002</v>
      </c>
      <c r="H72" s="99">
        <v>4991.2648399999998</v>
      </c>
      <c r="I72" s="137">
        <f t="shared" si="7"/>
        <v>-0.27987047520880348</v>
      </c>
      <c r="J72" s="137">
        <f t="shared" si="8"/>
        <v>0.15170779597187278</v>
      </c>
      <c r="K72" s="79"/>
    </row>
    <row r="73" spans="1:11" x14ac:dyDescent="0.25">
      <c r="A73" s="98" t="s">
        <v>155</v>
      </c>
      <c r="B73" s="99">
        <v>933.6</v>
      </c>
      <c r="C73" s="99">
        <v>919.16399999999999</v>
      </c>
      <c r="D73" s="99">
        <v>592.69949999999994</v>
      </c>
      <c r="E73" s="137">
        <f t="shared" si="6"/>
        <v>-0.35517546379101017</v>
      </c>
      <c r="F73" s="99">
        <v>1850.7859000000001</v>
      </c>
      <c r="G73" s="99">
        <v>1998.5653600000001</v>
      </c>
      <c r="H73" s="99">
        <v>1287.15211</v>
      </c>
      <c r="I73" s="137">
        <f t="shared" si="7"/>
        <v>-0.35596196363575527</v>
      </c>
      <c r="J73" s="137">
        <f t="shared" si="8"/>
        <v>3.9122550284998614E-2</v>
      </c>
      <c r="K73" s="79"/>
    </row>
    <row r="74" spans="1:11" x14ac:dyDescent="0.25">
      <c r="A74" s="98" t="s">
        <v>163</v>
      </c>
      <c r="B74" s="99">
        <v>1071.258</v>
      </c>
      <c r="C74" s="99">
        <v>592.89599999999996</v>
      </c>
      <c r="D74" s="99">
        <v>298.66800000000001</v>
      </c>
      <c r="E74" s="137">
        <f t="shared" si="6"/>
        <v>-0.4962556670984456</v>
      </c>
      <c r="F74" s="99">
        <v>2446.0823500000001</v>
      </c>
      <c r="G74" s="99">
        <v>1339.9135599999997</v>
      </c>
      <c r="H74" s="99">
        <v>679.35352</v>
      </c>
      <c r="I74" s="137">
        <f t="shared" si="7"/>
        <v>-0.49298705507540341</v>
      </c>
      <c r="J74" s="137">
        <f t="shared" si="8"/>
        <v>2.0648719013862948E-2</v>
      </c>
      <c r="K74" s="79"/>
    </row>
    <row r="75" spans="1:11" x14ac:dyDescent="0.25">
      <c r="A75" s="98" t="s">
        <v>148</v>
      </c>
      <c r="B75" s="99">
        <v>34.311500000000002</v>
      </c>
      <c r="C75" s="99">
        <v>167.4555</v>
      </c>
      <c r="D75" s="99">
        <v>89.829750000000004</v>
      </c>
      <c r="E75" s="137">
        <f t="shared" si="6"/>
        <v>-0.46356046830351938</v>
      </c>
      <c r="F75" s="99">
        <v>373.81006000000002</v>
      </c>
      <c r="G75" s="99">
        <v>612.73179000000005</v>
      </c>
      <c r="H75" s="99">
        <v>659.58033999999998</v>
      </c>
      <c r="I75" s="137">
        <f t="shared" si="7"/>
        <v>7.6458494180626557E-2</v>
      </c>
      <c r="J75" s="137">
        <f t="shared" si="8"/>
        <v>2.0047719937814096E-2</v>
      </c>
      <c r="K75" s="79"/>
    </row>
    <row r="76" spans="1:11" x14ac:dyDescent="0.25">
      <c r="A76" s="98" t="s">
        <v>544</v>
      </c>
      <c r="B76" s="99">
        <v>417.49799999999999</v>
      </c>
      <c r="C76" s="99">
        <v>279.76799999999997</v>
      </c>
      <c r="D76" s="99">
        <v>330.70800000000003</v>
      </c>
      <c r="E76" s="137">
        <f t="shared" si="6"/>
        <v>0.18207943724800568</v>
      </c>
      <c r="F76" s="99">
        <v>849.10521999999992</v>
      </c>
      <c r="G76" s="99">
        <v>586.3463999999999</v>
      </c>
      <c r="H76" s="99">
        <v>588.92606000000001</v>
      </c>
      <c r="I76" s="137">
        <f t="shared" si="7"/>
        <v>4.3995494813307001E-3</v>
      </c>
      <c r="J76" s="137">
        <f t="shared" si="8"/>
        <v>1.7900207145289233E-2</v>
      </c>
      <c r="K76" s="79"/>
    </row>
    <row r="77" spans="1:11" x14ac:dyDescent="0.25">
      <c r="A77" s="98" t="s">
        <v>164</v>
      </c>
      <c r="B77" s="99">
        <v>35.847000000000001</v>
      </c>
      <c r="C77" s="99">
        <v>20.541</v>
      </c>
      <c r="D77" s="99">
        <v>40.088999999999999</v>
      </c>
      <c r="E77" s="137">
        <f t="shared" si="6"/>
        <v>0.95165766028917753</v>
      </c>
      <c r="F77" s="99">
        <v>487.53176999999999</v>
      </c>
      <c r="G77" s="99">
        <v>181.95475999999999</v>
      </c>
      <c r="H77" s="99">
        <v>583.29041000000007</v>
      </c>
      <c r="I77" s="137">
        <f t="shared" si="7"/>
        <v>2.2056892053827011</v>
      </c>
      <c r="J77" s="137">
        <f t="shared" si="8"/>
        <v>1.7728913481703776E-2</v>
      </c>
      <c r="K77" s="79"/>
    </row>
    <row r="78" spans="1:11" x14ac:dyDescent="0.25">
      <c r="A78" s="98" t="s">
        <v>152</v>
      </c>
      <c r="B78" s="99">
        <v>389.52600000000001</v>
      </c>
      <c r="C78" s="99">
        <v>827.05200000000002</v>
      </c>
      <c r="D78" s="99">
        <v>268.44799999999998</v>
      </c>
      <c r="E78" s="137">
        <f t="shared" si="6"/>
        <v>-0.67541581424142616</v>
      </c>
      <c r="F78" s="99">
        <v>629.98871000000008</v>
      </c>
      <c r="G78" s="99">
        <v>1284.27352</v>
      </c>
      <c r="H78" s="99">
        <v>458.92851000000002</v>
      </c>
      <c r="I78" s="137">
        <f t="shared" si="7"/>
        <v>-0.64265516429864566</v>
      </c>
      <c r="J78" s="137">
        <f t="shared" si="8"/>
        <v>1.394897585934462E-2</v>
      </c>
      <c r="K78" s="79"/>
    </row>
    <row r="79" spans="1:11" x14ac:dyDescent="0.25">
      <c r="A79" s="94" t="s">
        <v>157</v>
      </c>
      <c r="B79" s="100">
        <v>20916.681076700002</v>
      </c>
      <c r="C79" s="100">
        <v>19658.6715</v>
      </c>
      <c r="D79" s="100">
        <v>17254.340250000001</v>
      </c>
      <c r="E79" s="139">
        <f t="shared" si="6"/>
        <v>-0.12230385201767069</v>
      </c>
      <c r="F79" s="100">
        <v>38549.588070000005</v>
      </c>
      <c r="G79" s="100">
        <v>37350.945079999998</v>
      </c>
      <c r="H79" s="100">
        <v>30565.145039999999</v>
      </c>
      <c r="I79" s="139">
        <f t="shared" si="7"/>
        <v>-0.18167679627559241</v>
      </c>
      <c r="J79" s="139">
        <f t="shared" si="8"/>
        <v>0.92901718025826496</v>
      </c>
      <c r="K79" s="79"/>
    </row>
    <row r="80" spans="1:11" x14ac:dyDescent="0.25">
      <c r="A80" s="96" t="s">
        <v>158</v>
      </c>
      <c r="B80" s="101">
        <v>1467.453</v>
      </c>
      <c r="C80" s="101">
        <v>1355.51</v>
      </c>
      <c r="D80" s="101">
        <v>1103.5965000000001</v>
      </c>
      <c r="E80" s="137">
        <f t="shared" si="6"/>
        <v>-0.18584407344836995</v>
      </c>
      <c r="F80" s="101">
        <v>2938.9896899999976</v>
      </c>
      <c r="G80" s="101">
        <v>2919.979740000002</v>
      </c>
      <c r="H80" s="101">
        <v>2335.3714299999961</v>
      </c>
      <c r="I80" s="137">
        <f t="shared" si="7"/>
        <v>-0.20020971446877422</v>
      </c>
      <c r="J80" s="137">
        <f t="shared" si="8"/>
        <v>7.0982819741735093E-2</v>
      </c>
      <c r="K80" s="79"/>
    </row>
    <row r="81" spans="1:11" x14ac:dyDescent="0.25">
      <c r="A81" s="97" t="s">
        <v>159</v>
      </c>
      <c r="B81" s="102">
        <v>22384.1340767</v>
      </c>
      <c r="C81" s="102">
        <v>21014.181499999999</v>
      </c>
      <c r="D81" s="102">
        <v>18357.936750000001</v>
      </c>
      <c r="E81" s="139">
        <f t="shared" si="6"/>
        <v>-0.12640248443652202</v>
      </c>
      <c r="F81" s="102">
        <v>41488.577760000007</v>
      </c>
      <c r="G81" s="102">
        <v>40270.92482</v>
      </c>
      <c r="H81" s="102">
        <v>32900.516469999995</v>
      </c>
      <c r="I81" s="139">
        <f t="shared" si="7"/>
        <v>-0.18302058825178991</v>
      </c>
      <c r="J81" s="139">
        <f t="shared" si="8"/>
        <v>1</v>
      </c>
      <c r="K81" s="79"/>
    </row>
    <row r="82" spans="1:11" x14ac:dyDescent="0.25">
      <c r="A82" s="351" t="s">
        <v>160</v>
      </c>
      <c r="B82" s="351"/>
      <c r="C82" s="351"/>
      <c r="D82" s="351"/>
      <c r="E82" s="351"/>
      <c r="F82" s="351"/>
      <c r="G82" s="351"/>
      <c r="H82" s="351"/>
      <c r="I82" s="351"/>
      <c r="J82" s="351"/>
    </row>
    <row r="83" spans="1:11" x14ac:dyDescent="0.25">
      <c r="A83" s="351" t="s">
        <v>161</v>
      </c>
      <c r="B83" s="351"/>
      <c r="C83" s="351"/>
      <c r="D83" s="351"/>
      <c r="E83" s="351"/>
      <c r="F83" s="351"/>
      <c r="G83" s="351"/>
      <c r="H83" s="351"/>
      <c r="I83" s="351"/>
      <c r="J83" s="351"/>
    </row>
    <row r="97" spans="1:10" x14ac:dyDescent="0.25">
      <c r="A97" s="366" t="s">
        <v>552</v>
      </c>
      <c r="B97" s="366"/>
      <c r="C97" s="366"/>
      <c r="D97" s="366"/>
      <c r="E97" s="366"/>
      <c r="F97" s="366"/>
      <c r="G97" s="366"/>
      <c r="H97" s="366"/>
      <c r="I97" s="366"/>
      <c r="J97" s="366"/>
    </row>
    <row r="98" spans="1:10" x14ac:dyDescent="0.25">
      <c r="A98" s="367" t="s">
        <v>145</v>
      </c>
      <c r="B98" s="363" t="s">
        <v>146</v>
      </c>
      <c r="C98" s="363"/>
      <c r="D98" s="363"/>
      <c r="E98" s="363"/>
      <c r="F98" s="364" t="s">
        <v>147</v>
      </c>
      <c r="G98" s="363"/>
      <c r="H98" s="363"/>
      <c r="I98" s="363"/>
      <c r="J98" s="365"/>
    </row>
    <row r="99" spans="1:10" x14ac:dyDescent="0.25">
      <c r="A99" s="368"/>
      <c r="B99" s="361">
        <v>2020</v>
      </c>
      <c r="C99" s="359">
        <v>2021</v>
      </c>
      <c r="D99" s="359">
        <v>2022</v>
      </c>
      <c r="E99" s="359" t="s">
        <v>292</v>
      </c>
      <c r="F99" s="359">
        <v>2020</v>
      </c>
      <c r="G99" s="359">
        <f>C99</f>
        <v>2021</v>
      </c>
      <c r="H99" s="359">
        <v>2022</v>
      </c>
      <c r="I99" s="359" t="s">
        <v>292</v>
      </c>
      <c r="J99" s="359" t="s">
        <v>293</v>
      </c>
    </row>
    <row r="100" spans="1:10" x14ac:dyDescent="0.25">
      <c r="A100" s="369"/>
      <c r="B100" s="362"/>
      <c r="C100" s="359"/>
      <c r="D100" s="359"/>
      <c r="E100" s="359"/>
      <c r="F100" s="359"/>
      <c r="G100" s="359"/>
      <c r="H100" s="359"/>
      <c r="I100" s="359"/>
      <c r="J100" s="359"/>
    </row>
    <row r="101" spans="1:10" x14ac:dyDescent="0.25">
      <c r="A101" s="98" t="s">
        <v>151</v>
      </c>
      <c r="B101" s="99">
        <v>1860.5405000000001</v>
      </c>
      <c r="C101" s="99">
        <v>1536.4275</v>
      </c>
      <c r="D101" s="99">
        <v>1498.45</v>
      </c>
      <c r="E101" s="137">
        <f t="shared" ref="E101:E113" si="9">D101/C101-1</f>
        <v>-2.4718055358941449E-2</v>
      </c>
      <c r="F101" s="306">
        <v>7987.25252</v>
      </c>
      <c r="G101" s="306">
        <v>6366.0801200000005</v>
      </c>
      <c r="H101" s="306">
        <v>6364.2534400000004</v>
      </c>
      <c r="I101" s="137">
        <f t="shared" ref="I101:I110" si="10">H101/G101-1</f>
        <v>-2.8693952409764023E-4</v>
      </c>
      <c r="J101" s="137">
        <f t="shared" ref="J101:J113" si="11">H101/$H$113</f>
        <v>0.41186398647303041</v>
      </c>
    </row>
    <row r="102" spans="1:10" x14ac:dyDescent="0.25">
      <c r="A102" s="98" t="s">
        <v>166</v>
      </c>
      <c r="B102" s="99">
        <v>418.97250000000003</v>
      </c>
      <c r="C102" s="99">
        <v>287.81099999999998</v>
      </c>
      <c r="D102" s="99">
        <v>551.63699999999994</v>
      </c>
      <c r="E102" s="137">
        <f t="shared" si="9"/>
        <v>0.91666406078989326</v>
      </c>
      <c r="F102" s="306">
        <v>1701.19111</v>
      </c>
      <c r="G102" s="306">
        <v>1091.5478900000001</v>
      </c>
      <c r="H102" s="306">
        <v>2061.66102</v>
      </c>
      <c r="I102" s="137">
        <f t="shared" si="10"/>
        <v>0.88874994756299697</v>
      </c>
      <c r="J102" s="137">
        <f t="shared" si="11"/>
        <v>0.13342082216846066</v>
      </c>
    </row>
    <row r="103" spans="1:10" x14ac:dyDescent="0.25">
      <c r="A103" s="98" t="s">
        <v>149</v>
      </c>
      <c r="B103" s="99">
        <v>223.11</v>
      </c>
      <c r="C103" s="99">
        <v>292.995</v>
      </c>
      <c r="D103" s="99">
        <v>468.18</v>
      </c>
      <c r="E103" s="137">
        <f t="shared" si="9"/>
        <v>0.59791122715404699</v>
      </c>
      <c r="F103" s="306">
        <v>685.03634999999997</v>
      </c>
      <c r="G103" s="306">
        <v>727.34728000000007</v>
      </c>
      <c r="H103" s="306">
        <v>1304.96858</v>
      </c>
      <c r="I103" s="138">
        <f t="shared" si="10"/>
        <v>0.79414787940088249</v>
      </c>
      <c r="J103" s="137">
        <f t="shared" si="11"/>
        <v>8.445131336266358E-2</v>
      </c>
    </row>
    <row r="104" spans="1:10" x14ac:dyDescent="0.25">
      <c r="A104" s="98" t="s">
        <v>153</v>
      </c>
      <c r="B104" s="99">
        <v>118.1835</v>
      </c>
      <c r="C104" s="99">
        <v>338.98050000000001</v>
      </c>
      <c r="D104" s="99">
        <v>172.92599999999999</v>
      </c>
      <c r="E104" s="137">
        <f t="shared" si="9"/>
        <v>-0.48986446123007077</v>
      </c>
      <c r="F104" s="306">
        <v>529.55775000000006</v>
      </c>
      <c r="G104" s="306">
        <v>1418.33725</v>
      </c>
      <c r="H104" s="306">
        <v>776.59321</v>
      </c>
      <c r="I104" s="137">
        <f t="shared" si="10"/>
        <v>-0.45246223350617076</v>
      </c>
      <c r="J104" s="137">
        <f t="shared" si="11"/>
        <v>5.0257391279893343E-2</v>
      </c>
    </row>
    <row r="105" spans="1:10" x14ac:dyDescent="0.25">
      <c r="A105" s="98" t="s">
        <v>287</v>
      </c>
      <c r="B105" s="99">
        <v>44.158499999999997</v>
      </c>
      <c r="C105" s="99">
        <v>67.122</v>
      </c>
      <c r="D105" s="99">
        <v>136.23750000000001</v>
      </c>
      <c r="E105" s="137">
        <f t="shared" si="9"/>
        <v>1.0296996513810677</v>
      </c>
      <c r="F105" s="306">
        <v>172.11885000000001</v>
      </c>
      <c r="G105" s="306">
        <v>248.52199999999999</v>
      </c>
      <c r="H105" s="306">
        <v>473.07144000000005</v>
      </c>
      <c r="I105" s="137">
        <f t="shared" si="10"/>
        <v>0.9035394854379093</v>
      </c>
      <c r="J105" s="137">
        <f t="shared" si="11"/>
        <v>3.0614916737969664E-2</v>
      </c>
    </row>
    <row r="106" spans="1:10" x14ac:dyDescent="0.25">
      <c r="A106" s="98" t="s">
        <v>152</v>
      </c>
      <c r="B106" s="99">
        <v>67.545000000000002</v>
      </c>
      <c r="C106" s="99">
        <v>153.02476000000001</v>
      </c>
      <c r="D106" s="99">
        <v>103.08450000000001</v>
      </c>
      <c r="E106" s="137">
        <f t="shared" si="9"/>
        <v>-0.32635411419694438</v>
      </c>
      <c r="F106" s="306">
        <v>321.79172000000005</v>
      </c>
      <c r="G106" s="306">
        <v>534.53628000000003</v>
      </c>
      <c r="H106" s="306">
        <v>428.44177000000002</v>
      </c>
      <c r="I106" s="137">
        <f t="shared" si="10"/>
        <v>-0.19847953070650326</v>
      </c>
      <c r="J106" s="137">
        <f t="shared" si="11"/>
        <v>2.7726698351560494E-2</v>
      </c>
    </row>
    <row r="107" spans="1:10" x14ac:dyDescent="0.25">
      <c r="A107" s="98" t="s">
        <v>155</v>
      </c>
      <c r="B107" s="99">
        <v>56.470500000000001</v>
      </c>
      <c r="C107" s="99">
        <v>86.953500000000005</v>
      </c>
      <c r="D107" s="99">
        <v>66.919499999999999</v>
      </c>
      <c r="E107" s="137">
        <f t="shared" si="9"/>
        <v>-0.23039900636547128</v>
      </c>
      <c r="F107" s="306">
        <v>307.73649999999998</v>
      </c>
      <c r="G107" s="306">
        <v>494.77546000000001</v>
      </c>
      <c r="H107" s="306">
        <v>382.18031000000008</v>
      </c>
      <c r="I107" s="137">
        <f t="shared" si="10"/>
        <v>-0.22756817809840435</v>
      </c>
      <c r="J107" s="137">
        <f t="shared" si="11"/>
        <v>2.4732878335545761E-2</v>
      </c>
    </row>
    <row r="108" spans="1:10" x14ac:dyDescent="0.25">
      <c r="A108" s="98" t="s">
        <v>156</v>
      </c>
      <c r="B108" s="99">
        <v>55.512</v>
      </c>
      <c r="C108" s="99">
        <v>49.1175</v>
      </c>
      <c r="D108" s="99">
        <v>82.9435</v>
      </c>
      <c r="E108" s="137">
        <f t="shared" si="9"/>
        <v>0.68867511579375984</v>
      </c>
      <c r="F108" s="306">
        <v>184.14699999999999</v>
      </c>
      <c r="G108" s="306">
        <v>188.77796000000001</v>
      </c>
      <c r="H108" s="306">
        <v>355.50675999999999</v>
      </c>
      <c r="I108" s="137">
        <f t="shared" si="10"/>
        <v>0.88320056006538028</v>
      </c>
      <c r="J108" s="137">
        <f t="shared" si="11"/>
        <v>2.30066939935866E-2</v>
      </c>
    </row>
    <row r="109" spans="1:10" x14ac:dyDescent="0.25">
      <c r="A109" s="98" t="s">
        <v>154</v>
      </c>
      <c r="B109" s="99">
        <v>120.2895</v>
      </c>
      <c r="C109" s="99">
        <v>77.152500000000003</v>
      </c>
      <c r="D109" s="99">
        <v>55.102499999999999</v>
      </c>
      <c r="E109" s="137">
        <f t="shared" si="9"/>
        <v>-0.28579760863225434</v>
      </c>
      <c r="F109" s="306">
        <v>573.96034000000009</v>
      </c>
      <c r="G109" s="306">
        <v>413.66473999999999</v>
      </c>
      <c r="H109" s="306">
        <v>276.89378000000005</v>
      </c>
      <c r="I109" s="137">
        <f t="shared" si="10"/>
        <v>-0.33063238602352218</v>
      </c>
      <c r="J109" s="138">
        <f t="shared" si="11"/>
        <v>1.7919238624850595E-2</v>
      </c>
    </row>
    <row r="110" spans="1:10" x14ac:dyDescent="0.25">
      <c r="A110" s="98" t="s">
        <v>598</v>
      </c>
      <c r="B110" s="99">
        <v>21.7485</v>
      </c>
      <c r="C110" s="99">
        <v>27.337499999999999</v>
      </c>
      <c r="D110" s="99">
        <v>76.504499999999993</v>
      </c>
      <c r="E110" s="137">
        <f t="shared" si="9"/>
        <v>1.7985185185185184</v>
      </c>
      <c r="F110" s="306">
        <v>88.465100000000007</v>
      </c>
      <c r="G110" s="306">
        <v>107.15885</v>
      </c>
      <c r="H110" s="306">
        <v>275.27300000000002</v>
      </c>
      <c r="I110" s="137">
        <f t="shared" si="10"/>
        <v>1.5688312257923638</v>
      </c>
      <c r="J110" s="137">
        <f t="shared" si="11"/>
        <v>1.7814349509687424E-2</v>
      </c>
    </row>
    <row r="111" spans="1:10" x14ac:dyDescent="0.25">
      <c r="A111" s="94" t="s">
        <v>157</v>
      </c>
      <c r="B111" s="100">
        <v>2986.5304999999998</v>
      </c>
      <c r="C111" s="100">
        <v>2916.9217599999997</v>
      </c>
      <c r="D111" s="100">
        <v>3211.9850000000001</v>
      </c>
      <c r="E111" s="139">
        <f t="shared" si="9"/>
        <v>0.1011556922939203</v>
      </c>
      <c r="F111" s="306">
        <v>12551.257239999999</v>
      </c>
      <c r="G111" s="306">
        <v>11590.74783</v>
      </c>
      <c r="H111" s="306">
        <v>12698.843309999998</v>
      </c>
      <c r="I111" s="139">
        <f>H111/G111-1</f>
        <v>9.5601724431614965E-2</v>
      </c>
      <c r="J111" s="139">
        <f t="shared" si="11"/>
        <v>0.82180828883724832</v>
      </c>
    </row>
    <row r="112" spans="1:10" x14ac:dyDescent="0.25">
      <c r="A112" s="96" t="s">
        <v>158</v>
      </c>
      <c r="B112" s="101">
        <v>489.17</v>
      </c>
      <c r="C112" s="101">
        <v>667.53449999999998</v>
      </c>
      <c r="D112" s="101">
        <v>703.25942739999994</v>
      </c>
      <c r="E112" s="137">
        <f t="shared" si="9"/>
        <v>5.3517724402259326E-2</v>
      </c>
      <c r="F112" s="306">
        <v>2123.6289499999993</v>
      </c>
      <c r="G112" s="306">
        <v>2891.658629999999</v>
      </c>
      <c r="H112" s="306">
        <v>2753.4750500000046</v>
      </c>
      <c r="I112" s="137">
        <f>H112/G112-1</f>
        <v>-4.7786961630389424E-2</v>
      </c>
      <c r="J112" s="137">
        <f t="shared" si="11"/>
        <v>0.17819171116275165</v>
      </c>
    </row>
    <row r="113" spans="1:10" x14ac:dyDescent="0.25">
      <c r="A113" s="97" t="s">
        <v>159</v>
      </c>
      <c r="B113" s="102">
        <v>3475.7004999999999</v>
      </c>
      <c r="C113" s="102">
        <v>3584.4562599999999</v>
      </c>
      <c r="D113" s="102">
        <v>3915.2444273999999</v>
      </c>
      <c r="E113" s="139">
        <f t="shared" si="9"/>
        <v>9.228405744306678E-2</v>
      </c>
      <c r="F113" s="306">
        <v>14674.886189999997</v>
      </c>
      <c r="G113" s="306">
        <v>14482.406459999998</v>
      </c>
      <c r="H113" s="306">
        <v>15452.318360000003</v>
      </c>
      <c r="I113" s="139">
        <f>H113/G113-1</f>
        <v>6.6971735856114378E-2</v>
      </c>
      <c r="J113" s="139">
        <f t="shared" si="11"/>
        <v>1</v>
      </c>
    </row>
    <row r="114" spans="1:10" x14ac:dyDescent="0.25">
      <c r="A114" s="351" t="s">
        <v>160</v>
      </c>
      <c r="B114" s="351"/>
      <c r="C114" s="351"/>
      <c r="D114" s="351"/>
      <c r="E114" s="351"/>
      <c r="F114" s="351"/>
      <c r="G114" s="351"/>
      <c r="H114" s="351"/>
      <c r="I114" s="351"/>
      <c r="J114" s="351"/>
    </row>
    <row r="115" spans="1:10" x14ac:dyDescent="0.25">
      <c r="A115" s="351" t="s">
        <v>161</v>
      </c>
      <c r="B115" s="351"/>
      <c r="C115" s="351"/>
      <c r="D115" s="351"/>
      <c r="E115" s="351"/>
      <c r="F115" s="351"/>
      <c r="G115" s="351"/>
      <c r="H115" s="351"/>
      <c r="I115" s="351"/>
      <c r="J115" s="351"/>
    </row>
  </sheetData>
  <sortState xmlns:xlrd2="http://schemas.microsoft.com/office/spreadsheetml/2017/richdata2" ref="A101:J110">
    <sortCondition descending="1" ref="J101:J110"/>
  </sortState>
  <mergeCells count="60">
    <mergeCell ref="J99:J100"/>
    <mergeCell ref="D99:D100"/>
    <mergeCell ref="E99:E100"/>
    <mergeCell ref="G99:G100"/>
    <mergeCell ref="H99:H100"/>
    <mergeCell ref="I99:I100"/>
    <mergeCell ref="B35:B36"/>
    <mergeCell ref="F35:F36"/>
    <mergeCell ref="A18:J18"/>
    <mergeCell ref="A19:J19"/>
    <mergeCell ref="A33:J33"/>
    <mergeCell ref="A34:A36"/>
    <mergeCell ref="B34:E34"/>
    <mergeCell ref="F34:J34"/>
    <mergeCell ref="A115:J115"/>
    <mergeCell ref="A1:J1"/>
    <mergeCell ref="A2:A4"/>
    <mergeCell ref="B2:E2"/>
    <mergeCell ref="F2:J2"/>
    <mergeCell ref="A82:J82"/>
    <mergeCell ref="A83:J83"/>
    <mergeCell ref="A97:J97"/>
    <mergeCell ref="A98:A100"/>
    <mergeCell ref="B98:E98"/>
    <mergeCell ref="F98:J98"/>
    <mergeCell ref="A65:J65"/>
    <mergeCell ref="A66:A68"/>
    <mergeCell ref="F3:F4"/>
    <mergeCell ref="B3:B4"/>
    <mergeCell ref="A114:J114"/>
    <mergeCell ref="A50:J50"/>
    <mergeCell ref="A51:J51"/>
    <mergeCell ref="B67:B68"/>
    <mergeCell ref="F67:F68"/>
    <mergeCell ref="B99:B100"/>
    <mergeCell ref="F99:F100"/>
    <mergeCell ref="B66:E66"/>
    <mergeCell ref="F66:J66"/>
    <mergeCell ref="C67:C68"/>
    <mergeCell ref="D67:D68"/>
    <mergeCell ref="E67:E68"/>
    <mergeCell ref="H67:H68"/>
    <mergeCell ref="G67:G68"/>
    <mergeCell ref="I67:I68"/>
    <mergeCell ref="J67:J68"/>
    <mergeCell ref="C99:C100"/>
    <mergeCell ref="J3:J4"/>
    <mergeCell ref="C35:C36"/>
    <mergeCell ref="D35:D36"/>
    <mergeCell ref="E35:E36"/>
    <mergeCell ref="G35:G36"/>
    <mergeCell ref="H35:H36"/>
    <mergeCell ref="I35:I36"/>
    <mergeCell ref="J35:J36"/>
    <mergeCell ref="D3:D4"/>
    <mergeCell ref="E3:E4"/>
    <mergeCell ref="G3:G4"/>
    <mergeCell ref="H3:H4"/>
    <mergeCell ref="I3:I4"/>
    <mergeCell ref="C3:C4"/>
  </mergeCells>
  <phoneticPr fontId="58" type="noConversion"/>
  <pageMargins left="0.98425196850393704" right="0.98425196850393704" top="0.98425196850393704" bottom="0.98425196850393704" header="0.51181102362204722" footer="0.51181102362204722"/>
  <pageSetup scale="9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0AAC-47AD-4463-8D5D-9A40FBD9E6B7}">
  <sheetPr>
    <pageSetUpPr fitToPage="1"/>
  </sheetPr>
  <dimension ref="U1:AL27"/>
  <sheetViews>
    <sheetView showRuler="0" zoomScaleNormal="100" zoomScalePageLayoutView="80" workbookViewId="0"/>
  </sheetViews>
  <sheetFormatPr baseColWidth="10" defaultRowHeight="15" x14ac:dyDescent="0.25"/>
  <cols>
    <col min="1" max="1" width="18.28515625" customWidth="1"/>
    <col min="27" max="27" width="12" bestFit="1" customWidth="1"/>
  </cols>
  <sheetData>
    <row r="1" spans="21:38" x14ac:dyDescent="0.25">
      <c r="V1" s="373" t="s">
        <v>440</v>
      </c>
      <c r="W1" s="373"/>
      <c r="X1" s="374"/>
      <c r="Y1" s="372" t="s">
        <v>301</v>
      </c>
      <c r="Z1" s="373"/>
      <c r="AA1" s="373"/>
      <c r="AB1" s="372" t="s">
        <v>302</v>
      </c>
      <c r="AC1" s="373"/>
      <c r="AD1" s="373"/>
      <c r="AE1" s="373" t="s">
        <v>204</v>
      </c>
      <c r="AF1" s="373"/>
      <c r="AG1" s="373"/>
      <c r="AI1" t="s">
        <v>422</v>
      </c>
      <c r="AJ1" t="s">
        <v>301</v>
      </c>
      <c r="AK1" t="s">
        <v>423</v>
      </c>
      <c r="AL1" t="s">
        <v>204</v>
      </c>
    </row>
    <row r="2" spans="21:38" x14ac:dyDescent="0.25">
      <c r="V2">
        <v>22042994</v>
      </c>
      <c r="Y2">
        <v>22042996</v>
      </c>
      <c r="AB2">
        <v>22042999</v>
      </c>
    </row>
    <row r="3" spans="21:38" x14ac:dyDescent="0.25">
      <c r="V3" t="s">
        <v>421</v>
      </c>
      <c r="W3" s="201" t="s">
        <v>179</v>
      </c>
      <c r="X3" s="201" t="s">
        <v>299</v>
      </c>
      <c r="Y3" t="s">
        <v>421</v>
      </c>
      <c r="Z3" s="201" t="s">
        <v>179</v>
      </c>
      <c r="AA3" s="201" t="s">
        <v>299</v>
      </c>
      <c r="AB3" t="s">
        <v>421</v>
      </c>
      <c r="AC3" s="201" t="s">
        <v>179</v>
      </c>
      <c r="AD3" s="201" t="s">
        <v>299</v>
      </c>
      <c r="AE3" t="s">
        <v>421</v>
      </c>
      <c r="AF3" s="201" t="s">
        <v>179</v>
      </c>
      <c r="AG3" s="201" t="s">
        <v>299</v>
      </c>
      <c r="AH3" t="s">
        <v>300</v>
      </c>
      <c r="AI3" s="201"/>
      <c r="AJ3" s="201"/>
    </row>
    <row r="4" spans="21:38" x14ac:dyDescent="0.25">
      <c r="U4" s="205">
        <v>44197</v>
      </c>
      <c r="V4" s="198">
        <v>11355662.840000005</v>
      </c>
      <c r="W4" s="203">
        <v>16653056</v>
      </c>
      <c r="X4" s="199">
        <f>V4/W4</f>
        <v>0.68189663446757187</v>
      </c>
      <c r="Y4" s="204">
        <v>4845465.03</v>
      </c>
      <c r="Z4" s="203">
        <v>6670745</v>
      </c>
      <c r="AA4" s="199">
        <f>Y4/Z4</f>
        <v>0.72637539435250487</v>
      </c>
      <c r="AB4" s="198">
        <v>186689.38</v>
      </c>
      <c r="AC4" s="198">
        <v>240000</v>
      </c>
      <c r="AD4" s="202">
        <f>AB4/AC4</f>
        <v>0.77787241666666673</v>
      </c>
      <c r="AE4" s="204">
        <f>Y4+V4+AB4</f>
        <v>16387817.250000006</v>
      </c>
      <c r="AF4" s="204">
        <f>Z4+W4+AC4</f>
        <v>23563801</v>
      </c>
      <c r="AG4" s="202">
        <f>AE4/AF4</f>
        <v>0.69546578032975259</v>
      </c>
      <c r="AH4" s="199">
        <v>723.56</v>
      </c>
      <c r="AI4" s="198">
        <f>X4*AH4</f>
        <v>493.39312883535626</v>
      </c>
      <c r="AJ4" s="198">
        <f>AH4*AA4</f>
        <v>525.57618033769836</v>
      </c>
      <c r="AK4" s="77">
        <f>AD4*AH4</f>
        <v>562.83736580333334</v>
      </c>
      <c r="AL4" s="77">
        <f>AG4*AH4</f>
        <v>503.21122001539572</v>
      </c>
    </row>
    <row r="5" spans="21:38" x14ac:dyDescent="0.25">
      <c r="U5" s="205">
        <v>44228</v>
      </c>
      <c r="V5" s="198">
        <v>10450716.030000012</v>
      </c>
      <c r="W5" s="203">
        <v>14502507</v>
      </c>
      <c r="X5" s="199">
        <f t="shared" ref="X5:X27" si="0">V5/W5</f>
        <v>0.72061444479909664</v>
      </c>
      <c r="Y5" s="87">
        <v>5883360.6499999892</v>
      </c>
      <c r="Z5" s="87">
        <v>7803750</v>
      </c>
      <c r="AA5" s="199">
        <f t="shared" ref="AA5:AA27" si="1">Y5/Z5</f>
        <v>0.75391454749319098</v>
      </c>
      <c r="AB5" s="198">
        <v>320252.74</v>
      </c>
      <c r="AC5" s="198">
        <v>345952</v>
      </c>
      <c r="AD5" s="202">
        <f t="shared" ref="AD5:AD27" si="2">AB5/AC5</f>
        <v>0.92571437656091016</v>
      </c>
      <c r="AE5" s="204">
        <f t="shared" ref="AE5:AE27" si="3">Y5+V5+AB5</f>
        <v>16654329.420000002</v>
      </c>
      <c r="AF5" s="204">
        <f t="shared" ref="AF5:AF27" si="4">Z5+W5+AC5</f>
        <v>22652209</v>
      </c>
      <c r="AG5" s="202">
        <f t="shared" ref="AG5:AG27" si="5">AE5/AF5</f>
        <v>0.73521877800085644</v>
      </c>
      <c r="AH5" s="199">
        <v>722.63</v>
      </c>
      <c r="AI5" s="198">
        <f t="shared" ref="AI5:AI26" si="6">X5*AH5</f>
        <v>520.73761624517124</v>
      </c>
      <c r="AJ5" s="198">
        <f t="shared" ref="AJ5:AJ26" si="7">AH5*AA5</f>
        <v>544.80126945500456</v>
      </c>
      <c r="AK5" s="77">
        <f t="shared" ref="AK5:AK26" si="8">AD5*AH5</f>
        <v>668.94897993421046</v>
      </c>
      <c r="AL5" s="77">
        <f t="shared" ref="AL5:AL26" si="9">AG5*AH5</f>
        <v>531.29114554675891</v>
      </c>
    </row>
    <row r="6" spans="21:38" x14ac:dyDescent="0.25">
      <c r="U6" s="205">
        <v>44256</v>
      </c>
      <c r="V6" s="198">
        <v>12714786.770000007</v>
      </c>
      <c r="W6" s="198">
        <v>17690215</v>
      </c>
      <c r="X6" s="199">
        <f t="shared" si="0"/>
        <v>0.71874687616854893</v>
      </c>
      <c r="Y6" s="87">
        <v>4079387.1099999989</v>
      </c>
      <c r="Z6" s="198">
        <v>5597024</v>
      </c>
      <c r="AA6" s="199">
        <f t="shared" si="1"/>
        <v>0.72884931527897667</v>
      </c>
      <c r="AB6" s="198">
        <v>177600</v>
      </c>
      <c r="AC6" s="198">
        <v>240000</v>
      </c>
      <c r="AD6" s="202">
        <f t="shared" si="2"/>
        <v>0.74</v>
      </c>
      <c r="AE6" s="204">
        <f t="shared" si="3"/>
        <v>16971773.880000006</v>
      </c>
      <c r="AF6" s="204">
        <f t="shared" si="4"/>
        <v>23527239</v>
      </c>
      <c r="AG6" s="202">
        <f t="shared" si="5"/>
        <v>0.72136700273245014</v>
      </c>
      <c r="AH6" s="199">
        <v>726.37</v>
      </c>
      <c r="AI6" s="198">
        <f t="shared" si="6"/>
        <v>522.07616844254892</v>
      </c>
      <c r="AJ6" s="198">
        <f t="shared" si="7"/>
        <v>529.41427713919029</v>
      </c>
      <c r="AK6" s="77">
        <f t="shared" si="8"/>
        <v>537.51379999999995</v>
      </c>
      <c r="AL6" s="77">
        <f t="shared" si="9"/>
        <v>523.97934977476984</v>
      </c>
    </row>
    <row r="7" spans="21:38" x14ac:dyDescent="0.25">
      <c r="U7" s="205">
        <v>44287</v>
      </c>
      <c r="V7" s="87">
        <v>9941650.8199999966</v>
      </c>
      <c r="W7" s="87">
        <v>14465103</v>
      </c>
      <c r="X7" s="199">
        <f t="shared" si="0"/>
        <v>0.68728517315085802</v>
      </c>
      <c r="Y7" s="87">
        <v>4565724.1799999969</v>
      </c>
      <c r="Z7" s="198">
        <v>6016990</v>
      </c>
      <c r="AA7" s="199">
        <f t="shared" si="1"/>
        <v>0.75880534619469153</v>
      </c>
      <c r="AB7" s="87">
        <v>66960</v>
      </c>
      <c r="AC7" s="87">
        <v>96000</v>
      </c>
      <c r="AD7" s="202">
        <f t="shared" si="2"/>
        <v>0.69750000000000001</v>
      </c>
      <c r="AE7" s="204">
        <f t="shared" si="3"/>
        <v>14574334.999999993</v>
      </c>
      <c r="AF7" s="204">
        <f t="shared" si="4"/>
        <v>20578093</v>
      </c>
      <c r="AG7" s="202">
        <f t="shared" si="5"/>
        <v>0.70824517121192876</v>
      </c>
      <c r="AH7" s="199">
        <v>707.85</v>
      </c>
      <c r="AI7" s="198">
        <f t="shared" si="6"/>
        <v>486.49480981483487</v>
      </c>
      <c r="AJ7" s="198">
        <f t="shared" si="7"/>
        <v>537.12036430391242</v>
      </c>
      <c r="AK7" s="77">
        <f t="shared" si="8"/>
        <v>493.72537500000004</v>
      </c>
      <c r="AL7" s="77">
        <f t="shared" si="9"/>
        <v>501.33134444236379</v>
      </c>
    </row>
    <row r="8" spans="21:38" x14ac:dyDescent="0.25">
      <c r="U8" s="205">
        <v>44317</v>
      </c>
      <c r="V8" s="87">
        <v>9936826.2400000021</v>
      </c>
      <c r="W8" s="87">
        <v>13621159</v>
      </c>
      <c r="X8" s="199">
        <f t="shared" si="0"/>
        <v>0.72951400391112109</v>
      </c>
      <c r="Y8" s="87">
        <v>4225105.4499999993</v>
      </c>
      <c r="Z8" s="198">
        <v>5595424</v>
      </c>
      <c r="AA8" s="199">
        <f t="shared" si="1"/>
        <v>0.75510014075787635</v>
      </c>
      <c r="AB8" s="204">
        <v>598491</v>
      </c>
      <c r="AC8" s="204">
        <v>855900</v>
      </c>
      <c r="AD8" s="202">
        <f t="shared" si="2"/>
        <v>0.69925341745531022</v>
      </c>
      <c r="AE8" s="204">
        <f t="shared" si="3"/>
        <v>14760422.690000001</v>
      </c>
      <c r="AF8" s="204">
        <f t="shared" si="4"/>
        <v>20072483</v>
      </c>
      <c r="AG8" s="202">
        <f t="shared" si="5"/>
        <v>0.73535609371297017</v>
      </c>
      <c r="AH8" s="199">
        <v>712.26</v>
      </c>
      <c r="AI8" s="198">
        <f t="shared" si="6"/>
        <v>519.60364442573507</v>
      </c>
      <c r="AJ8" s="198">
        <f t="shared" si="7"/>
        <v>537.82762625620501</v>
      </c>
      <c r="AK8" s="77">
        <f t="shared" si="8"/>
        <v>498.05023911671924</v>
      </c>
      <c r="AL8" s="77">
        <f t="shared" si="9"/>
        <v>523.76473130800014</v>
      </c>
    </row>
    <row r="9" spans="21:38" x14ac:dyDescent="0.25">
      <c r="U9" s="205">
        <v>44348</v>
      </c>
      <c r="V9" s="87">
        <v>12829087.619999986</v>
      </c>
      <c r="W9" s="87">
        <v>17109249</v>
      </c>
      <c r="X9" s="199">
        <f t="shared" si="0"/>
        <v>0.74983347428048919</v>
      </c>
      <c r="Y9" s="87">
        <v>4695440.7399999965</v>
      </c>
      <c r="Z9" s="198">
        <v>5944275</v>
      </c>
      <c r="AA9" s="199">
        <f t="shared" si="1"/>
        <v>0.78990974340857323</v>
      </c>
      <c r="AB9" s="87">
        <v>343200</v>
      </c>
      <c r="AC9" s="87">
        <v>528000</v>
      </c>
      <c r="AD9" s="202">
        <f t="shared" si="2"/>
        <v>0.65</v>
      </c>
      <c r="AE9" s="204">
        <f t="shared" si="3"/>
        <v>17867728.359999985</v>
      </c>
      <c r="AF9" s="204">
        <f t="shared" si="4"/>
        <v>23581524</v>
      </c>
      <c r="AG9" s="202">
        <f t="shared" si="5"/>
        <v>0.75770032335484272</v>
      </c>
      <c r="AH9" s="199">
        <v>726.54</v>
      </c>
      <c r="AI9" s="198">
        <f t="shared" si="6"/>
        <v>544.7840124037466</v>
      </c>
      <c r="AJ9" s="198">
        <f t="shared" si="7"/>
        <v>573.90102497606472</v>
      </c>
      <c r="AK9" s="77">
        <f t="shared" si="8"/>
        <v>472.25099999999998</v>
      </c>
      <c r="AL9" s="77">
        <f t="shared" si="9"/>
        <v>550.49959293022744</v>
      </c>
    </row>
    <row r="10" spans="21:38" x14ac:dyDescent="0.25">
      <c r="U10" s="205">
        <v>44378</v>
      </c>
      <c r="V10" s="87">
        <v>9079823.4499999974</v>
      </c>
      <c r="W10" s="87">
        <v>14056899</v>
      </c>
      <c r="X10" s="199">
        <f t="shared" si="0"/>
        <v>0.64593360527097743</v>
      </c>
      <c r="Y10" s="87">
        <v>4888243.7699999977</v>
      </c>
      <c r="Z10" s="87">
        <v>6084547</v>
      </c>
      <c r="AA10" s="199">
        <f t="shared" si="1"/>
        <v>0.80338663995857007</v>
      </c>
      <c r="AB10" s="87">
        <v>198240</v>
      </c>
      <c r="AC10" s="87">
        <v>288000</v>
      </c>
      <c r="AD10" s="202">
        <f t="shared" si="2"/>
        <v>0.68833333333333335</v>
      </c>
      <c r="AE10" s="204">
        <f t="shared" si="3"/>
        <v>14166307.219999995</v>
      </c>
      <c r="AF10" s="204">
        <f t="shared" si="4"/>
        <v>20429446</v>
      </c>
      <c r="AG10" s="202">
        <f t="shared" si="5"/>
        <v>0.69342591179418156</v>
      </c>
      <c r="AH10" s="199">
        <v>750.44</v>
      </c>
      <c r="AI10" s="198">
        <f t="shared" si="6"/>
        <v>484.73441473955234</v>
      </c>
      <c r="AJ10" s="198">
        <f t="shared" si="7"/>
        <v>602.89347009050937</v>
      </c>
      <c r="AK10" s="77">
        <f t="shared" si="8"/>
        <v>516.55286666666677</v>
      </c>
      <c r="AL10" s="77">
        <f t="shared" si="9"/>
        <v>520.37454124682563</v>
      </c>
    </row>
    <row r="11" spans="21:38" x14ac:dyDescent="0.25">
      <c r="U11" s="205">
        <v>44409</v>
      </c>
      <c r="V11" s="87">
        <v>9852495.3600000031</v>
      </c>
      <c r="W11" s="87">
        <v>14674113</v>
      </c>
      <c r="X11" s="199">
        <f t="shared" si="0"/>
        <v>0.67142016420345152</v>
      </c>
      <c r="Y11" s="87">
        <v>6603232.3299999908</v>
      </c>
      <c r="Z11" s="87">
        <v>8637933</v>
      </c>
      <c r="AA11" s="199">
        <f t="shared" si="1"/>
        <v>0.76444588421790149</v>
      </c>
      <c r="AB11" s="87">
        <v>733200</v>
      </c>
      <c r="AC11" s="87">
        <v>1128000</v>
      </c>
      <c r="AD11" s="202">
        <f t="shared" si="2"/>
        <v>0.65</v>
      </c>
      <c r="AE11" s="204">
        <f t="shared" si="3"/>
        <v>17188927.689999994</v>
      </c>
      <c r="AF11" s="204">
        <f t="shared" si="4"/>
        <v>24440046</v>
      </c>
      <c r="AG11" s="202">
        <f t="shared" si="5"/>
        <v>0.70330995653608808</v>
      </c>
      <c r="AH11" s="199">
        <v>779.83</v>
      </c>
      <c r="AI11" s="198">
        <f t="shared" si="6"/>
        <v>523.59358665077764</v>
      </c>
      <c r="AJ11" s="198">
        <f t="shared" si="7"/>
        <v>596.13783388964612</v>
      </c>
      <c r="AK11" s="77">
        <f t="shared" si="8"/>
        <v>506.88950000000006</v>
      </c>
      <c r="AL11" s="77">
        <f t="shared" si="9"/>
        <v>548.46220340553759</v>
      </c>
    </row>
    <row r="12" spans="21:38" x14ac:dyDescent="0.25">
      <c r="U12" s="205">
        <v>44440</v>
      </c>
      <c r="V12" s="87">
        <v>7866796.4800000004</v>
      </c>
      <c r="W12" s="87">
        <v>11189492</v>
      </c>
      <c r="X12" s="199">
        <f t="shared" si="0"/>
        <v>0.70305215643391139</v>
      </c>
      <c r="Y12" s="87">
        <v>10296815.880000016</v>
      </c>
      <c r="Z12" s="87">
        <v>12789568</v>
      </c>
      <c r="AA12" s="199">
        <f t="shared" si="1"/>
        <v>0.80509489296276593</v>
      </c>
      <c r="AB12" s="87">
        <v>333117.45999999996</v>
      </c>
      <c r="AC12" s="87">
        <v>452000</v>
      </c>
      <c r="AD12" s="202">
        <f t="shared" si="2"/>
        <v>0.73698553097345121</v>
      </c>
      <c r="AE12" s="204">
        <f t="shared" si="3"/>
        <v>18496729.820000015</v>
      </c>
      <c r="AF12" s="204">
        <f t="shared" si="4"/>
        <v>24431060</v>
      </c>
      <c r="AG12" s="202">
        <f t="shared" si="5"/>
        <v>0.75709894781479048</v>
      </c>
      <c r="AH12" s="199">
        <v>783.63</v>
      </c>
      <c r="AI12" s="198">
        <f t="shared" si="6"/>
        <v>550.93276134630594</v>
      </c>
      <c r="AJ12" s="198">
        <f t="shared" si="7"/>
        <v>630.89651097241222</v>
      </c>
      <c r="AK12" s="77">
        <f t="shared" si="8"/>
        <v>577.52397163672561</v>
      </c>
      <c r="AL12" s="77">
        <f t="shared" si="9"/>
        <v>593.28544847610431</v>
      </c>
    </row>
    <row r="13" spans="21:38" x14ac:dyDescent="0.25">
      <c r="U13" s="205">
        <v>44470</v>
      </c>
      <c r="V13" s="87">
        <v>12774771.529999999</v>
      </c>
      <c r="W13" s="87">
        <v>18031909</v>
      </c>
      <c r="X13" s="199">
        <f t="shared" si="0"/>
        <v>0.70845363793705918</v>
      </c>
      <c r="Y13" s="87">
        <v>6138665.4699999932</v>
      </c>
      <c r="Z13" s="87">
        <v>7909470</v>
      </c>
      <c r="AA13" s="199">
        <f t="shared" si="1"/>
        <v>0.77611590536407538</v>
      </c>
      <c r="AB13" s="87">
        <v>614635.31999999995</v>
      </c>
      <c r="AC13" s="87">
        <v>864000</v>
      </c>
      <c r="AD13" s="202">
        <f t="shared" si="2"/>
        <v>0.7113834722222222</v>
      </c>
      <c r="AE13" s="204">
        <f t="shared" si="3"/>
        <v>19528072.319999993</v>
      </c>
      <c r="AF13" s="204">
        <f t="shared" si="4"/>
        <v>26805379</v>
      </c>
      <c r="AG13" s="202">
        <f t="shared" si="5"/>
        <v>0.72851319580297647</v>
      </c>
      <c r="AH13" s="199">
        <v>813.95</v>
      </c>
      <c r="AI13" s="198">
        <f t="shared" si="6"/>
        <v>576.64583859886932</v>
      </c>
      <c r="AJ13" s="198">
        <f t="shared" si="7"/>
        <v>631.71954117108919</v>
      </c>
      <c r="AK13" s="77">
        <f t="shared" si="8"/>
        <v>579.03057721527784</v>
      </c>
      <c r="AL13" s="77">
        <f t="shared" si="9"/>
        <v>592.97331572383268</v>
      </c>
    </row>
    <row r="14" spans="21:38" x14ac:dyDescent="0.25">
      <c r="U14" s="205">
        <v>44501</v>
      </c>
      <c r="V14" s="87">
        <v>9400170.049999997</v>
      </c>
      <c r="W14" s="87">
        <v>13520298</v>
      </c>
      <c r="X14" s="199">
        <f t="shared" si="0"/>
        <v>0.69526352525661761</v>
      </c>
      <c r="Y14" s="87">
        <v>5930259.8199999975</v>
      </c>
      <c r="Z14" s="87">
        <v>7314970.5</v>
      </c>
      <c r="AA14" s="199">
        <f t="shared" si="1"/>
        <v>0.81070180939212233</v>
      </c>
      <c r="AB14" s="204">
        <v>398208.49000000005</v>
      </c>
      <c r="AC14" s="204">
        <v>569833</v>
      </c>
      <c r="AD14" s="202">
        <f t="shared" si="2"/>
        <v>0.69881612683014149</v>
      </c>
      <c r="AE14" s="204">
        <f t="shared" si="3"/>
        <v>15728638.359999994</v>
      </c>
      <c r="AF14" s="204">
        <f t="shared" si="4"/>
        <v>21405101.5</v>
      </c>
      <c r="AG14" s="202">
        <f t="shared" si="5"/>
        <v>0.73480793165124647</v>
      </c>
      <c r="AH14" s="199">
        <v>812.62</v>
      </c>
      <c r="AI14" s="198">
        <f t="shared" si="6"/>
        <v>564.98504589403262</v>
      </c>
      <c r="AJ14" s="198">
        <f t="shared" si="7"/>
        <v>658.79250434822643</v>
      </c>
      <c r="AK14" s="77">
        <f t="shared" si="8"/>
        <v>567.87196098470963</v>
      </c>
      <c r="AL14" s="77">
        <f t="shared" si="9"/>
        <v>597.11962141843594</v>
      </c>
    </row>
    <row r="15" spans="21:38" x14ac:dyDescent="0.25">
      <c r="U15" s="205">
        <v>44531</v>
      </c>
      <c r="V15" s="87">
        <v>14591720.699999992</v>
      </c>
      <c r="W15" s="87">
        <v>21353120</v>
      </c>
      <c r="X15" s="199">
        <f t="shared" si="0"/>
        <v>0.68335309781427689</v>
      </c>
      <c r="Y15" s="87">
        <v>5989602.9699999932</v>
      </c>
      <c r="Z15" s="87">
        <v>6902856.5</v>
      </c>
      <c r="AA15" s="199">
        <f t="shared" si="1"/>
        <v>0.86769918656138845</v>
      </c>
      <c r="AB15" s="198">
        <v>285120</v>
      </c>
      <c r="AC15" s="198">
        <v>360000</v>
      </c>
      <c r="AD15" s="202">
        <f t="shared" si="2"/>
        <v>0.79200000000000004</v>
      </c>
      <c r="AE15" s="204">
        <f t="shared" si="3"/>
        <v>20866443.669999987</v>
      </c>
      <c r="AF15" s="204">
        <f t="shared" si="4"/>
        <v>28615976.5</v>
      </c>
      <c r="AG15" s="202">
        <f t="shared" si="5"/>
        <v>0.72918859400097658</v>
      </c>
      <c r="AH15" s="199">
        <v>849.12</v>
      </c>
      <c r="AI15" s="198">
        <f t="shared" si="6"/>
        <v>580.24878241605882</v>
      </c>
      <c r="AJ15" s="198">
        <f t="shared" si="7"/>
        <v>736.78073329300616</v>
      </c>
      <c r="AK15" s="77">
        <f t="shared" si="8"/>
        <v>672.50304000000006</v>
      </c>
      <c r="AL15" s="77">
        <f t="shared" si="9"/>
        <v>619.16861893810926</v>
      </c>
    </row>
    <row r="16" spans="21:38" x14ac:dyDescent="0.25">
      <c r="U16" s="308">
        <v>44562</v>
      </c>
      <c r="V16" s="200">
        <v>10539186.779999994</v>
      </c>
      <c r="W16" s="200">
        <v>15286602</v>
      </c>
      <c r="X16" s="199">
        <f t="shared" si="0"/>
        <v>0.68943946993582972</v>
      </c>
      <c r="Y16" s="198">
        <v>7511394.7500000019</v>
      </c>
      <c r="Z16" s="198">
        <v>8822877</v>
      </c>
      <c r="AA16" s="199">
        <f>Y16/Z16</f>
        <v>0.8513543541409454</v>
      </c>
      <c r="AB16" s="200">
        <v>688434</v>
      </c>
      <c r="AC16" s="200">
        <v>1047900</v>
      </c>
      <c r="AD16" s="202">
        <f t="shared" si="2"/>
        <v>0.65696535929000854</v>
      </c>
      <c r="AE16" s="204">
        <f t="shared" si="3"/>
        <v>18739015.529999994</v>
      </c>
      <c r="AF16" s="204">
        <f t="shared" si="4"/>
        <v>25157379</v>
      </c>
      <c r="AG16" s="202">
        <f t="shared" si="5"/>
        <v>0.74487153570330178</v>
      </c>
      <c r="AH16" s="199">
        <v>822.05</v>
      </c>
      <c r="AI16" s="198">
        <f t="shared" si="6"/>
        <v>566.75371626074877</v>
      </c>
      <c r="AJ16" s="198">
        <f t="shared" si="7"/>
        <v>699.85584682156411</v>
      </c>
      <c r="AK16" s="77">
        <f t="shared" si="8"/>
        <v>540.05837360435146</v>
      </c>
      <c r="AL16" s="77">
        <f t="shared" si="9"/>
        <v>612.32164592489914</v>
      </c>
    </row>
    <row r="17" spans="21:38" x14ac:dyDescent="0.25">
      <c r="U17" s="205">
        <v>44593</v>
      </c>
      <c r="V17" s="198">
        <v>9519800.1999999918</v>
      </c>
      <c r="W17" s="198">
        <v>13761223</v>
      </c>
      <c r="X17" s="199">
        <f t="shared" si="0"/>
        <v>0.69178445840169811</v>
      </c>
      <c r="Y17" s="198">
        <v>6359556.1099999994</v>
      </c>
      <c r="Z17" s="198">
        <v>7680550</v>
      </c>
      <c r="AA17" s="199">
        <f t="shared" si="1"/>
        <v>0.82800790438184757</v>
      </c>
      <c r="AB17" s="309">
        <v>240459.14</v>
      </c>
      <c r="AC17" s="309">
        <v>336000</v>
      </c>
      <c r="AD17" s="202">
        <f t="shared" si="2"/>
        <v>0.7156522023809524</v>
      </c>
      <c r="AE17" s="204">
        <f t="shared" si="3"/>
        <v>16119815.449999992</v>
      </c>
      <c r="AF17" s="204">
        <f t="shared" si="4"/>
        <v>21777773</v>
      </c>
      <c r="AG17" s="202">
        <f t="shared" si="5"/>
        <v>0.74019576978784707</v>
      </c>
      <c r="AH17" s="199">
        <v>807.07</v>
      </c>
      <c r="AI17" s="198">
        <f t="shared" si="6"/>
        <v>558.3184828422585</v>
      </c>
      <c r="AJ17" s="198">
        <f t="shared" si="7"/>
        <v>668.26033938945773</v>
      </c>
      <c r="AK17" s="77">
        <f t="shared" si="8"/>
        <v>577.58142297559527</v>
      </c>
      <c r="AL17" s="77">
        <f t="shared" si="9"/>
        <v>597.38979992267775</v>
      </c>
    </row>
    <row r="18" spans="21:38" x14ac:dyDescent="0.25">
      <c r="U18" s="205">
        <v>44621</v>
      </c>
      <c r="V18" s="200">
        <v>11679882.429999994</v>
      </c>
      <c r="W18" s="200">
        <v>15125034</v>
      </c>
      <c r="X18" s="199">
        <f t="shared" si="0"/>
        <v>0.77222189583177092</v>
      </c>
      <c r="Y18" s="198">
        <v>7702781.639999995</v>
      </c>
      <c r="Z18" s="198">
        <v>8892754</v>
      </c>
      <c r="AA18" s="199">
        <f t="shared" si="1"/>
        <v>0.86618629504425682</v>
      </c>
      <c r="AB18" s="200">
        <v>345250.72</v>
      </c>
      <c r="AC18" s="200">
        <v>552000</v>
      </c>
      <c r="AD18" s="202">
        <f>AB18/AC18</f>
        <v>0.62545420289855069</v>
      </c>
      <c r="AE18" s="204">
        <f t="shared" si="3"/>
        <v>19727914.789999988</v>
      </c>
      <c r="AF18" s="204">
        <f t="shared" si="4"/>
        <v>24569788</v>
      </c>
      <c r="AG18" s="202">
        <f t="shared" si="5"/>
        <v>0.80293386292140523</v>
      </c>
      <c r="AH18" s="199">
        <v>799.19</v>
      </c>
      <c r="AI18" s="198">
        <f t="shared" si="6"/>
        <v>617.15201692979304</v>
      </c>
      <c r="AJ18" s="198">
        <f t="shared" si="7"/>
        <v>692.24742513641968</v>
      </c>
      <c r="AK18" s="77">
        <f t="shared" si="8"/>
        <v>499.85674441449277</v>
      </c>
      <c r="AL18" s="77">
        <f t="shared" si="9"/>
        <v>641.6967139081579</v>
      </c>
    </row>
    <row r="19" spans="21:38" x14ac:dyDescent="0.25">
      <c r="U19" s="205">
        <v>44652</v>
      </c>
      <c r="V19" s="204">
        <v>11085992.459999997</v>
      </c>
      <c r="W19" s="204">
        <v>15085978</v>
      </c>
      <c r="X19" s="199">
        <f t="shared" si="0"/>
        <v>0.73485407840313677</v>
      </c>
      <c r="Y19" s="204">
        <v>4909030.28</v>
      </c>
      <c r="Z19" s="204">
        <v>5499396</v>
      </c>
      <c r="AA19" s="199">
        <f t="shared" si="1"/>
        <v>0.8926489890889836</v>
      </c>
      <c r="AB19" s="203">
        <v>499790.48000000004</v>
      </c>
      <c r="AC19" s="203">
        <v>407905</v>
      </c>
      <c r="AD19" s="202">
        <f t="shared" si="2"/>
        <v>1.22526196050551</v>
      </c>
      <c r="AE19" s="204">
        <f t="shared" si="3"/>
        <v>16494813.219999999</v>
      </c>
      <c r="AF19" s="204">
        <f t="shared" si="4"/>
        <v>20993279</v>
      </c>
      <c r="AG19" s="202">
        <f t="shared" si="5"/>
        <v>0.78571876361001058</v>
      </c>
      <c r="AH19" s="201">
        <v>815.12</v>
      </c>
      <c r="AI19" s="198">
        <f t="shared" si="6"/>
        <v>598.99425638796481</v>
      </c>
      <c r="AJ19" s="198">
        <f t="shared" si="7"/>
        <v>727.61604398621228</v>
      </c>
      <c r="AK19" s="77">
        <f t="shared" si="8"/>
        <v>998.73552924725129</v>
      </c>
      <c r="AL19" s="77">
        <f t="shared" si="9"/>
        <v>640.45507859379188</v>
      </c>
    </row>
    <row r="20" spans="21:38" x14ac:dyDescent="0.25">
      <c r="U20" s="205">
        <v>44682</v>
      </c>
      <c r="V20" s="87">
        <v>12646998.740000023</v>
      </c>
      <c r="W20" s="87">
        <v>18676574</v>
      </c>
      <c r="X20" s="199">
        <f t="shared" si="0"/>
        <v>0.67715838782851834</v>
      </c>
      <c r="Y20" s="87">
        <v>4737211.0500000007</v>
      </c>
      <c r="Z20" s="87">
        <v>5857410</v>
      </c>
      <c r="AA20" s="199">
        <f t="shared" si="1"/>
        <v>0.80875524335841276</v>
      </c>
      <c r="AB20" s="87">
        <v>725876.29</v>
      </c>
      <c r="AC20" s="87">
        <v>642649</v>
      </c>
      <c r="AD20" s="202">
        <f t="shared" si="2"/>
        <v>1.1295066046940088</v>
      </c>
      <c r="AE20" s="204">
        <f t="shared" si="3"/>
        <v>18110086.080000021</v>
      </c>
      <c r="AF20" s="204">
        <f t="shared" si="4"/>
        <v>25176633</v>
      </c>
      <c r="AG20" s="202">
        <f t="shared" si="5"/>
        <v>0.71932120867790461</v>
      </c>
      <c r="AH20" s="241">
        <v>849.39</v>
      </c>
      <c r="AI20" s="198">
        <f t="shared" si="6"/>
        <v>575.17156303766524</v>
      </c>
      <c r="AJ20" s="198">
        <f t="shared" si="7"/>
        <v>686.94861615620221</v>
      </c>
      <c r="AK20" s="77">
        <f t="shared" si="8"/>
        <v>959.39161496104407</v>
      </c>
      <c r="AL20" s="77">
        <f t="shared" si="9"/>
        <v>610.98424143892544</v>
      </c>
    </row>
    <row r="21" spans="21:38" x14ac:dyDescent="0.25">
      <c r="U21" s="205">
        <v>44713</v>
      </c>
      <c r="V21" s="87">
        <v>14097479.870000022</v>
      </c>
      <c r="W21" s="87">
        <v>18596995</v>
      </c>
      <c r="X21" s="199">
        <f t="shared" si="0"/>
        <v>0.75805149541633055</v>
      </c>
      <c r="Y21" s="87">
        <v>6840240.040000001</v>
      </c>
      <c r="Z21" s="87">
        <v>7315270</v>
      </c>
      <c r="AA21" s="199">
        <f t="shared" si="1"/>
        <v>0.93506323621684517</v>
      </c>
      <c r="AB21" s="87">
        <v>372924.05999999994</v>
      </c>
      <c r="AC21" s="87">
        <v>512976</v>
      </c>
      <c r="AD21" s="202">
        <f t="shared" si="2"/>
        <v>0.72698149621034891</v>
      </c>
      <c r="AE21" s="204">
        <f t="shared" si="3"/>
        <v>21310643.970000021</v>
      </c>
      <c r="AF21" s="204">
        <f t="shared" si="4"/>
        <v>26425241</v>
      </c>
      <c r="AG21" s="202">
        <f t="shared" si="5"/>
        <v>0.80645031657421862</v>
      </c>
      <c r="AH21" s="241">
        <v>857.77</v>
      </c>
      <c r="AI21" s="198">
        <f t="shared" si="6"/>
        <v>650.23383122326584</v>
      </c>
      <c r="AJ21" s="198">
        <f t="shared" si="7"/>
        <v>802.06919212972332</v>
      </c>
      <c r="AK21" s="77">
        <f t="shared" si="8"/>
        <v>623.58291800435097</v>
      </c>
      <c r="AL21" s="77">
        <f t="shared" si="9"/>
        <v>691.74888804786747</v>
      </c>
    </row>
    <row r="22" spans="21:38" x14ac:dyDescent="0.25">
      <c r="U22" s="205">
        <v>44743</v>
      </c>
      <c r="V22" s="87">
        <v>7241422.5199999977</v>
      </c>
      <c r="W22" s="87">
        <v>10073794</v>
      </c>
      <c r="X22" s="199">
        <f t="shared" si="0"/>
        <v>0.71883766136174687</v>
      </c>
      <c r="Y22" s="87">
        <v>6757061.580000001</v>
      </c>
      <c r="Z22" s="87">
        <v>7869671</v>
      </c>
      <c r="AA22" s="199">
        <f t="shared" si="1"/>
        <v>0.85862059290661596</v>
      </c>
      <c r="AB22" s="87">
        <v>476133.8299999999</v>
      </c>
      <c r="AC22" s="87">
        <v>552000</v>
      </c>
      <c r="AD22" s="202">
        <f t="shared" si="2"/>
        <v>0.86256128623188388</v>
      </c>
      <c r="AE22" s="204">
        <f t="shared" si="3"/>
        <v>14474617.929999998</v>
      </c>
      <c r="AF22" s="204">
        <f t="shared" si="4"/>
        <v>18495465</v>
      </c>
      <c r="AG22" s="202">
        <f t="shared" si="5"/>
        <v>0.78260362364503933</v>
      </c>
      <c r="AH22" s="241">
        <v>953.71</v>
      </c>
      <c r="AI22" s="198">
        <f t="shared" si="6"/>
        <v>685.56266601731159</v>
      </c>
      <c r="AJ22" s="198">
        <f t="shared" si="7"/>
        <v>818.87504566096879</v>
      </c>
      <c r="AK22" s="77">
        <f t="shared" si="8"/>
        <v>822.63332429220998</v>
      </c>
      <c r="AL22" s="77">
        <f t="shared" si="9"/>
        <v>746.37690190651051</v>
      </c>
    </row>
    <row r="23" spans="21:38" x14ac:dyDescent="0.25">
      <c r="U23" s="205">
        <v>44774</v>
      </c>
      <c r="V23" s="87">
        <v>7627339.0800000001</v>
      </c>
      <c r="W23" s="87">
        <v>11019895</v>
      </c>
      <c r="X23" s="199">
        <f t="shared" si="0"/>
        <v>0.69214262749327471</v>
      </c>
      <c r="Y23" s="87">
        <v>10899203.349999985</v>
      </c>
      <c r="Z23" s="87">
        <v>11055776.08</v>
      </c>
      <c r="AA23" s="199">
        <f t="shared" si="1"/>
        <v>0.98583792500254619</v>
      </c>
      <c r="AB23" s="87">
        <v>489799.70000000007</v>
      </c>
      <c r="AC23" s="87">
        <v>575931</v>
      </c>
      <c r="AD23" s="202">
        <f t="shared" si="2"/>
        <v>0.8504485780414669</v>
      </c>
      <c r="AE23" s="204">
        <f t="shared" si="3"/>
        <v>19016342.129999984</v>
      </c>
      <c r="AF23" s="204">
        <f t="shared" si="4"/>
        <v>22651602.079999998</v>
      </c>
      <c r="AG23" s="202">
        <f t="shared" si="5"/>
        <v>0.83951422344604354</v>
      </c>
      <c r="AH23" s="307">
        <v>904.35</v>
      </c>
      <c r="AI23" s="198">
        <f t="shared" si="6"/>
        <v>625.93918517354302</v>
      </c>
      <c r="AJ23" s="198">
        <f t="shared" si="7"/>
        <v>891.54252747605267</v>
      </c>
      <c r="AK23" s="77">
        <f t="shared" si="8"/>
        <v>769.10317155180064</v>
      </c>
      <c r="AL23" s="77">
        <f t="shared" si="9"/>
        <v>759.21468797342948</v>
      </c>
    </row>
    <row r="24" spans="21:38" x14ac:dyDescent="0.25">
      <c r="U24" s="205">
        <v>44805</v>
      </c>
      <c r="V24" s="87">
        <v>8506256.0399999898</v>
      </c>
      <c r="W24" s="87">
        <v>12616395</v>
      </c>
      <c r="X24" s="199">
        <f t="shared" si="0"/>
        <v>0.67422239395643446</v>
      </c>
      <c r="Y24" s="87">
        <v>4977806.32</v>
      </c>
      <c r="Z24" s="87">
        <v>5865392</v>
      </c>
      <c r="AA24" s="199">
        <f t="shared" si="1"/>
        <v>0.84867410737423865</v>
      </c>
      <c r="AB24" s="87">
        <v>211772.65000000002</v>
      </c>
      <c r="AC24" s="87">
        <v>240016</v>
      </c>
      <c r="AD24" s="202">
        <f t="shared" si="2"/>
        <v>0.88232721985201001</v>
      </c>
      <c r="AE24" s="204">
        <f t="shared" si="3"/>
        <v>13695835.00999999</v>
      </c>
      <c r="AF24" s="204">
        <f t="shared" si="4"/>
        <v>18721803</v>
      </c>
      <c r="AG24" s="202">
        <f t="shared" si="5"/>
        <v>0.73154465998814278</v>
      </c>
      <c r="AH24" s="307">
        <v>921.01</v>
      </c>
      <c r="AI24" s="198">
        <f t="shared" si="6"/>
        <v>620.96556705781575</v>
      </c>
      <c r="AJ24" s="198">
        <f t="shared" si="7"/>
        <v>781.63733963274751</v>
      </c>
      <c r="AK24" s="77">
        <f t="shared" si="8"/>
        <v>812.63219275589972</v>
      </c>
      <c r="AL24" s="77">
        <f t="shared" si="9"/>
        <v>673.75994729567935</v>
      </c>
    </row>
    <row r="25" spans="21:38" x14ac:dyDescent="0.25">
      <c r="U25" s="205">
        <v>44835</v>
      </c>
      <c r="V25" s="87">
        <v>7482235.209999999</v>
      </c>
      <c r="W25" s="87">
        <v>11391432</v>
      </c>
      <c r="X25" s="199">
        <f t="shared" si="0"/>
        <v>0.65683008159114664</v>
      </c>
      <c r="Y25" s="87">
        <v>8144184.7699999986</v>
      </c>
      <c r="Z25" s="87">
        <v>8828434</v>
      </c>
      <c r="AA25" s="199">
        <f t="shared" si="1"/>
        <v>0.92249483543740585</v>
      </c>
      <c r="AB25" s="87">
        <v>276692.52</v>
      </c>
      <c r="AC25" s="87">
        <v>288000</v>
      </c>
      <c r="AD25" s="202">
        <f t="shared" si="2"/>
        <v>0.96073791666666675</v>
      </c>
      <c r="AE25" s="204">
        <f t="shared" si="3"/>
        <v>15903112.499999996</v>
      </c>
      <c r="AF25" s="204">
        <f t="shared" si="4"/>
        <v>20507866</v>
      </c>
      <c r="AG25" s="202">
        <f t="shared" si="5"/>
        <v>0.77546403414182619</v>
      </c>
      <c r="AH25" s="307">
        <v>955.89</v>
      </c>
      <c r="AI25" s="198">
        <f t="shared" si="6"/>
        <v>627.85730669216116</v>
      </c>
      <c r="AJ25" s="198">
        <f t="shared" si="7"/>
        <v>881.80358824626182</v>
      </c>
      <c r="AK25" s="77">
        <f t="shared" si="8"/>
        <v>918.35976716250002</v>
      </c>
      <c r="AL25" s="77">
        <f t="shared" si="9"/>
        <v>741.25831559583025</v>
      </c>
    </row>
    <row r="26" spans="21:38" x14ac:dyDescent="0.25">
      <c r="U26" s="205">
        <v>44866</v>
      </c>
      <c r="V26" s="87">
        <v>7253916.4799999986</v>
      </c>
      <c r="W26" s="87">
        <v>11029693</v>
      </c>
      <c r="X26" s="199">
        <f t="shared" si="0"/>
        <v>0.65767165776962233</v>
      </c>
      <c r="Y26" s="87">
        <v>5462223.9700000007</v>
      </c>
      <c r="Z26" s="87">
        <v>5824378.75</v>
      </c>
      <c r="AA26" s="199">
        <f t="shared" si="1"/>
        <v>0.93782087402883962</v>
      </c>
      <c r="AB26" s="87">
        <v>281095.72000000003</v>
      </c>
      <c r="AC26" s="87">
        <v>386087</v>
      </c>
      <c r="AD26" s="202">
        <f t="shared" si="2"/>
        <v>0.72806315674964461</v>
      </c>
      <c r="AE26" s="204">
        <f t="shared" si="3"/>
        <v>12997236.17</v>
      </c>
      <c r="AF26" s="204">
        <f t="shared" si="4"/>
        <v>17240158.75</v>
      </c>
      <c r="AG26" s="202">
        <f t="shared" si="5"/>
        <v>0.75389306783500476</v>
      </c>
      <c r="AH26" s="307">
        <v>917.05</v>
      </c>
      <c r="AI26" s="198">
        <f t="shared" si="6"/>
        <v>603.11779375763217</v>
      </c>
      <c r="AJ26" s="198">
        <f t="shared" si="7"/>
        <v>860.02863252814734</v>
      </c>
      <c r="AK26" s="77">
        <f t="shared" si="8"/>
        <v>667.67031789726161</v>
      </c>
      <c r="AL26" s="77">
        <f t="shared" si="9"/>
        <v>691.35763785809104</v>
      </c>
    </row>
    <row r="27" spans="21:38" x14ac:dyDescent="0.25">
      <c r="U27" s="205">
        <v>44896</v>
      </c>
      <c r="V27">
        <v>5610393.9799999949</v>
      </c>
      <c r="W27">
        <v>8709918</v>
      </c>
      <c r="X27" s="199">
        <f t="shared" si="0"/>
        <v>0.64413855331358971</v>
      </c>
      <c r="Y27">
        <v>4498654.13</v>
      </c>
      <c r="Z27">
        <v>5342074.75</v>
      </c>
      <c r="AA27" s="199">
        <f t="shared" si="1"/>
        <v>0.84211740578882766</v>
      </c>
      <c r="AB27">
        <v>148540.55999999997</v>
      </c>
      <c r="AC27">
        <v>192000</v>
      </c>
      <c r="AD27" s="202">
        <f t="shared" si="2"/>
        <v>0.77364874999999989</v>
      </c>
      <c r="AE27" s="204">
        <f t="shared" si="3"/>
        <v>10257588.669999996</v>
      </c>
      <c r="AF27" s="204">
        <f t="shared" si="4"/>
        <v>14243992.75</v>
      </c>
      <c r="AG27" s="202">
        <f t="shared" si="5"/>
        <v>0.72013436471315218</v>
      </c>
      <c r="AH27" s="307">
        <v>875.66</v>
      </c>
      <c r="AI27" s="198">
        <f>X27*AH27</f>
        <v>564.04636559457799</v>
      </c>
      <c r="AJ27" s="198">
        <f>AH27*AA27</f>
        <v>737.40852755304479</v>
      </c>
      <c r="AK27" s="77">
        <f>AD27*AH27</f>
        <v>677.45326442499993</v>
      </c>
      <c r="AL27" s="77">
        <f>AG27*AH27</f>
        <v>630.59285780471885</v>
      </c>
    </row>
  </sheetData>
  <mergeCells count="4">
    <mergeCell ref="Y1:AA1"/>
    <mergeCell ref="V1:X1"/>
    <mergeCell ref="AB1:AD1"/>
    <mergeCell ref="AE1:AG1"/>
  </mergeCells>
  <phoneticPr fontId="58" type="noConversion"/>
  <pageMargins left="0.7" right="0.7" top="0.75" bottom="0.75" header="0.3" footer="0.3"/>
  <pageSetup scale="8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86CA-E7BA-4C36-8C41-A608AC0AA6B1}">
  <dimension ref="A1:F247"/>
  <sheetViews>
    <sheetView zoomScaleNormal="100" workbookViewId="0">
      <selection sqref="A1:F1"/>
    </sheetView>
  </sheetViews>
  <sheetFormatPr baseColWidth="10" defaultRowHeight="15" x14ac:dyDescent="0.25"/>
  <cols>
    <col min="1" max="1" width="11.42578125" style="224"/>
    <col min="2" max="2" width="24.5703125" style="224" customWidth="1"/>
    <col min="3" max="3" width="17" style="224" customWidth="1"/>
    <col min="4" max="4" width="9.5703125" style="224" customWidth="1"/>
    <col min="5" max="5" width="12.5703125" style="224" customWidth="1"/>
    <col min="6" max="6" width="46.140625" style="224" customWidth="1"/>
    <col min="7" max="16384" width="11.42578125" style="224"/>
  </cols>
  <sheetData>
    <row r="1" spans="1:6" ht="15.75" customHeight="1" thickBot="1" x14ac:dyDescent="0.3">
      <c r="A1" s="375" t="s">
        <v>553</v>
      </c>
      <c r="B1" s="376"/>
      <c r="C1" s="376"/>
      <c r="D1" s="376"/>
      <c r="E1" s="376"/>
      <c r="F1" s="377"/>
    </row>
    <row r="2" spans="1:6" ht="45" x14ac:dyDescent="0.25">
      <c r="A2" s="214" t="s">
        <v>323</v>
      </c>
      <c r="B2" s="215" t="s">
        <v>324</v>
      </c>
      <c r="C2" s="215" t="s">
        <v>242</v>
      </c>
      <c r="D2" s="216" t="s">
        <v>546</v>
      </c>
      <c r="E2" s="217" t="s">
        <v>325</v>
      </c>
      <c r="F2" s="218" t="s">
        <v>326</v>
      </c>
    </row>
    <row r="3" spans="1:6" ht="36" x14ac:dyDescent="0.25">
      <c r="A3" s="219" t="s">
        <v>327</v>
      </c>
      <c r="B3" s="223" t="s">
        <v>328</v>
      </c>
      <c r="C3" s="223" t="s">
        <v>329</v>
      </c>
      <c r="D3" s="221">
        <v>140</v>
      </c>
      <c r="E3" s="222">
        <v>44673</v>
      </c>
      <c r="F3" s="235" t="s">
        <v>441</v>
      </c>
    </row>
    <row r="4" spans="1:6" ht="30" x14ac:dyDescent="0.25">
      <c r="A4" s="219" t="s">
        <v>327</v>
      </c>
      <c r="B4" s="223" t="s">
        <v>328</v>
      </c>
      <c r="C4" s="223" t="s">
        <v>329</v>
      </c>
      <c r="D4" s="221">
        <v>140</v>
      </c>
      <c r="E4" s="222">
        <v>44662</v>
      </c>
      <c r="F4" s="234" t="s">
        <v>330</v>
      </c>
    </row>
    <row r="5" spans="1:6" ht="30" x14ac:dyDescent="0.25">
      <c r="A5" s="219" t="s">
        <v>331</v>
      </c>
      <c r="B5" s="223" t="s">
        <v>332</v>
      </c>
      <c r="C5" s="223" t="s">
        <v>329</v>
      </c>
      <c r="D5" s="221">
        <v>150</v>
      </c>
      <c r="E5" s="222">
        <v>44662</v>
      </c>
      <c r="F5" s="225"/>
    </row>
    <row r="6" spans="1:6" ht="30" x14ac:dyDescent="0.25">
      <c r="A6" s="219" t="s">
        <v>331</v>
      </c>
      <c r="B6" s="223" t="s">
        <v>332</v>
      </c>
      <c r="C6" s="223" t="s">
        <v>329</v>
      </c>
      <c r="D6" s="221">
        <v>150</v>
      </c>
      <c r="E6" s="222">
        <v>44655</v>
      </c>
      <c r="F6" s="225"/>
    </row>
    <row r="7" spans="1:6" ht="30" x14ac:dyDescent="0.25">
      <c r="A7" s="219" t="s">
        <v>331</v>
      </c>
      <c r="B7" s="223" t="s">
        <v>332</v>
      </c>
      <c r="C7" s="220" t="s">
        <v>119</v>
      </c>
      <c r="D7" s="221">
        <v>150</v>
      </c>
      <c r="E7" s="222">
        <v>44662</v>
      </c>
      <c r="F7" s="225"/>
    </row>
    <row r="8" spans="1:6" ht="30" x14ac:dyDescent="0.25">
      <c r="A8" s="219" t="s">
        <v>331</v>
      </c>
      <c r="B8" s="223" t="s">
        <v>332</v>
      </c>
      <c r="C8" s="220" t="s">
        <v>119</v>
      </c>
      <c r="D8" s="221">
        <v>150</v>
      </c>
      <c r="E8" s="222">
        <v>44655</v>
      </c>
      <c r="F8" s="225"/>
    </row>
    <row r="9" spans="1:6" ht="30" x14ac:dyDescent="0.25">
      <c r="A9" s="219" t="s">
        <v>331</v>
      </c>
      <c r="B9" s="220" t="s">
        <v>333</v>
      </c>
      <c r="C9" s="223" t="s">
        <v>329</v>
      </c>
      <c r="D9" s="221">
        <v>150</v>
      </c>
      <c r="E9" s="222">
        <v>44655</v>
      </c>
      <c r="F9" s="225"/>
    </row>
    <row r="10" spans="1:6" ht="15.75" thickBot="1" x14ac:dyDescent="0.3">
      <c r="A10" s="219" t="s">
        <v>331</v>
      </c>
      <c r="B10" s="220" t="s">
        <v>333</v>
      </c>
      <c r="C10" s="220" t="s">
        <v>119</v>
      </c>
      <c r="D10" s="221">
        <v>150</v>
      </c>
      <c r="E10" s="222">
        <v>44655</v>
      </c>
      <c r="F10" s="226"/>
    </row>
    <row r="11" spans="1:6" ht="15.75" thickBot="1" x14ac:dyDescent="0.3">
      <c r="A11" s="381" t="s">
        <v>438</v>
      </c>
      <c r="B11" s="382"/>
      <c r="C11" s="382"/>
      <c r="D11" s="382"/>
      <c r="E11" s="382"/>
      <c r="F11" s="383"/>
    </row>
    <row r="12" spans="1:6" ht="15" customHeight="1" thickBot="1" x14ac:dyDescent="0.3">
      <c r="A12" s="378" t="s">
        <v>547</v>
      </c>
      <c r="B12" s="379"/>
      <c r="C12" s="379"/>
      <c r="D12" s="379"/>
      <c r="E12" s="379"/>
      <c r="F12" s="380"/>
    </row>
    <row r="13" spans="1:6" ht="15" customHeight="1" x14ac:dyDescent="0.25">
      <c r="A13" s="233"/>
      <c r="B13" s="209"/>
      <c r="C13" s="209"/>
      <c r="D13" s="209"/>
      <c r="E13" s="209"/>
      <c r="F13" s="209"/>
    </row>
    <row r="14" spans="1:6" ht="15.75" thickBot="1" x14ac:dyDescent="0.3">
      <c r="A14" s="227"/>
      <c r="B14" s="227"/>
      <c r="C14" s="227"/>
      <c r="D14" s="228"/>
      <c r="E14" s="229"/>
      <c r="F14" s="227"/>
    </row>
    <row r="15" spans="1:6" ht="15.75" thickBot="1" x14ac:dyDescent="0.3">
      <c r="A15" s="375" t="s">
        <v>555</v>
      </c>
      <c r="B15" s="376"/>
      <c r="C15" s="376"/>
      <c r="D15" s="376"/>
      <c r="E15" s="376"/>
      <c r="F15" s="377"/>
    </row>
    <row r="16" spans="1:6" ht="45" x14ac:dyDescent="0.25">
      <c r="A16" s="214" t="s">
        <v>323</v>
      </c>
      <c r="B16" s="215" t="s">
        <v>324</v>
      </c>
      <c r="C16" s="215" t="s">
        <v>242</v>
      </c>
      <c r="D16" s="216" t="s">
        <v>546</v>
      </c>
      <c r="E16" s="217" t="s">
        <v>325</v>
      </c>
      <c r="F16" s="218" t="s">
        <v>326</v>
      </c>
    </row>
    <row r="17" spans="1:6" x14ac:dyDescent="0.25">
      <c r="A17" s="219" t="s">
        <v>344</v>
      </c>
      <c r="B17" s="220" t="s">
        <v>345</v>
      </c>
      <c r="C17" s="220" t="s">
        <v>125</v>
      </c>
      <c r="D17" s="221">
        <v>1098</v>
      </c>
      <c r="E17" s="222">
        <v>44671</v>
      </c>
      <c r="F17" s="234" t="s">
        <v>451</v>
      </c>
    </row>
    <row r="18" spans="1:6" ht="30" x14ac:dyDescent="0.25">
      <c r="A18" s="219" t="s">
        <v>344</v>
      </c>
      <c r="B18" s="220" t="s">
        <v>345</v>
      </c>
      <c r="C18" s="223" t="s">
        <v>126</v>
      </c>
      <c r="D18" s="221">
        <v>977</v>
      </c>
      <c r="E18" s="222">
        <v>44671</v>
      </c>
      <c r="F18" s="234" t="s">
        <v>452</v>
      </c>
    </row>
    <row r="19" spans="1:6" x14ac:dyDescent="0.25">
      <c r="A19" s="219" t="s">
        <v>344</v>
      </c>
      <c r="B19" s="220" t="s">
        <v>345</v>
      </c>
      <c r="C19" s="220" t="s">
        <v>273</v>
      </c>
      <c r="D19" s="221">
        <v>1098</v>
      </c>
      <c r="E19" s="222">
        <v>44671</v>
      </c>
      <c r="F19" s="234" t="s">
        <v>453</v>
      </c>
    </row>
    <row r="20" spans="1:6" x14ac:dyDescent="0.25">
      <c r="A20" s="219" t="s">
        <v>344</v>
      </c>
      <c r="B20" s="220" t="s">
        <v>345</v>
      </c>
      <c r="C20" s="220" t="s">
        <v>338</v>
      </c>
      <c r="D20" s="221">
        <v>1180</v>
      </c>
      <c r="E20" s="222">
        <v>44671</v>
      </c>
      <c r="F20" s="234" t="s">
        <v>454</v>
      </c>
    </row>
    <row r="21" spans="1:6" x14ac:dyDescent="0.25">
      <c r="A21" s="219" t="s">
        <v>344</v>
      </c>
      <c r="B21" s="220" t="s">
        <v>345</v>
      </c>
      <c r="C21" s="220" t="s">
        <v>446</v>
      </c>
      <c r="D21" s="221">
        <v>1098</v>
      </c>
      <c r="E21" s="222">
        <v>44671</v>
      </c>
      <c r="F21" s="234" t="s">
        <v>455</v>
      </c>
    </row>
    <row r="22" spans="1:6" x14ac:dyDescent="0.25">
      <c r="A22" s="266"/>
      <c r="B22" s="266"/>
      <c r="C22" s="266"/>
      <c r="D22" s="266"/>
      <c r="E22" s="266"/>
      <c r="F22" s="266"/>
    </row>
    <row r="23" spans="1:6" ht="15.75" thickBot="1" x14ac:dyDescent="0.3">
      <c r="A23" s="227"/>
      <c r="B23" s="227"/>
      <c r="C23" s="227"/>
      <c r="D23" s="230"/>
      <c r="E23" s="231"/>
      <c r="F23" s="246"/>
    </row>
    <row r="24" spans="1:6" ht="15.75" thickBot="1" x14ac:dyDescent="0.3">
      <c r="A24" s="375" t="s">
        <v>554</v>
      </c>
      <c r="B24" s="376"/>
      <c r="C24" s="376"/>
      <c r="D24" s="376"/>
      <c r="E24" s="376"/>
      <c r="F24" s="377"/>
    </row>
    <row r="25" spans="1:6" ht="45" x14ac:dyDescent="0.25">
      <c r="A25" s="214" t="s">
        <v>323</v>
      </c>
      <c r="B25" s="215" t="s">
        <v>324</v>
      </c>
      <c r="C25" s="215" t="s">
        <v>242</v>
      </c>
      <c r="D25" s="216" t="s">
        <v>546</v>
      </c>
      <c r="E25" s="217" t="s">
        <v>325</v>
      </c>
      <c r="F25" s="218" t="s">
        <v>326</v>
      </c>
    </row>
    <row r="26" spans="1:6" x14ac:dyDescent="0.25">
      <c r="A26" s="219" t="s">
        <v>344</v>
      </c>
      <c r="B26" s="220" t="s">
        <v>345</v>
      </c>
      <c r="C26" s="220" t="s">
        <v>342</v>
      </c>
      <c r="D26" s="221">
        <v>720</v>
      </c>
      <c r="E26" s="222">
        <v>44656</v>
      </c>
      <c r="F26" s="234" t="s">
        <v>346</v>
      </c>
    </row>
    <row r="27" spans="1:6" ht="30" x14ac:dyDescent="0.25">
      <c r="A27" s="219" t="s">
        <v>334</v>
      </c>
      <c r="B27" s="220" t="s">
        <v>335</v>
      </c>
      <c r="C27" s="223" t="s">
        <v>126</v>
      </c>
      <c r="D27" s="221">
        <v>945</v>
      </c>
      <c r="E27" s="222">
        <v>44656</v>
      </c>
      <c r="F27" s="234" t="s">
        <v>336</v>
      </c>
    </row>
    <row r="28" spans="1:6" ht="30" x14ac:dyDescent="0.25">
      <c r="A28" s="219" t="s">
        <v>334</v>
      </c>
      <c r="B28" s="220" t="s">
        <v>335</v>
      </c>
      <c r="C28" s="223" t="s">
        <v>126</v>
      </c>
      <c r="D28" s="221">
        <v>1142</v>
      </c>
      <c r="E28" s="222">
        <v>44656</v>
      </c>
      <c r="F28" s="234" t="s">
        <v>336</v>
      </c>
    </row>
    <row r="29" spans="1:6" x14ac:dyDescent="0.25">
      <c r="A29" s="219" t="s">
        <v>334</v>
      </c>
      <c r="B29" s="220" t="s">
        <v>335</v>
      </c>
      <c r="C29" s="220" t="s">
        <v>273</v>
      </c>
      <c r="D29" s="221">
        <v>720</v>
      </c>
      <c r="E29" s="222">
        <v>44656</v>
      </c>
      <c r="F29" s="234" t="s">
        <v>337</v>
      </c>
    </row>
    <row r="30" spans="1:6" ht="25.5" x14ac:dyDescent="0.25">
      <c r="A30" s="219" t="s">
        <v>334</v>
      </c>
      <c r="B30" s="220" t="s">
        <v>335</v>
      </c>
      <c r="C30" s="220" t="s">
        <v>338</v>
      </c>
      <c r="D30" s="221">
        <v>1063</v>
      </c>
      <c r="E30" s="222">
        <v>44656</v>
      </c>
      <c r="F30" s="234" t="s">
        <v>339</v>
      </c>
    </row>
    <row r="31" spans="1:6" ht="30" x14ac:dyDescent="0.25">
      <c r="A31" s="219" t="s">
        <v>344</v>
      </c>
      <c r="B31" s="220" t="s">
        <v>442</v>
      </c>
      <c r="C31" s="223" t="s">
        <v>126</v>
      </c>
      <c r="D31" s="221">
        <v>780</v>
      </c>
      <c r="E31" s="222">
        <v>44671</v>
      </c>
      <c r="F31" s="234" t="s">
        <v>456</v>
      </c>
    </row>
    <row r="32" spans="1:6" ht="30" x14ac:dyDescent="0.25">
      <c r="A32" s="219" t="s">
        <v>344</v>
      </c>
      <c r="B32" s="220" t="s">
        <v>442</v>
      </c>
      <c r="C32" s="223" t="s">
        <v>279</v>
      </c>
      <c r="D32" s="221">
        <v>300</v>
      </c>
      <c r="E32" s="222">
        <v>44671</v>
      </c>
      <c r="F32" s="234" t="s">
        <v>457</v>
      </c>
    </row>
    <row r="33" spans="1:6" x14ac:dyDescent="0.25">
      <c r="A33" s="219" t="s">
        <v>344</v>
      </c>
      <c r="B33" s="220" t="s">
        <v>442</v>
      </c>
      <c r="C33" s="220" t="s">
        <v>360</v>
      </c>
      <c r="D33" s="221">
        <v>320</v>
      </c>
      <c r="E33" s="222">
        <v>44671</v>
      </c>
      <c r="F33" s="234" t="s">
        <v>458</v>
      </c>
    </row>
    <row r="34" spans="1:6" x14ac:dyDescent="0.25">
      <c r="A34" s="219" t="s">
        <v>443</v>
      </c>
      <c r="B34" s="220" t="s">
        <v>444</v>
      </c>
      <c r="C34" s="220" t="s">
        <v>125</v>
      </c>
      <c r="D34" s="221">
        <v>522</v>
      </c>
      <c r="E34" s="222">
        <v>44672</v>
      </c>
      <c r="F34" s="234" t="s">
        <v>459</v>
      </c>
    </row>
    <row r="35" spans="1:6" ht="30" x14ac:dyDescent="0.25">
      <c r="A35" s="219" t="s">
        <v>443</v>
      </c>
      <c r="B35" s="220" t="s">
        <v>444</v>
      </c>
      <c r="C35" s="223" t="s">
        <v>126</v>
      </c>
      <c r="D35" s="221">
        <v>615</v>
      </c>
      <c r="E35" s="222">
        <v>44672</v>
      </c>
      <c r="F35" s="234" t="s">
        <v>459</v>
      </c>
    </row>
    <row r="36" spans="1:6" x14ac:dyDescent="0.25">
      <c r="A36" s="219" t="s">
        <v>443</v>
      </c>
      <c r="B36" s="220" t="s">
        <v>444</v>
      </c>
      <c r="C36" s="220" t="s">
        <v>273</v>
      </c>
      <c r="D36" s="221">
        <v>590</v>
      </c>
      <c r="E36" s="222">
        <v>44672</v>
      </c>
      <c r="F36" s="234" t="s">
        <v>459</v>
      </c>
    </row>
    <row r="37" spans="1:6" x14ac:dyDescent="0.25">
      <c r="A37" s="219" t="s">
        <v>443</v>
      </c>
      <c r="B37" s="220" t="s">
        <v>444</v>
      </c>
      <c r="C37" s="220" t="s">
        <v>373</v>
      </c>
      <c r="D37" s="221">
        <v>521</v>
      </c>
      <c r="E37" s="222">
        <v>44672</v>
      </c>
      <c r="F37" s="234" t="s">
        <v>459</v>
      </c>
    </row>
    <row r="38" spans="1:6" x14ac:dyDescent="0.25">
      <c r="A38" s="219" t="s">
        <v>443</v>
      </c>
      <c r="B38" s="220" t="s">
        <v>444</v>
      </c>
      <c r="C38" s="220" t="s">
        <v>447</v>
      </c>
      <c r="D38" s="221">
        <v>660</v>
      </c>
      <c r="E38" s="222">
        <v>44672</v>
      </c>
      <c r="F38" s="234" t="s">
        <v>459</v>
      </c>
    </row>
    <row r="39" spans="1:6" x14ac:dyDescent="0.25">
      <c r="A39" s="219" t="s">
        <v>443</v>
      </c>
      <c r="B39" s="220" t="s">
        <v>444</v>
      </c>
      <c r="C39" s="220" t="s">
        <v>243</v>
      </c>
      <c r="D39" s="221">
        <v>466</v>
      </c>
      <c r="E39" s="222">
        <v>44672</v>
      </c>
      <c r="F39" s="234" t="s">
        <v>459</v>
      </c>
    </row>
    <row r="40" spans="1:6" x14ac:dyDescent="0.25">
      <c r="A40" s="219" t="s">
        <v>443</v>
      </c>
      <c r="B40" s="220" t="s">
        <v>444</v>
      </c>
      <c r="C40" s="220" t="s">
        <v>448</v>
      </c>
      <c r="D40" s="221">
        <v>626</v>
      </c>
      <c r="E40" s="222">
        <v>44672</v>
      </c>
      <c r="F40" s="234" t="s">
        <v>459</v>
      </c>
    </row>
    <row r="41" spans="1:6" x14ac:dyDescent="0.25">
      <c r="A41" s="219" t="s">
        <v>443</v>
      </c>
      <c r="B41" s="220" t="s">
        <v>444</v>
      </c>
      <c r="C41" s="220" t="s">
        <v>368</v>
      </c>
      <c r="D41" s="221">
        <v>446</v>
      </c>
      <c r="E41" s="222">
        <v>44672</v>
      </c>
      <c r="F41" s="234" t="s">
        <v>459</v>
      </c>
    </row>
    <row r="42" spans="1:6" x14ac:dyDescent="0.25">
      <c r="A42" s="219" t="s">
        <v>443</v>
      </c>
      <c r="B42" s="220" t="s">
        <v>444</v>
      </c>
      <c r="C42" s="220" t="s">
        <v>338</v>
      </c>
      <c r="D42" s="221">
        <v>735</v>
      </c>
      <c r="E42" s="222">
        <v>44672</v>
      </c>
      <c r="F42" s="234" t="s">
        <v>459</v>
      </c>
    </row>
    <row r="43" spans="1:6" x14ac:dyDescent="0.25">
      <c r="A43" s="219" t="s">
        <v>443</v>
      </c>
      <c r="B43" s="220" t="s">
        <v>444</v>
      </c>
      <c r="C43" s="220" t="s">
        <v>446</v>
      </c>
      <c r="D43" s="221">
        <v>673</v>
      </c>
      <c r="E43" s="222">
        <v>44672</v>
      </c>
      <c r="F43" s="234" t="s">
        <v>459</v>
      </c>
    </row>
    <row r="44" spans="1:6" x14ac:dyDescent="0.25">
      <c r="A44" s="219" t="s">
        <v>443</v>
      </c>
      <c r="B44" s="220" t="s">
        <v>444</v>
      </c>
      <c r="C44" s="220" t="s">
        <v>449</v>
      </c>
      <c r="D44" s="221">
        <v>516</v>
      </c>
      <c r="E44" s="222">
        <v>44672</v>
      </c>
      <c r="F44" s="234" t="s">
        <v>459</v>
      </c>
    </row>
    <row r="45" spans="1:6" ht="30" x14ac:dyDescent="0.25">
      <c r="A45" s="219" t="s">
        <v>443</v>
      </c>
      <c r="B45" s="220" t="s">
        <v>444</v>
      </c>
      <c r="C45" s="223" t="s">
        <v>355</v>
      </c>
      <c r="D45" s="221">
        <v>637</v>
      </c>
      <c r="E45" s="222">
        <v>44672</v>
      </c>
      <c r="F45" s="234" t="s">
        <v>459</v>
      </c>
    </row>
    <row r="46" spans="1:6" x14ac:dyDescent="0.25">
      <c r="A46" s="219" t="s">
        <v>443</v>
      </c>
      <c r="B46" s="220" t="s">
        <v>444</v>
      </c>
      <c r="C46" s="220" t="s">
        <v>342</v>
      </c>
      <c r="D46" s="221">
        <v>543</v>
      </c>
      <c r="E46" s="222">
        <v>44672</v>
      </c>
      <c r="F46" s="234" t="s">
        <v>459</v>
      </c>
    </row>
    <row r="47" spans="1:6" x14ac:dyDescent="0.25">
      <c r="A47" s="248"/>
      <c r="B47" s="248"/>
      <c r="C47" s="248"/>
      <c r="D47" s="249"/>
      <c r="E47" s="250"/>
      <c r="F47" s="251"/>
    </row>
    <row r="48" spans="1:6" ht="15.75" thickBot="1" x14ac:dyDescent="0.3">
      <c r="A48" s="247"/>
      <c r="B48" s="247"/>
      <c r="C48" s="247"/>
      <c r="D48" s="247"/>
      <c r="E48" s="247"/>
      <c r="F48" s="247"/>
    </row>
    <row r="49" spans="1:6" ht="15.75" thickBot="1" x14ac:dyDescent="0.3">
      <c r="A49" s="375" t="s">
        <v>554</v>
      </c>
      <c r="B49" s="376"/>
      <c r="C49" s="376"/>
      <c r="D49" s="376"/>
      <c r="E49" s="376"/>
      <c r="F49" s="377"/>
    </row>
    <row r="50" spans="1:6" ht="45" x14ac:dyDescent="0.25">
      <c r="A50" s="214" t="s">
        <v>323</v>
      </c>
      <c r="B50" s="215" t="s">
        <v>324</v>
      </c>
      <c r="C50" s="215" t="s">
        <v>242</v>
      </c>
      <c r="D50" s="216" t="s">
        <v>546</v>
      </c>
      <c r="E50" s="217" t="s">
        <v>325</v>
      </c>
      <c r="F50" s="218" t="s">
        <v>326</v>
      </c>
    </row>
    <row r="51" spans="1:6" x14ac:dyDescent="0.25">
      <c r="A51" s="219" t="s">
        <v>443</v>
      </c>
      <c r="B51" s="220" t="s">
        <v>444</v>
      </c>
      <c r="C51" s="220" t="s">
        <v>360</v>
      </c>
      <c r="D51" s="221">
        <v>220</v>
      </c>
      <c r="E51" s="222">
        <v>44672</v>
      </c>
      <c r="F51" s="234" t="s">
        <v>459</v>
      </c>
    </row>
    <row r="52" spans="1:6" x14ac:dyDescent="0.25">
      <c r="A52" s="219" t="s">
        <v>443</v>
      </c>
      <c r="B52" s="220" t="s">
        <v>444</v>
      </c>
      <c r="C52" s="220" t="s">
        <v>450</v>
      </c>
      <c r="D52" s="221">
        <v>577</v>
      </c>
      <c r="E52" s="222">
        <v>44672</v>
      </c>
      <c r="F52" s="234" t="s">
        <v>459</v>
      </c>
    </row>
    <row r="53" spans="1:6" ht="30" x14ac:dyDescent="0.25">
      <c r="A53" s="219" t="s">
        <v>344</v>
      </c>
      <c r="B53" s="220" t="s">
        <v>445</v>
      </c>
      <c r="C53" s="223" t="s">
        <v>126</v>
      </c>
      <c r="D53" s="221">
        <v>920</v>
      </c>
      <c r="E53" s="222">
        <v>44671</v>
      </c>
      <c r="F53" s="234" t="s">
        <v>460</v>
      </c>
    </row>
    <row r="54" spans="1:6" x14ac:dyDescent="0.25">
      <c r="A54" s="219" t="s">
        <v>344</v>
      </c>
      <c r="B54" s="220" t="s">
        <v>445</v>
      </c>
      <c r="C54" s="220" t="s">
        <v>373</v>
      </c>
      <c r="D54" s="221">
        <v>800</v>
      </c>
      <c r="E54" s="222">
        <v>44671</v>
      </c>
      <c r="F54" s="234" t="s">
        <v>461</v>
      </c>
    </row>
    <row r="55" spans="1:6" x14ac:dyDescent="0.25">
      <c r="A55" s="219" t="s">
        <v>340</v>
      </c>
      <c r="B55" s="220" t="s">
        <v>341</v>
      </c>
      <c r="C55" s="220" t="s">
        <v>342</v>
      </c>
      <c r="D55" s="221">
        <v>814</v>
      </c>
      <c r="E55" s="222">
        <v>44671</v>
      </c>
      <c r="F55" s="234" t="s">
        <v>462</v>
      </c>
    </row>
    <row r="56" spans="1:6" ht="15.75" thickBot="1" x14ac:dyDescent="0.3">
      <c r="A56" s="219" t="s">
        <v>340</v>
      </c>
      <c r="B56" s="220" t="s">
        <v>341</v>
      </c>
      <c r="C56" s="220" t="s">
        <v>342</v>
      </c>
      <c r="D56" s="221">
        <v>790</v>
      </c>
      <c r="E56" s="222">
        <v>44656</v>
      </c>
      <c r="F56" s="234" t="s">
        <v>343</v>
      </c>
    </row>
    <row r="57" spans="1:6" ht="15.75" thickBot="1" x14ac:dyDescent="0.3">
      <c r="A57" s="381" t="s">
        <v>438</v>
      </c>
      <c r="B57" s="382"/>
      <c r="C57" s="382"/>
      <c r="D57" s="382"/>
      <c r="E57" s="382"/>
      <c r="F57" s="383"/>
    </row>
    <row r="58" spans="1:6" ht="15.75" thickBot="1" x14ac:dyDescent="0.3">
      <c r="A58" s="378" t="s">
        <v>547</v>
      </c>
      <c r="B58" s="379"/>
      <c r="C58" s="379"/>
      <c r="D58" s="379"/>
      <c r="E58" s="379"/>
      <c r="F58" s="380"/>
    </row>
    <row r="60" spans="1:6" ht="15.75" thickBot="1" x14ac:dyDescent="0.3">
      <c r="A60" s="242"/>
      <c r="B60" s="242"/>
      <c r="C60" s="242"/>
      <c r="D60" s="242"/>
      <c r="E60" s="242"/>
      <c r="F60" s="242"/>
    </row>
    <row r="61" spans="1:6" ht="15.75" thickBot="1" x14ac:dyDescent="0.3">
      <c r="A61" s="375" t="s">
        <v>556</v>
      </c>
      <c r="B61" s="376"/>
      <c r="C61" s="376"/>
      <c r="D61" s="376"/>
      <c r="E61" s="376"/>
      <c r="F61" s="377"/>
    </row>
    <row r="62" spans="1:6" ht="45" x14ac:dyDescent="0.25">
      <c r="A62" s="214" t="s">
        <v>323</v>
      </c>
      <c r="B62" s="215" t="s">
        <v>324</v>
      </c>
      <c r="C62" s="215" t="s">
        <v>242</v>
      </c>
      <c r="D62" s="216" t="s">
        <v>546</v>
      </c>
      <c r="E62" s="217" t="s">
        <v>325</v>
      </c>
      <c r="F62" s="218" t="s">
        <v>326</v>
      </c>
    </row>
    <row r="63" spans="1:6" ht="30" x14ac:dyDescent="0.25">
      <c r="A63" s="268" t="s">
        <v>347</v>
      </c>
      <c r="B63" s="223" t="s">
        <v>348</v>
      </c>
      <c r="C63" s="223" t="s">
        <v>126</v>
      </c>
      <c r="D63" s="221">
        <v>190</v>
      </c>
      <c r="E63" s="222">
        <v>44664</v>
      </c>
      <c r="F63" s="234" t="s">
        <v>349</v>
      </c>
    </row>
    <row r="64" spans="1:6" ht="30" x14ac:dyDescent="0.25">
      <c r="A64" s="268" t="s">
        <v>347</v>
      </c>
      <c r="B64" s="223" t="s">
        <v>348</v>
      </c>
      <c r="C64" s="220" t="s">
        <v>273</v>
      </c>
      <c r="D64" s="221">
        <v>270</v>
      </c>
      <c r="E64" s="222">
        <v>44664</v>
      </c>
      <c r="F64" s="234" t="s">
        <v>352</v>
      </c>
    </row>
    <row r="65" spans="1:6" ht="30" x14ac:dyDescent="0.25">
      <c r="A65" s="268" t="s">
        <v>347</v>
      </c>
      <c r="B65" s="223" t="s">
        <v>348</v>
      </c>
      <c r="C65" s="223" t="s">
        <v>353</v>
      </c>
      <c r="D65" s="221">
        <v>140</v>
      </c>
      <c r="E65" s="222">
        <v>44664</v>
      </c>
      <c r="F65" s="234" t="s">
        <v>354</v>
      </c>
    </row>
    <row r="66" spans="1:6" ht="30" x14ac:dyDescent="0.25">
      <c r="A66" s="268" t="s">
        <v>347</v>
      </c>
      <c r="B66" s="223" t="s">
        <v>348</v>
      </c>
      <c r="C66" s="223" t="s">
        <v>355</v>
      </c>
      <c r="D66" s="221">
        <v>350</v>
      </c>
      <c r="E66" s="222">
        <v>44664</v>
      </c>
      <c r="F66" s="234" t="s">
        <v>356</v>
      </c>
    </row>
    <row r="67" spans="1:6" ht="30" x14ac:dyDescent="0.25">
      <c r="A67" s="268" t="s">
        <v>347</v>
      </c>
      <c r="B67" s="223" t="s">
        <v>348</v>
      </c>
      <c r="C67" s="220" t="s">
        <v>360</v>
      </c>
      <c r="D67" s="221">
        <v>200</v>
      </c>
      <c r="E67" s="222">
        <v>44664</v>
      </c>
      <c r="F67" s="234" t="s">
        <v>349</v>
      </c>
    </row>
    <row r="68" spans="1:6" ht="30" x14ac:dyDescent="0.25">
      <c r="A68" s="268" t="s">
        <v>347</v>
      </c>
      <c r="B68" s="223" t="s">
        <v>350</v>
      </c>
      <c r="C68" s="223" t="s">
        <v>126</v>
      </c>
      <c r="D68" s="221">
        <v>260</v>
      </c>
      <c r="E68" s="222">
        <v>44664</v>
      </c>
      <c r="F68" s="234" t="s">
        <v>351</v>
      </c>
    </row>
    <row r="69" spans="1:6" x14ac:dyDescent="0.25">
      <c r="A69" s="260"/>
      <c r="B69" s="260"/>
      <c r="C69" s="260"/>
      <c r="D69" s="249"/>
      <c r="E69" s="250"/>
      <c r="F69" s="251"/>
    </row>
    <row r="70" spans="1:6" x14ac:dyDescent="0.25">
      <c r="A70" s="232"/>
      <c r="B70" s="232"/>
      <c r="C70" s="232"/>
      <c r="D70" s="230"/>
      <c r="E70" s="231"/>
      <c r="F70" s="246"/>
    </row>
    <row r="71" spans="1:6" ht="15.75" thickBot="1" x14ac:dyDescent="0.3">
      <c r="A71" s="232"/>
      <c r="B71" s="232"/>
      <c r="C71" s="232"/>
      <c r="D71" s="230"/>
      <c r="E71" s="231"/>
      <c r="F71" s="246"/>
    </row>
    <row r="72" spans="1:6" ht="15.75" thickBot="1" x14ac:dyDescent="0.3">
      <c r="A72" s="375" t="s">
        <v>572</v>
      </c>
      <c r="B72" s="376"/>
      <c r="C72" s="376"/>
      <c r="D72" s="376"/>
      <c r="E72" s="376"/>
      <c r="F72" s="377"/>
    </row>
    <row r="73" spans="1:6" ht="45" x14ac:dyDescent="0.25">
      <c r="A73" s="214" t="s">
        <v>323</v>
      </c>
      <c r="B73" s="215" t="s">
        <v>324</v>
      </c>
      <c r="C73" s="215" t="s">
        <v>242</v>
      </c>
      <c r="D73" s="216" t="s">
        <v>546</v>
      </c>
      <c r="E73" s="217" t="s">
        <v>325</v>
      </c>
      <c r="F73" s="218" t="s">
        <v>326</v>
      </c>
    </row>
    <row r="74" spans="1:6" ht="30" x14ac:dyDescent="0.25">
      <c r="A74" s="268" t="s">
        <v>347</v>
      </c>
      <c r="B74" s="223" t="s">
        <v>350</v>
      </c>
      <c r="C74" s="223" t="s">
        <v>355</v>
      </c>
      <c r="D74" s="221">
        <v>360</v>
      </c>
      <c r="E74" s="222">
        <v>44664</v>
      </c>
      <c r="F74" s="234" t="s">
        <v>357</v>
      </c>
    </row>
    <row r="75" spans="1:6" ht="30" x14ac:dyDescent="0.25">
      <c r="A75" s="268" t="s">
        <v>347</v>
      </c>
      <c r="B75" s="223" t="s">
        <v>350</v>
      </c>
      <c r="C75" s="220" t="s">
        <v>360</v>
      </c>
      <c r="D75" s="221">
        <v>220</v>
      </c>
      <c r="E75" s="222">
        <v>44664</v>
      </c>
      <c r="F75" s="234" t="s">
        <v>357</v>
      </c>
    </row>
    <row r="76" spans="1:6" ht="30.75" thickBot="1" x14ac:dyDescent="0.3">
      <c r="A76" s="268" t="s">
        <v>347</v>
      </c>
      <c r="B76" s="223" t="s">
        <v>358</v>
      </c>
      <c r="C76" s="223" t="s">
        <v>355</v>
      </c>
      <c r="D76" s="221">
        <v>563</v>
      </c>
      <c r="E76" s="222">
        <v>44664</v>
      </c>
      <c r="F76" s="234" t="s">
        <v>359</v>
      </c>
    </row>
    <row r="77" spans="1:6" ht="15.75" thickBot="1" x14ac:dyDescent="0.3">
      <c r="A77" s="381" t="s">
        <v>438</v>
      </c>
      <c r="B77" s="382"/>
      <c r="C77" s="382"/>
      <c r="D77" s="382"/>
      <c r="E77" s="382"/>
      <c r="F77" s="383"/>
    </row>
    <row r="78" spans="1:6" ht="15.75" thickBot="1" x14ac:dyDescent="0.3">
      <c r="A78" s="378" t="s">
        <v>547</v>
      </c>
      <c r="B78" s="379"/>
      <c r="C78" s="379"/>
      <c r="D78" s="379"/>
      <c r="E78" s="379"/>
      <c r="F78" s="380"/>
    </row>
    <row r="79" spans="1:6" x14ac:dyDescent="0.25">
      <c r="A79" s="261"/>
      <c r="B79" s="261"/>
      <c r="C79" s="261"/>
      <c r="D79" s="262"/>
      <c r="E79" s="263"/>
      <c r="F79" s="261"/>
    </row>
    <row r="80" spans="1:6" ht="15.75" thickBot="1" x14ac:dyDescent="0.3">
      <c r="A80" s="233"/>
      <c r="B80" s="209"/>
      <c r="C80" s="209"/>
      <c r="D80" s="209"/>
      <c r="E80" s="209"/>
      <c r="F80" s="209"/>
    </row>
    <row r="81" spans="1:6" ht="15.75" thickBot="1" x14ac:dyDescent="0.3">
      <c r="A81" s="375" t="s">
        <v>557</v>
      </c>
      <c r="B81" s="376"/>
      <c r="C81" s="376"/>
      <c r="D81" s="376"/>
      <c r="E81" s="376"/>
      <c r="F81" s="377"/>
    </row>
    <row r="82" spans="1:6" ht="45" x14ac:dyDescent="0.25">
      <c r="A82" s="214" t="s">
        <v>323</v>
      </c>
      <c r="B82" s="215" t="s">
        <v>324</v>
      </c>
      <c r="C82" s="215" t="s">
        <v>242</v>
      </c>
      <c r="D82" s="216" t="s">
        <v>546</v>
      </c>
      <c r="E82" s="217" t="s">
        <v>325</v>
      </c>
      <c r="F82" s="218" t="s">
        <v>326</v>
      </c>
    </row>
    <row r="83" spans="1:6" ht="45" x14ac:dyDescent="0.25">
      <c r="A83" s="219" t="s">
        <v>369</v>
      </c>
      <c r="B83" s="223" t="s">
        <v>370</v>
      </c>
      <c r="C83" s="220" t="s">
        <v>371</v>
      </c>
      <c r="D83" s="221">
        <v>140</v>
      </c>
      <c r="E83" s="222">
        <v>44658</v>
      </c>
      <c r="F83" s="234" t="s">
        <v>372</v>
      </c>
    </row>
    <row r="84" spans="1:6" ht="45" x14ac:dyDescent="0.25">
      <c r="A84" s="219" t="s">
        <v>369</v>
      </c>
      <c r="B84" s="223" t="s">
        <v>370</v>
      </c>
      <c r="C84" s="223" t="s">
        <v>126</v>
      </c>
      <c r="D84" s="221">
        <v>200</v>
      </c>
      <c r="E84" s="222">
        <v>44658</v>
      </c>
      <c r="F84" s="234" t="s">
        <v>374</v>
      </c>
    </row>
    <row r="85" spans="1:6" ht="45" x14ac:dyDescent="0.25">
      <c r="A85" s="219" t="s">
        <v>369</v>
      </c>
      <c r="B85" s="223" t="s">
        <v>370</v>
      </c>
      <c r="C85" s="220" t="s">
        <v>373</v>
      </c>
      <c r="D85" s="221">
        <v>300</v>
      </c>
      <c r="E85" s="222">
        <v>44658</v>
      </c>
      <c r="F85" s="234" t="s">
        <v>374</v>
      </c>
    </row>
    <row r="86" spans="1:6" ht="45" x14ac:dyDescent="0.25">
      <c r="A86" s="219" t="s">
        <v>369</v>
      </c>
      <c r="B86" s="223" t="s">
        <v>370</v>
      </c>
      <c r="C86" s="223" t="s">
        <v>279</v>
      </c>
      <c r="D86" s="221">
        <v>140</v>
      </c>
      <c r="E86" s="222">
        <v>44658</v>
      </c>
      <c r="F86" s="234" t="s">
        <v>372</v>
      </c>
    </row>
    <row r="87" spans="1:6" x14ac:dyDescent="0.25">
      <c r="A87" s="248"/>
      <c r="B87" s="260"/>
      <c r="C87" s="260"/>
      <c r="D87" s="249"/>
      <c r="E87" s="250"/>
      <c r="F87" s="251"/>
    </row>
    <row r="88" spans="1:6" x14ac:dyDescent="0.25">
      <c r="A88" s="227"/>
      <c r="B88" s="232"/>
      <c r="C88" s="232"/>
      <c r="D88" s="230"/>
      <c r="E88" s="231"/>
      <c r="F88" s="246"/>
    </row>
    <row r="89" spans="1:6" x14ac:dyDescent="0.25">
      <c r="A89" s="227"/>
      <c r="B89" s="232"/>
      <c r="C89" s="232"/>
      <c r="D89" s="230"/>
      <c r="E89" s="231"/>
      <c r="F89" s="246"/>
    </row>
    <row r="90" spans="1:6" ht="15.75" thickBot="1" x14ac:dyDescent="0.3">
      <c r="A90" s="227"/>
      <c r="B90" s="232"/>
      <c r="C90" s="232"/>
      <c r="D90" s="230"/>
      <c r="E90" s="231"/>
      <c r="F90" s="246"/>
    </row>
    <row r="91" spans="1:6" ht="15.75" thickBot="1" x14ac:dyDescent="0.3">
      <c r="A91" s="375" t="s">
        <v>558</v>
      </c>
      <c r="B91" s="376"/>
      <c r="C91" s="376"/>
      <c r="D91" s="376"/>
      <c r="E91" s="376"/>
      <c r="F91" s="377"/>
    </row>
    <row r="92" spans="1:6" ht="45" x14ac:dyDescent="0.25">
      <c r="A92" s="214" t="s">
        <v>323</v>
      </c>
      <c r="B92" s="215" t="s">
        <v>324</v>
      </c>
      <c r="C92" s="215" t="s">
        <v>242</v>
      </c>
      <c r="D92" s="216" t="s">
        <v>546</v>
      </c>
      <c r="E92" s="217" t="s">
        <v>325</v>
      </c>
      <c r="F92" s="218" t="s">
        <v>326</v>
      </c>
    </row>
    <row r="93" spans="1:6" ht="45" x14ac:dyDescent="0.25">
      <c r="A93" s="219" t="s">
        <v>369</v>
      </c>
      <c r="B93" s="223" t="s">
        <v>370</v>
      </c>
      <c r="C93" s="223" t="s">
        <v>353</v>
      </c>
      <c r="D93" s="221">
        <v>140</v>
      </c>
      <c r="E93" s="222">
        <v>44658</v>
      </c>
      <c r="F93" s="234" t="s">
        <v>372</v>
      </c>
    </row>
    <row r="94" spans="1:6" ht="45" x14ac:dyDescent="0.25">
      <c r="A94" s="219" t="s">
        <v>369</v>
      </c>
      <c r="B94" s="223" t="s">
        <v>370</v>
      </c>
      <c r="C94" s="223" t="s">
        <v>355</v>
      </c>
      <c r="D94" s="221">
        <v>300</v>
      </c>
      <c r="E94" s="222">
        <v>44658</v>
      </c>
      <c r="F94" s="234" t="s">
        <v>375</v>
      </c>
    </row>
    <row r="95" spans="1:6" ht="45" x14ac:dyDescent="0.25">
      <c r="A95" s="219" t="s">
        <v>369</v>
      </c>
      <c r="B95" s="223" t="s">
        <v>370</v>
      </c>
      <c r="C95" s="220" t="s">
        <v>376</v>
      </c>
      <c r="D95" s="221">
        <v>140</v>
      </c>
      <c r="E95" s="222">
        <v>44658</v>
      </c>
      <c r="F95" s="234" t="s">
        <v>377</v>
      </c>
    </row>
    <row r="96" spans="1:6" ht="45" x14ac:dyDescent="0.25">
      <c r="A96" s="219" t="s">
        <v>369</v>
      </c>
      <c r="B96" s="223" t="s">
        <v>370</v>
      </c>
      <c r="C96" s="220" t="s">
        <v>364</v>
      </c>
      <c r="D96" s="221">
        <v>140</v>
      </c>
      <c r="E96" s="222">
        <v>44658</v>
      </c>
      <c r="F96" s="234" t="s">
        <v>374</v>
      </c>
    </row>
    <row r="97" spans="1:6" ht="30" x14ac:dyDescent="0.25">
      <c r="A97" s="219" t="s">
        <v>369</v>
      </c>
      <c r="B97" s="223" t="s">
        <v>400</v>
      </c>
      <c r="C97" s="223" t="s">
        <v>353</v>
      </c>
      <c r="D97" s="221">
        <v>130</v>
      </c>
      <c r="E97" s="222">
        <v>44658</v>
      </c>
      <c r="F97" s="234" t="s">
        <v>401</v>
      </c>
    </row>
    <row r="98" spans="1:6" ht="30" x14ac:dyDescent="0.25">
      <c r="A98" s="219" t="s">
        <v>378</v>
      </c>
      <c r="B98" s="223" t="s">
        <v>379</v>
      </c>
      <c r="C98" s="223" t="s">
        <v>126</v>
      </c>
      <c r="D98" s="221">
        <v>200</v>
      </c>
      <c r="E98" s="222">
        <v>44657</v>
      </c>
      <c r="F98" s="234" t="s">
        <v>380</v>
      </c>
    </row>
    <row r="99" spans="1:6" ht="30" x14ac:dyDescent="0.25">
      <c r="A99" s="219" t="s">
        <v>378</v>
      </c>
      <c r="B99" s="223" t="s">
        <v>379</v>
      </c>
      <c r="C99" s="223" t="s">
        <v>353</v>
      </c>
      <c r="D99" s="221">
        <v>180</v>
      </c>
      <c r="E99" s="222">
        <v>44657</v>
      </c>
      <c r="F99" s="234" t="s">
        <v>381</v>
      </c>
    </row>
    <row r="100" spans="1:6" ht="25.5" x14ac:dyDescent="0.25">
      <c r="A100" s="219" t="s">
        <v>378</v>
      </c>
      <c r="B100" s="223" t="s">
        <v>391</v>
      </c>
      <c r="C100" s="220" t="s">
        <v>373</v>
      </c>
      <c r="D100" s="221">
        <v>180</v>
      </c>
      <c r="E100" s="222">
        <v>44657</v>
      </c>
      <c r="F100" s="234" t="s">
        <v>392</v>
      </c>
    </row>
    <row r="101" spans="1:6" ht="30" x14ac:dyDescent="0.25">
      <c r="A101" s="219" t="s">
        <v>378</v>
      </c>
      <c r="B101" s="223" t="s">
        <v>391</v>
      </c>
      <c r="C101" s="223" t="s">
        <v>355</v>
      </c>
      <c r="D101" s="221">
        <v>180</v>
      </c>
      <c r="E101" s="222">
        <v>44657</v>
      </c>
      <c r="F101" s="234" t="s">
        <v>393</v>
      </c>
    </row>
    <row r="102" spans="1:6" ht="30" x14ac:dyDescent="0.25">
      <c r="A102" s="219" t="s">
        <v>394</v>
      </c>
      <c r="B102" s="223" t="s">
        <v>395</v>
      </c>
      <c r="C102" s="223" t="s">
        <v>126</v>
      </c>
      <c r="D102" s="221">
        <v>200</v>
      </c>
      <c r="E102" s="222">
        <v>44672</v>
      </c>
      <c r="F102" s="234" t="s">
        <v>477</v>
      </c>
    </row>
    <row r="103" spans="1:6" x14ac:dyDescent="0.25">
      <c r="A103" s="219" t="s">
        <v>394</v>
      </c>
      <c r="B103" s="223" t="s">
        <v>395</v>
      </c>
      <c r="C103" s="220" t="s">
        <v>368</v>
      </c>
      <c r="D103" s="221">
        <v>200</v>
      </c>
      <c r="E103" s="222">
        <v>44672</v>
      </c>
      <c r="F103" s="234" t="s">
        <v>478</v>
      </c>
    </row>
    <row r="104" spans="1:6" ht="30" x14ac:dyDescent="0.25">
      <c r="A104" s="219" t="s">
        <v>394</v>
      </c>
      <c r="B104" s="223" t="s">
        <v>395</v>
      </c>
      <c r="C104" s="223" t="s">
        <v>279</v>
      </c>
      <c r="D104" s="221">
        <v>180</v>
      </c>
      <c r="E104" s="222">
        <v>44672</v>
      </c>
      <c r="F104" s="234" t="s">
        <v>479</v>
      </c>
    </row>
    <row r="105" spans="1:6" x14ac:dyDescent="0.25">
      <c r="A105" s="248"/>
      <c r="B105" s="260"/>
      <c r="C105" s="260"/>
      <c r="D105" s="249"/>
      <c r="E105" s="250"/>
      <c r="F105" s="251"/>
    </row>
    <row r="106" spans="1:6" x14ac:dyDescent="0.25">
      <c r="A106" s="227"/>
      <c r="B106" s="232"/>
      <c r="C106" s="232"/>
      <c r="D106" s="230"/>
      <c r="E106" s="231"/>
      <c r="F106" s="246"/>
    </row>
    <row r="107" spans="1:6" ht="15.75" thickBot="1" x14ac:dyDescent="0.3">
      <c r="A107" s="227"/>
      <c r="B107" s="232"/>
      <c r="C107" s="232"/>
      <c r="D107" s="230"/>
      <c r="E107" s="231"/>
      <c r="F107" s="246"/>
    </row>
    <row r="108" spans="1:6" ht="15.75" thickBot="1" x14ac:dyDescent="0.3">
      <c r="A108" s="375" t="s">
        <v>558</v>
      </c>
      <c r="B108" s="376"/>
      <c r="C108" s="376"/>
      <c r="D108" s="376"/>
      <c r="E108" s="376"/>
      <c r="F108" s="377"/>
    </row>
    <row r="109" spans="1:6" ht="45" x14ac:dyDescent="0.25">
      <c r="A109" s="214" t="s">
        <v>323</v>
      </c>
      <c r="B109" s="215" t="s">
        <v>324</v>
      </c>
      <c r="C109" s="215" t="s">
        <v>242</v>
      </c>
      <c r="D109" s="216" t="s">
        <v>546</v>
      </c>
      <c r="E109" s="217" t="s">
        <v>325</v>
      </c>
      <c r="F109" s="218" t="s">
        <v>326</v>
      </c>
    </row>
    <row r="110" spans="1:6" ht="30" x14ac:dyDescent="0.25">
      <c r="A110" s="219" t="s">
        <v>394</v>
      </c>
      <c r="B110" s="223" t="s">
        <v>395</v>
      </c>
      <c r="C110" s="223" t="s">
        <v>353</v>
      </c>
      <c r="D110" s="221">
        <v>120</v>
      </c>
      <c r="E110" s="222">
        <v>44672</v>
      </c>
      <c r="F110" s="234" t="s">
        <v>477</v>
      </c>
    </row>
    <row r="111" spans="1:6" ht="25.5" x14ac:dyDescent="0.25">
      <c r="A111" s="219" t="s">
        <v>394</v>
      </c>
      <c r="B111" s="223" t="s">
        <v>395</v>
      </c>
      <c r="C111" s="220" t="s">
        <v>360</v>
      </c>
      <c r="D111" s="221">
        <v>180</v>
      </c>
      <c r="E111" s="222">
        <v>44672</v>
      </c>
      <c r="F111" s="234" t="s">
        <v>480</v>
      </c>
    </row>
    <row r="112" spans="1:6" ht="25.5" x14ac:dyDescent="0.25">
      <c r="A112" s="219" t="s">
        <v>394</v>
      </c>
      <c r="B112" s="223" t="s">
        <v>395</v>
      </c>
      <c r="C112" s="220" t="s">
        <v>364</v>
      </c>
      <c r="D112" s="221">
        <v>180</v>
      </c>
      <c r="E112" s="222">
        <v>44672</v>
      </c>
      <c r="F112" s="234" t="s">
        <v>481</v>
      </c>
    </row>
    <row r="113" spans="1:6" ht="30" x14ac:dyDescent="0.25">
      <c r="A113" s="219" t="s">
        <v>463</v>
      </c>
      <c r="B113" s="223" t="s">
        <v>464</v>
      </c>
      <c r="C113" s="223" t="s">
        <v>126</v>
      </c>
      <c r="D113" s="221">
        <v>200</v>
      </c>
      <c r="E113" s="222">
        <v>44671</v>
      </c>
      <c r="F113" s="234" t="s">
        <v>482</v>
      </c>
    </row>
    <row r="114" spans="1:6" ht="25.5" x14ac:dyDescent="0.25">
      <c r="A114" s="219" t="s">
        <v>463</v>
      </c>
      <c r="B114" s="223" t="s">
        <v>464</v>
      </c>
      <c r="C114" s="220" t="s">
        <v>273</v>
      </c>
      <c r="D114" s="221">
        <v>240</v>
      </c>
      <c r="E114" s="222">
        <v>44671</v>
      </c>
      <c r="F114" s="234" t="s">
        <v>483</v>
      </c>
    </row>
    <row r="115" spans="1:6" ht="25.5" x14ac:dyDescent="0.25">
      <c r="A115" s="219" t="s">
        <v>463</v>
      </c>
      <c r="B115" s="223" t="s">
        <v>464</v>
      </c>
      <c r="C115" s="220" t="s">
        <v>243</v>
      </c>
      <c r="D115" s="221">
        <v>210</v>
      </c>
      <c r="E115" s="222">
        <v>44671</v>
      </c>
      <c r="F115" s="234" t="s">
        <v>484</v>
      </c>
    </row>
    <row r="116" spans="1:6" ht="25.5" x14ac:dyDescent="0.25">
      <c r="A116" s="219" t="s">
        <v>463</v>
      </c>
      <c r="B116" s="223" t="s">
        <v>464</v>
      </c>
      <c r="C116" s="220" t="s">
        <v>368</v>
      </c>
      <c r="D116" s="221">
        <v>220</v>
      </c>
      <c r="E116" s="222">
        <v>44671</v>
      </c>
      <c r="F116" s="234" t="s">
        <v>482</v>
      </c>
    </row>
    <row r="117" spans="1:6" ht="30" x14ac:dyDescent="0.25">
      <c r="A117" s="219" t="s">
        <v>463</v>
      </c>
      <c r="B117" s="223" t="s">
        <v>464</v>
      </c>
      <c r="C117" s="223" t="s">
        <v>353</v>
      </c>
      <c r="D117" s="221">
        <v>140</v>
      </c>
      <c r="E117" s="222">
        <v>44671</v>
      </c>
      <c r="F117" s="234" t="s">
        <v>485</v>
      </c>
    </row>
    <row r="118" spans="1:6" ht="30" x14ac:dyDescent="0.25">
      <c r="A118" s="219" t="s">
        <v>463</v>
      </c>
      <c r="B118" s="223" t="s">
        <v>464</v>
      </c>
      <c r="C118" s="223" t="s">
        <v>355</v>
      </c>
      <c r="D118" s="221">
        <v>330</v>
      </c>
      <c r="E118" s="222">
        <v>44671</v>
      </c>
      <c r="F118" s="234" t="s">
        <v>482</v>
      </c>
    </row>
    <row r="119" spans="1:6" ht="25.5" x14ac:dyDescent="0.25">
      <c r="A119" s="219" t="s">
        <v>463</v>
      </c>
      <c r="B119" s="223" t="s">
        <v>464</v>
      </c>
      <c r="C119" s="220" t="s">
        <v>376</v>
      </c>
      <c r="D119" s="221">
        <v>300</v>
      </c>
      <c r="E119" s="222">
        <v>44671</v>
      </c>
      <c r="F119" s="234" t="s">
        <v>486</v>
      </c>
    </row>
    <row r="120" spans="1:6" ht="25.5" x14ac:dyDescent="0.25">
      <c r="A120" s="219" t="s">
        <v>463</v>
      </c>
      <c r="B120" s="223" t="s">
        <v>464</v>
      </c>
      <c r="C120" s="220" t="s">
        <v>342</v>
      </c>
      <c r="D120" s="221">
        <v>180</v>
      </c>
      <c r="E120" s="222">
        <v>44671</v>
      </c>
      <c r="F120" s="234" t="s">
        <v>484</v>
      </c>
    </row>
    <row r="121" spans="1:6" x14ac:dyDescent="0.25">
      <c r="A121" s="219" t="s">
        <v>463</v>
      </c>
      <c r="B121" s="223" t="s">
        <v>464</v>
      </c>
      <c r="C121" s="220" t="s">
        <v>360</v>
      </c>
      <c r="D121" s="221">
        <v>200</v>
      </c>
      <c r="E121" s="222">
        <v>44671</v>
      </c>
      <c r="F121" s="234" t="s">
        <v>487</v>
      </c>
    </row>
    <row r="122" spans="1:6" ht="30" x14ac:dyDescent="0.25">
      <c r="A122" s="219" t="s">
        <v>463</v>
      </c>
      <c r="B122" s="223" t="s">
        <v>465</v>
      </c>
      <c r="C122" s="223" t="s">
        <v>126</v>
      </c>
      <c r="D122" s="221">
        <v>250</v>
      </c>
      <c r="E122" s="222">
        <v>44671</v>
      </c>
      <c r="F122" s="234" t="s">
        <v>488</v>
      </c>
    </row>
    <row r="123" spans="1:6" ht="30" x14ac:dyDescent="0.25">
      <c r="A123" s="219" t="s">
        <v>463</v>
      </c>
      <c r="B123" s="223" t="s">
        <v>465</v>
      </c>
      <c r="C123" s="223" t="s">
        <v>476</v>
      </c>
      <c r="D123" s="221">
        <v>250</v>
      </c>
      <c r="E123" s="222">
        <v>44671</v>
      </c>
      <c r="F123" s="234" t="s">
        <v>489</v>
      </c>
    </row>
    <row r="124" spans="1:6" ht="25.5" x14ac:dyDescent="0.25">
      <c r="A124" s="219" t="s">
        <v>463</v>
      </c>
      <c r="B124" s="223" t="s">
        <v>465</v>
      </c>
      <c r="C124" s="220" t="s">
        <v>273</v>
      </c>
      <c r="D124" s="221">
        <v>250</v>
      </c>
      <c r="E124" s="222">
        <v>44671</v>
      </c>
      <c r="F124" s="234" t="s">
        <v>490</v>
      </c>
    </row>
    <row r="125" spans="1:6" x14ac:dyDescent="0.25">
      <c r="A125" s="248"/>
      <c r="B125" s="260"/>
      <c r="C125" s="248"/>
      <c r="D125" s="249"/>
      <c r="E125" s="250"/>
      <c r="F125" s="251"/>
    </row>
    <row r="126" spans="1:6" x14ac:dyDescent="0.25">
      <c r="A126" s="227"/>
      <c r="B126" s="232"/>
      <c r="C126" s="227"/>
      <c r="D126" s="230"/>
      <c r="E126" s="231"/>
      <c r="F126" s="246"/>
    </row>
    <row r="127" spans="1:6" ht="15.75" thickBot="1" x14ac:dyDescent="0.3">
      <c r="A127" s="227"/>
      <c r="B127" s="232"/>
      <c r="C127" s="227"/>
      <c r="D127" s="230"/>
      <c r="E127" s="231"/>
      <c r="F127" s="246"/>
    </row>
    <row r="128" spans="1:6" ht="15.75" thickBot="1" x14ac:dyDescent="0.3">
      <c r="A128" s="375" t="s">
        <v>558</v>
      </c>
      <c r="B128" s="376"/>
      <c r="C128" s="376"/>
      <c r="D128" s="376"/>
      <c r="E128" s="376"/>
      <c r="F128" s="377"/>
    </row>
    <row r="129" spans="1:6" ht="45" x14ac:dyDescent="0.25">
      <c r="A129" s="214" t="s">
        <v>323</v>
      </c>
      <c r="B129" s="215" t="s">
        <v>324</v>
      </c>
      <c r="C129" s="215" t="s">
        <v>242</v>
      </c>
      <c r="D129" s="216" t="s">
        <v>546</v>
      </c>
      <c r="E129" s="217" t="s">
        <v>325</v>
      </c>
      <c r="F129" s="218" t="s">
        <v>326</v>
      </c>
    </row>
    <row r="130" spans="1:6" ht="25.5" x14ac:dyDescent="0.25">
      <c r="A130" s="219" t="s">
        <v>463</v>
      </c>
      <c r="B130" s="223" t="s">
        <v>465</v>
      </c>
      <c r="C130" s="220" t="s">
        <v>368</v>
      </c>
      <c r="D130" s="221">
        <v>250</v>
      </c>
      <c r="E130" s="222">
        <v>44671</v>
      </c>
      <c r="F130" s="234" t="s">
        <v>491</v>
      </c>
    </row>
    <row r="131" spans="1:6" ht="25.5" x14ac:dyDescent="0.25">
      <c r="A131" s="219" t="s">
        <v>463</v>
      </c>
      <c r="B131" s="223" t="s">
        <v>465</v>
      </c>
      <c r="C131" s="220" t="s">
        <v>342</v>
      </c>
      <c r="D131" s="221">
        <v>250</v>
      </c>
      <c r="E131" s="222">
        <v>44671</v>
      </c>
      <c r="F131" s="234" t="s">
        <v>492</v>
      </c>
    </row>
    <row r="132" spans="1:6" ht="30" x14ac:dyDescent="0.25">
      <c r="A132" s="219" t="s">
        <v>463</v>
      </c>
      <c r="B132" s="223" t="s">
        <v>466</v>
      </c>
      <c r="C132" s="220" t="s">
        <v>360</v>
      </c>
      <c r="D132" s="221">
        <v>200</v>
      </c>
      <c r="E132" s="222">
        <v>44671</v>
      </c>
      <c r="F132" s="234" t="s">
        <v>493</v>
      </c>
    </row>
    <row r="133" spans="1:6" ht="30" x14ac:dyDescent="0.25">
      <c r="A133" s="219" t="s">
        <v>388</v>
      </c>
      <c r="B133" s="223" t="s">
        <v>389</v>
      </c>
      <c r="C133" s="223" t="s">
        <v>355</v>
      </c>
      <c r="D133" s="221">
        <v>300</v>
      </c>
      <c r="E133" s="222">
        <v>44657</v>
      </c>
      <c r="F133" s="234" t="s">
        <v>390</v>
      </c>
    </row>
    <row r="134" spans="1:6" ht="30" x14ac:dyDescent="0.25">
      <c r="A134" s="219" t="s">
        <v>467</v>
      </c>
      <c r="B134" s="223" t="s">
        <v>468</v>
      </c>
      <c r="C134" s="223" t="s">
        <v>476</v>
      </c>
      <c r="D134" s="221">
        <v>400</v>
      </c>
      <c r="E134" s="222">
        <v>44671</v>
      </c>
      <c r="F134" s="234" t="s">
        <v>494</v>
      </c>
    </row>
    <row r="135" spans="1:6" ht="25.5" x14ac:dyDescent="0.25">
      <c r="A135" s="219" t="s">
        <v>467</v>
      </c>
      <c r="B135" s="223" t="s">
        <v>468</v>
      </c>
      <c r="C135" s="220" t="s">
        <v>373</v>
      </c>
      <c r="D135" s="221">
        <v>400</v>
      </c>
      <c r="E135" s="222">
        <v>44671</v>
      </c>
      <c r="F135" s="234" t="s">
        <v>482</v>
      </c>
    </row>
    <row r="136" spans="1:6" ht="25.5" x14ac:dyDescent="0.25">
      <c r="A136" s="219" t="s">
        <v>467</v>
      </c>
      <c r="B136" s="223" t="s">
        <v>468</v>
      </c>
      <c r="C136" s="220" t="s">
        <v>419</v>
      </c>
      <c r="D136" s="221">
        <v>220</v>
      </c>
      <c r="E136" s="222">
        <v>44671</v>
      </c>
      <c r="F136" s="234" t="s">
        <v>495</v>
      </c>
    </row>
    <row r="137" spans="1:6" ht="25.5" x14ac:dyDescent="0.25">
      <c r="A137" s="219" t="s">
        <v>467</v>
      </c>
      <c r="B137" s="223" t="s">
        <v>468</v>
      </c>
      <c r="C137" s="220" t="s">
        <v>446</v>
      </c>
      <c r="D137" s="221">
        <v>500</v>
      </c>
      <c r="E137" s="222">
        <v>44671</v>
      </c>
      <c r="F137" s="234" t="s">
        <v>482</v>
      </c>
    </row>
    <row r="138" spans="1:6" ht="30" x14ac:dyDescent="0.25">
      <c r="A138" s="219" t="s">
        <v>467</v>
      </c>
      <c r="B138" s="223" t="s">
        <v>468</v>
      </c>
      <c r="C138" s="223" t="s">
        <v>355</v>
      </c>
      <c r="D138" s="221">
        <v>350</v>
      </c>
      <c r="E138" s="222">
        <v>44671</v>
      </c>
      <c r="F138" s="234" t="s">
        <v>496</v>
      </c>
    </row>
    <row r="139" spans="1:6" ht="30" x14ac:dyDescent="0.25">
      <c r="A139" s="268" t="s">
        <v>366</v>
      </c>
      <c r="B139" s="223" t="s">
        <v>367</v>
      </c>
      <c r="C139" s="220" t="s">
        <v>368</v>
      </c>
      <c r="D139" s="221">
        <v>280</v>
      </c>
      <c r="E139" s="222">
        <v>44671</v>
      </c>
      <c r="F139" s="234" t="s">
        <v>492</v>
      </c>
    </row>
    <row r="140" spans="1:6" ht="30" x14ac:dyDescent="0.25">
      <c r="A140" s="268" t="s">
        <v>366</v>
      </c>
      <c r="B140" s="223" t="s">
        <v>367</v>
      </c>
      <c r="C140" s="223" t="s">
        <v>353</v>
      </c>
      <c r="D140" s="221">
        <v>150</v>
      </c>
      <c r="E140" s="222">
        <v>44671</v>
      </c>
      <c r="F140" s="234" t="s">
        <v>497</v>
      </c>
    </row>
    <row r="141" spans="1:6" ht="30" x14ac:dyDescent="0.25">
      <c r="A141" s="268" t="s">
        <v>366</v>
      </c>
      <c r="B141" s="223" t="s">
        <v>333</v>
      </c>
      <c r="C141" s="223" t="s">
        <v>126</v>
      </c>
      <c r="D141" s="221">
        <v>200</v>
      </c>
      <c r="E141" s="222">
        <v>44657</v>
      </c>
      <c r="F141" s="234" t="s">
        <v>382</v>
      </c>
    </row>
    <row r="142" spans="1:6" ht="30" x14ac:dyDescent="0.25">
      <c r="A142" s="268" t="s">
        <v>366</v>
      </c>
      <c r="B142" s="223" t="s">
        <v>333</v>
      </c>
      <c r="C142" s="220" t="s">
        <v>373</v>
      </c>
      <c r="D142" s="221">
        <v>350</v>
      </c>
      <c r="E142" s="222">
        <v>44657</v>
      </c>
      <c r="F142" s="234" t="s">
        <v>382</v>
      </c>
    </row>
    <row r="143" spans="1:6" ht="30" x14ac:dyDescent="0.25">
      <c r="A143" s="268" t="s">
        <v>366</v>
      </c>
      <c r="B143" s="223" t="s">
        <v>333</v>
      </c>
      <c r="C143" s="223" t="s">
        <v>279</v>
      </c>
      <c r="D143" s="221">
        <v>140</v>
      </c>
      <c r="E143" s="222">
        <v>44657</v>
      </c>
      <c r="F143" s="234" t="s">
        <v>383</v>
      </c>
    </row>
    <row r="144" spans="1:6" ht="30" x14ac:dyDescent="0.25">
      <c r="A144" s="268" t="s">
        <v>366</v>
      </c>
      <c r="B144" s="223" t="s">
        <v>333</v>
      </c>
      <c r="C144" s="223" t="s">
        <v>353</v>
      </c>
      <c r="D144" s="221">
        <v>120</v>
      </c>
      <c r="E144" s="222">
        <v>44657</v>
      </c>
      <c r="F144" s="234" t="s">
        <v>384</v>
      </c>
    </row>
    <row r="145" spans="1:6" x14ac:dyDescent="0.25">
      <c r="A145" s="260"/>
      <c r="B145" s="260"/>
      <c r="C145" s="260"/>
      <c r="D145" s="249"/>
      <c r="E145" s="250"/>
      <c r="F145" s="251"/>
    </row>
    <row r="146" spans="1:6" ht="15.75" thickBot="1" x14ac:dyDescent="0.3">
      <c r="A146" s="256"/>
      <c r="B146" s="256"/>
      <c r="C146" s="256"/>
      <c r="D146" s="257"/>
      <c r="E146" s="258"/>
      <c r="F146" s="259"/>
    </row>
    <row r="147" spans="1:6" ht="15.75" thickBot="1" x14ac:dyDescent="0.3">
      <c r="A147" s="375" t="s">
        <v>558</v>
      </c>
      <c r="B147" s="376"/>
      <c r="C147" s="376"/>
      <c r="D147" s="376"/>
      <c r="E147" s="376"/>
      <c r="F147" s="377"/>
    </row>
    <row r="148" spans="1:6" ht="45" x14ac:dyDescent="0.25">
      <c r="A148" s="214" t="s">
        <v>323</v>
      </c>
      <c r="B148" s="215" t="s">
        <v>324</v>
      </c>
      <c r="C148" s="215" t="s">
        <v>242</v>
      </c>
      <c r="D148" s="216" t="s">
        <v>546</v>
      </c>
      <c r="E148" s="217" t="s">
        <v>325</v>
      </c>
      <c r="F148" s="218" t="s">
        <v>326</v>
      </c>
    </row>
    <row r="149" spans="1:6" ht="30" x14ac:dyDescent="0.25">
      <c r="A149" s="268" t="s">
        <v>366</v>
      </c>
      <c r="B149" s="223" t="s">
        <v>333</v>
      </c>
      <c r="C149" s="220" t="s">
        <v>119</v>
      </c>
      <c r="D149" s="221">
        <v>180</v>
      </c>
      <c r="E149" s="222">
        <v>44657</v>
      </c>
      <c r="F149" s="234" t="s">
        <v>384</v>
      </c>
    </row>
    <row r="150" spans="1:6" ht="30" x14ac:dyDescent="0.25">
      <c r="A150" s="268" t="s">
        <v>366</v>
      </c>
      <c r="B150" s="223" t="s">
        <v>333</v>
      </c>
      <c r="C150" s="223" t="s">
        <v>355</v>
      </c>
      <c r="D150" s="221">
        <v>350</v>
      </c>
      <c r="E150" s="222">
        <v>44657</v>
      </c>
      <c r="F150" s="234" t="s">
        <v>382</v>
      </c>
    </row>
    <row r="151" spans="1:6" ht="30" x14ac:dyDescent="0.25">
      <c r="A151" s="268" t="s">
        <v>366</v>
      </c>
      <c r="B151" s="223" t="s">
        <v>333</v>
      </c>
      <c r="C151" s="220" t="s">
        <v>360</v>
      </c>
      <c r="D151" s="221">
        <v>180</v>
      </c>
      <c r="E151" s="222">
        <v>44657</v>
      </c>
      <c r="F151" s="234" t="s">
        <v>385</v>
      </c>
    </row>
    <row r="152" spans="1:6" ht="30" x14ac:dyDescent="0.25">
      <c r="A152" s="268" t="s">
        <v>366</v>
      </c>
      <c r="B152" s="223" t="s">
        <v>469</v>
      </c>
      <c r="C152" s="223" t="s">
        <v>126</v>
      </c>
      <c r="D152" s="221">
        <v>200</v>
      </c>
      <c r="E152" s="222">
        <v>44671</v>
      </c>
      <c r="F152" s="234" t="s">
        <v>498</v>
      </c>
    </row>
    <row r="153" spans="1:6" ht="30" x14ac:dyDescent="0.25">
      <c r="A153" s="268" t="s">
        <v>366</v>
      </c>
      <c r="B153" s="223" t="s">
        <v>469</v>
      </c>
      <c r="C153" s="220" t="s">
        <v>273</v>
      </c>
      <c r="D153" s="221">
        <v>280</v>
      </c>
      <c r="E153" s="222">
        <v>44671</v>
      </c>
      <c r="F153" s="234" t="s">
        <v>499</v>
      </c>
    </row>
    <row r="154" spans="1:6" ht="30" x14ac:dyDescent="0.25">
      <c r="A154" s="268" t="s">
        <v>366</v>
      </c>
      <c r="B154" s="223" t="s">
        <v>469</v>
      </c>
      <c r="C154" s="220" t="s">
        <v>373</v>
      </c>
      <c r="D154" s="221">
        <v>375</v>
      </c>
      <c r="E154" s="222">
        <v>44671</v>
      </c>
      <c r="F154" s="234" t="s">
        <v>500</v>
      </c>
    </row>
    <row r="155" spans="1:6" ht="30" x14ac:dyDescent="0.25">
      <c r="A155" s="268" t="s">
        <v>366</v>
      </c>
      <c r="B155" s="223" t="s">
        <v>469</v>
      </c>
      <c r="C155" s="220" t="s">
        <v>368</v>
      </c>
      <c r="D155" s="221">
        <v>200</v>
      </c>
      <c r="E155" s="222">
        <v>44671</v>
      </c>
      <c r="F155" s="234" t="s">
        <v>499</v>
      </c>
    </row>
    <row r="156" spans="1:6" ht="30" x14ac:dyDescent="0.25">
      <c r="A156" s="268" t="s">
        <v>366</v>
      </c>
      <c r="B156" s="223" t="s">
        <v>469</v>
      </c>
      <c r="C156" s="223" t="s">
        <v>279</v>
      </c>
      <c r="D156" s="221">
        <v>250</v>
      </c>
      <c r="E156" s="222">
        <v>44671</v>
      </c>
      <c r="F156" s="234" t="s">
        <v>501</v>
      </c>
    </row>
    <row r="157" spans="1:6" ht="30" x14ac:dyDescent="0.25">
      <c r="A157" s="268" t="s">
        <v>366</v>
      </c>
      <c r="B157" s="223" t="s">
        <v>469</v>
      </c>
      <c r="C157" s="223" t="s">
        <v>353</v>
      </c>
      <c r="D157" s="221">
        <v>170</v>
      </c>
      <c r="E157" s="222">
        <v>44671</v>
      </c>
      <c r="F157" s="234" t="s">
        <v>502</v>
      </c>
    </row>
    <row r="158" spans="1:6" ht="30" x14ac:dyDescent="0.25">
      <c r="A158" s="268" t="s">
        <v>366</v>
      </c>
      <c r="B158" s="223" t="s">
        <v>469</v>
      </c>
      <c r="C158" s="223" t="s">
        <v>446</v>
      </c>
      <c r="D158" s="221">
        <v>250</v>
      </c>
      <c r="E158" s="222">
        <v>44671</v>
      </c>
      <c r="F158" s="234" t="s">
        <v>503</v>
      </c>
    </row>
    <row r="159" spans="1:6" ht="30" x14ac:dyDescent="0.25">
      <c r="A159" s="268" t="s">
        <v>366</v>
      </c>
      <c r="B159" s="223" t="s">
        <v>469</v>
      </c>
      <c r="C159" s="223" t="s">
        <v>355</v>
      </c>
      <c r="D159" s="221">
        <v>380</v>
      </c>
      <c r="E159" s="222">
        <v>44671</v>
      </c>
      <c r="F159" s="234" t="s">
        <v>504</v>
      </c>
    </row>
    <row r="160" spans="1:6" ht="30" x14ac:dyDescent="0.25">
      <c r="A160" s="268" t="s">
        <v>366</v>
      </c>
      <c r="B160" s="223" t="s">
        <v>469</v>
      </c>
      <c r="C160" s="220" t="s">
        <v>360</v>
      </c>
      <c r="D160" s="221">
        <v>200</v>
      </c>
      <c r="E160" s="222">
        <v>44671</v>
      </c>
      <c r="F160" s="234" t="s">
        <v>505</v>
      </c>
    </row>
    <row r="161" spans="1:6" ht="30" x14ac:dyDescent="0.25">
      <c r="A161" s="268" t="s">
        <v>366</v>
      </c>
      <c r="B161" s="223" t="s">
        <v>470</v>
      </c>
      <c r="C161" s="223" t="s">
        <v>126</v>
      </c>
      <c r="D161" s="221">
        <v>200</v>
      </c>
      <c r="E161" s="222">
        <v>44671</v>
      </c>
      <c r="F161" s="234" t="s">
        <v>506</v>
      </c>
    </row>
    <row r="162" spans="1:6" ht="30" x14ac:dyDescent="0.25">
      <c r="A162" s="268" t="s">
        <v>366</v>
      </c>
      <c r="B162" s="223" t="s">
        <v>470</v>
      </c>
      <c r="C162" s="220" t="s">
        <v>273</v>
      </c>
      <c r="D162" s="221">
        <v>200</v>
      </c>
      <c r="E162" s="222">
        <v>44671</v>
      </c>
      <c r="F162" s="234" t="s">
        <v>507</v>
      </c>
    </row>
    <row r="163" spans="1:6" x14ac:dyDescent="0.25">
      <c r="A163" s="260"/>
      <c r="B163" s="260"/>
      <c r="C163" s="260"/>
      <c r="D163" s="249"/>
      <c r="E163" s="250"/>
      <c r="F163" s="251"/>
    </row>
    <row r="164" spans="1:6" ht="15.75" thickBot="1" x14ac:dyDescent="0.3">
      <c r="A164" s="256"/>
      <c r="B164" s="256"/>
      <c r="C164" s="256"/>
      <c r="D164" s="257"/>
      <c r="E164" s="258"/>
      <c r="F164" s="259"/>
    </row>
    <row r="165" spans="1:6" ht="15.75" thickBot="1" x14ac:dyDescent="0.3">
      <c r="A165" s="375" t="s">
        <v>558</v>
      </c>
      <c r="B165" s="376"/>
      <c r="C165" s="376"/>
      <c r="D165" s="376"/>
      <c r="E165" s="376"/>
      <c r="F165" s="377"/>
    </row>
    <row r="166" spans="1:6" ht="45" x14ac:dyDescent="0.25">
      <c r="A166" s="214" t="s">
        <v>323</v>
      </c>
      <c r="B166" s="215" t="s">
        <v>324</v>
      </c>
      <c r="C166" s="215" t="s">
        <v>242</v>
      </c>
      <c r="D166" s="216" t="s">
        <v>546</v>
      </c>
      <c r="E166" s="217" t="s">
        <v>325</v>
      </c>
      <c r="F166" s="218" t="s">
        <v>326</v>
      </c>
    </row>
    <row r="167" spans="1:6" ht="30" x14ac:dyDescent="0.25">
      <c r="A167" s="268" t="s">
        <v>366</v>
      </c>
      <c r="B167" s="223" t="s">
        <v>470</v>
      </c>
      <c r="C167" s="220" t="s">
        <v>373</v>
      </c>
      <c r="D167" s="221">
        <v>320</v>
      </c>
      <c r="E167" s="222">
        <v>44671</v>
      </c>
      <c r="F167" s="234" t="s">
        <v>508</v>
      </c>
    </row>
    <row r="168" spans="1:6" ht="30" x14ac:dyDescent="0.25">
      <c r="A168" s="268" t="s">
        <v>366</v>
      </c>
      <c r="B168" s="223" t="s">
        <v>470</v>
      </c>
      <c r="C168" s="220" t="s">
        <v>368</v>
      </c>
      <c r="D168" s="221">
        <v>200</v>
      </c>
      <c r="E168" s="222">
        <v>44671</v>
      </c>
      <c r="F168" s="234" t="s">
        <v>509</v>
      </c>
    </row>
    <row r="169" spans="1:6" ht="30" x14ac:dyDescent="0.25">
      <c r="A169" s="268" t="s">
        <v>366</v>
      </c>
      <c r="B169" s="223" t="s">
        <v>470</v>
      </c>
      <c r="C169" s="223" t="s">
        <v>355</v>
      </c>
      <c r="D169" s="221">
        <v>320</v>
      </c>
      <c r="E169" s="222">
        <v>44671</v>
      </c>
      <c r="F169" s="234" t="s">
        <v>508</v>
      </c>
    </row>
    <row r="170" spans="1:6" ht="30" x14ac:dyDescent="0.25">
      <c r="A170" s="268" t="s">
        <v>366</v>
      </c>
      <c r="B170" s="223" t="s">
        <v>470</v>
      </c>
      <c r="C170" s="220" t="s">
        <v>360</v>
      </c>
      <c r="D170" s="221">
        <v>180</v>
      </c>
      <c r="E170" s="222">
        <v>44671</v>
      </c>
      <c r="F170" s="234" t="s">
        <v>510</v>
      </c>
    </row>
    <row r="171" spans="1:6" ht="30" x14ac:dyDescent="0.25">
      <c r="A171" s="268" t="s">
        <v>366</v>
      </c>
      <c r="B171" s="223" t="s">
        <v>470</v>
      </c>
      <c r="C171" s="220" t="s">
        <v>450</v>
      </c>
      <c r="D171" s="221">
        <v>200</v>
      </c>
      <c r="E171" s="222">
        <v>44671</v>
      </c>
      <c r="F171" s="234" t="s">
        <v>507</v>
      </c>
    </row>
    <row r="172" spans="1:6" ht="30" x14ac:dyDescent="0.25">
      <c r="A172" s="268" t="s">
        <v>361</v>
      </c>
      <c r="B172" s="223" t="s">
        <v>471</v>
      </c>
      <c r="C172" s="220" t="s">
        <v>368</v>
      </c>
      <c r="D172" s="221">
        <v>130</v>
      </c>
      <c r="E172" s="222">
        <v>44672</v>
      </c>
      <c r="F172" s="234" t="s">
        <v>511</v>
      </c>
    </row>
    <row r="173" spans="1:6" ht="30" x14ac:dyDescent="0.25">
      <c r="A173" s="219" t="s">
        <v>361</v>
      </c>
      <c r="B173" s="223" t="s">
        <v>471</v>
      </c>
      <c r="C173" s="223" t="s">
        <v>353</v>
      </c>
      <c r="D173" s="221">
        <v>130</v>
      </c>
      <c r="E173" s="222">
        <v>44672</v>
      </c>
      <c r="F173" s="234" t="s">
        <v>511</v>
      </c>
    </row>
    <row r="174" spans="1:6" ht="30" x14ac:dyDescent="0.25">
      <c r="A174" s="219" t="s">
        <v>361</v>
      </c>
      <c r="B174" s="223" t="s">
        <v>471</v>
      </c>
      <c r="C174" s="223" t="s">
        <v>355</v>
      </c>
      <c r="D174" s="221">
        <v>350</v>
      </c>
      <c r="E174" s="222">
        <v>44672</v>
      </c>
      <c r="F174" s="234" t="s">
        <v>512</v>
      </c>
    </row>
    <row r="175" spans="1:6" ht="30" x14ac:dyDescent="0.25">
      <c r="A175" s="219" t="s">
        <v>361</v>
      </c>
      <c r="B175" s="223" t="s">
        <v>362</v>
      </c>
      <c r="C175" s="223" t="s">
        <v>126</v>
      </c>
      <c r="D175" s="221">
        <v>200</v>
      </c>
      <c r="E175" s="222">
        <v>44658</v>
      </c>
      <c r="F175" s="234" t="s">
        <v>363</v>
      </c>
    </row>
    <row r="176" spans="1:6" ht="30" x14ac:dyDescent="0.25">
      <c r="A176" s="219" t="s">
        <v>361</v>
      </c>
      <c r="B176" s="223" t="s">
        <v>362</v>
      </c>
      <c r="C176" s="223" t="s">
        <v>353</v>
      </c>
      <c r="D176" s="221">
        <v>130</v>
      </c>
      <c r="E176" s="222">
        <v>44658</v>
      </c>
      <c r="F176" s="234" t="s">
        <v>363</v>
      </c>
    </row>
    <row r="177" spans="1:6" ht="30" x14ac:dyDescent="0.25">
      <c r="A177" s="219" t="s">
        <v>361</v>
      </c>
      <c r="B177" s="223" t="s">
        <v>362</v>
      </c>
      <c r="C177" s="220" t="s">
        <v>364</v>
      </c>
      <c r="D177" s="221">
        <v>180</v>
      </c>
      <c r="E177" s="222">
        <v>44658</v>
      </c>
      <c r="F177" s="234" t="s">
        <v>365</v>
      </c>
    </row>
    <row r="178" spans="1:6" ht="30" x14ac:dyDescent="0.25">
      <c r="A178" s="219" t="s">
        <v>361</v>
      </c>
      <c r="B178" s="223" t="s">
        <v>472</v>
      </c>
      <c r="C178" s="223" t="s">
        <v>353</v>
      </c>
      <c r="D178" s="221">
        <v>140</v>
      </c>
      <c r="E178" s="222">
        <v>44672</v>
      </c>
      <c r="F178" s="234" t="s">
        <v>513</v>
      </c>
    </row>
    <row r="179" spans="1:6" x14ac:dyDescent="0.25">
      <c r="A179" s="219" t="s">
        <v>361</v>
      </c>
      <c r="B179" s="223" t="s">
        <v>472</v>
      </c>
      <c r="C179" s="220" t="s">
        <v>360</v>
      </c>
      <c r="D179" s="221">
        <v>200</v>
      </c>
      <c r="E179" s="222">
        <v>44672</v>
      </c>
      <c r="F179" s="234" t="s">
        <v>514</v>
      </c>
    </row>
    <row r="180" spans="1:6" ht="30" x14ac:dyDescent="0.25">
      <c r="A180" s="219" t="s">
        <v>361</v>
      </c>
      <c r="B180" s="223" t="s">
        <v>386</v>
      </c>
      <c r="C180" s="223" t="s">
        <v>353</v>
      </c>
      <c r="D180" s="221">
        <v>140</v>
      </c>
      <c r="E180" s="222">
        <v>44672</v>
      </c>
      <c r="F180" s="234" t="s">
        <v>387</v>
      </c>
    </row>
    <row r="181" spans="1:6" x14ac:dyDescent="0.25">
      <c r="A181" s="219" t="s">
        <v>361</v>
      </c>
      <c r="B181" s="220" t="s">
        <v>473</v>
      </c>
      <c r="C181" s="220" t="s">
        <v>360</v>
      </c>
      <c r="D181" s="221">
        <v>200</v>
      </c>
      <c r="E181" s="222">
        <v>44672</v>
      </c>
      <c r="F181" s="234" t="s">
        <v>516</v>
      </c>
    </row>
    <row r="182" spans="1:6" x14ac:dyDescent="0.25">
      <c r="A182" s="227"/>
      <c r="B182" s="232"/>
      <c r="C182" s="232"/>
      <c r="D182" s="230"/>
      <c r="E182" s="231"/>
      <c r="F182" s="246"/>
    </row>
    <row r="183" spans="1:6" ht="15.75" thickBot="1" x14ac:dyDescent="0.3">
      <c r="A183" s="255"/>
      <c r="B183" s="256"/>
      <c r="C183" s="256"/>
      <c r="D183" s="257"/>
      <c r="E183" s="258"/>
      <c r="F183" s="259"/>
    </row>
    <row r="184" spans="1:6" ht="15.75" thickBot="1" x14ac:dyDescent="0.3">
      <c r="A184" s="375" t="s">
        <v>558</v>
      </c>
      <c r="B184" s="376"/>
      <c r="C184" s="376"/>
      <c r="D184" s="376"/>
      <c r="E184" s="376"/>
      <c r="F184" s="377"/>
    </row>
    <row r="185" spans="1:6" ht="45" x14ac:dyDescent="0.25">
      <c r="A185" s="214" t="s">
        <v>323</v>
      </c>
      <c r="B185" s="215" t="s">
        <v>324</v>
      </c>
      <c r="C185" s="215" t="s">
        <v>242</v>
      </c>
      <c r="D185" s="216" t="s">
        <v>546</v>
      </c>
      <c r="E185" s="217" t="s">
        <v>325</v>
      </c>
      <c r="F185" s="218" t="s">
        <v>326</v>
      </c>
    </row>
    <row r="186" spans="1:6" ht="30" x14ac:dyDescent="0.25">
      <c r="A186" s="219" t="s">
        <v>361</v>
      </c>
      <c r="B186" s="223" t="s">
        <v>386</v>
      </c>
      <c r="C186" s="220" t="s">
        <v>364</v>
      </c>
      <c r="D186" s="221">
        <v>180</v>
      </c>
      <c r="E186" s="222">
        <v>44672</v>
      </c>
      <c r="F186" s="234" t="s">
        <v>515</v>
      </c>
    </row>
    <row r="187" spans="1:6" ht="25.5" x14ac:dyDescent="0.25">
      <c r="A187" s="219" t="s">
        <v>396</v>
      </c>
      <c r="B187" s="220" t="s">
        <v>397</v>
      </c>
      <c r="C187" s="220" t="s">
        <v>373</v>
      </c>
      <c r="D187" s="221">
        <v>200</v>
      </c>
      <c r="E187" s="222">
        <v>44657</v>
      </c>
      <c r="F187" s="234" t="s">
        <v>398</v>
      </c>
    </row>
    <row r="188" spans="1:6" ht="30" x14ac:dyDescent="0.25">
      <c r="A188" s="219" t="s">
        <v>396</v>
      </c>
      <c r="B188" s="220" t="s">
        <v>397</v>
      </c>
      <c r="C188" s="223" t="s">
        <v>355</v>
      </c>
      <c r="D188" s="221">
        <v>200</v>
      </c>
      <c r="E188" s="222">
        <v>44657</v>
      </c>
      <c r="F188" s="234" t="s">
        <v>399</v>
      </c>
    </row>
    <row r="189" spans="1:6" ht="30" x14ac:dyDescent="0.25">
      <c r="A189" s="219" t="s">
        <v>474</v>
      </c>
      <c r="B189" s="223" t="s">
        <v>541</v>
      </c>
      <c r="C189" s="223" t="s">
        <v>126</v>
      </c>
      <c r="D189" s="221">
        <v>200</v>
      </c>
      <c r="E189" s="222">
        <v>44672</v>
      </c>
      <c r="F189" s="234" t="s">
        <v>494</v>
      </c>
    </row>
    <row r="190" spans="1:6" ht="30" x14ac:dyDescent="0.25">
      <c r="A190" s="219" t="s">
        <v>474</v>
      </c>
      <c r="B190" s="223" t="s">
        <v>541</v>
      </c>
      <c r="C190" s="220" t="s">
        <v>273</v>
      </c>
      <c r="D190" s="221">
        <v>240</v>
      </c>
      <c r="E190" s="222">
        <v>44672</v>
      </c>
      <c r="F190" s="234" t="s">
        <v>494</v>
      </c>
    </row>
    <row r="191" spans="1:6" ht="30" x14ac:dyDescent="0.25">
      <c r="A191" s="219" t="s">
        <v>474</v>
      </c>
      <c r="B191" s="223" t="s">
        <v>541</v>
      </c>
      <c r="C191" s="220" t="s">
        <v>368</v>
      </c>
      <c r="D191" s="221">
        <v>220</v>
      </c>
      <c r="E191" s="222">
        <v>44672</v>
      </c>
      <c r="F191" s="234" t="s">
        <v>517</v>
      </c>
    </row>
    <row r="192" spans="1:6" ht="30" x14ac:dyDescent="0.25">
      <c r="A192" s="219" t="s">
        <v>474</v>
      </c>
      <c r="B192" s="223" t="s">
        <v>541</v>
      </c>
      <c r="C192" s="223" t="s">
        <v>279</v>
      </c>
      <c r="D192" s="221">
        <v>180</v>
      </c>
      <c r="E192" s="222">
        <v>44672</v>
      </c>
      <c r="F192" s="234" t="s">
        <v>518</v>
      </c>
    </row>
    <row r="193" spans="1:6" ht="30" x14ac:dyDescent="0.25">
      <c r="A193" s="219" t="s">
        <v>474</v>
      </c>
      <c r="B193" s="223" t="s">
        <v>541</v>
      </c>
      <c r="C193" s="223" t="s">
        <v>353</v>
      </c>
      <c r="D193" s="221">
        <v>140</v>
      </c>
      <c r="E193" s="222">
        <v>44672</v>
      </c>
      <c r="F193" s="234" t="s">
        <v>494</v>
      </c>
    </row>
    <row r="194" spans="1:6" ht="30" x14ac:dyDescent="0.25">
      <c r="A194" s="219" t="s">
        <v>474</v>
      </c>
      <c r="B194" s="223" t="s">
        <v>541</v>
      </c>
      <c r="C194" s="223" t="s">
        <v>355</v>
      </c>
      <c r="D194" s="221">
        <v>360</v>
      </c>
      <c r="E194" s="222">
        <v>44672</v>
      </c>
      <c r="F194" s="234" t="s">
        <v>519</v>
      </c>
    </row>
    <row r="195" spans="1:6" ht="30" x14ac:dyDescent="0.25">
      <c r="A195" s="219" t="s">
        <v>474</v>
      </c>
      <c r="B195" s="223" t="s">
        <v>541</v>
      </c>
      <c r="C195" s="220" t="s">
        <v>360</v>
      </c>
      <c r="D195" s="221">
        <v>180</v>
      </c>
      <c r="E195" s="222">
        <v>44672</v>
      </c>
      <c r="F195" s="234" t="s">
        <v>520</v>
      </c>
    </row>
    <row r="196" spans="1:6" ht="30" x14ac:dyDescent="0.25">
      <c r="A196" s="219" t="s">
        <v>474</v>
      </c>
      <c r="B196" s="223" t="s">
        <v>541</v>
      </c>
      <c r="C196" s="220" t="s">
        <v>364</v>
      </c>
      <c r="D196" s="221">
        <v>180</v>
      </c>
      <c r="E196" s="222">
        <v>44672</v>
      </c>
      <c r="F196" s="234" t="s">
        <v>521</v>
      </c>
    </row>
    <row r="197" spans="1:6" ht="30" x14ac:dyDescent="0.25">
      <c r="A197" s="219" t="s">
        <v>474</v>
      </c>
      <c r="B197" s="223" t="s">
        <v>541</v>
      </c>
      <c r="C197" s="220" t="s">
        <v>450</v>
      </c>
      <c r="D197" s="221">
        <v>360</v>
      </c>
      <c r="E197" s="222">
        <v>44672</v>
      </c>
      <c r="F197" s="234" t="s">
        <v>518</v>
      </c>
    </row>
    <row r="198" spans="1:6" ht="30.75" thickBot="1" x14ac:dyDescent="0.3">
      <c r="A198" s="219" t="s">
        <v>474</v>
      </c>
      <c r="B198" s="220" t="s">
        <v>475</v>
      </c>
      <c r="C198" s="223" t="s">
        <v>353</v>
      </c>
      <c r="D198" s="221">
        <v>140</v>
      </c>
      <c r="E198" s="222">
        <v>44672</v>
      </c>
      <c r="F198" s="234" t="s">
        <v>522</v>
      </c>
    </row>
    <row r="199" spans="1:6" ht="15.75" thickBot="1" x14ac:dyDescent="0.3">
      <c r="A199" s="381" t="s">
        <v>438</v>
      </c>
      <c r="B199" s="382"/>
      <c r="C199" s="382"/>
      <c r="D199" s="382"/>
      <c r="E199" s="382"/>
      <c r="F199" s="383"/>
    </row>
    <row r="200" spans="1:6" ht="15.75" thickBot="1" x14ac:dyDescent="0.3">
      <c r="A200" s="378" t="s">
        <v>547</v>
      </c>
      <c r="B200" s="379"/>
      <c r="C200" s="379"/>
      <c r="D200" s="379"/>
      <c r="E200" s="379"/>
      <c r="F200" s="380"/>
    </row>
    <row r="201" spans="1:6" x14ac:dyDescent="0.25">
      <c r="A201" s="261"/>
      <c r="B201" s="261"/>
      <c r="C201" s="261"/>
      <c r="D201" s="262"/>
      <c r="E201" s="263"/>
      <c r="F201" s="261"/>
    </row>
    <row r="202" spans="1:6" ht="15.75" thickBot="1" x14ac:dyDescent="0.3">
      <c r="A202" s="227"/>
      <c r="B202" s="227"/>
      <c r="C202" s="227"/>
      <c r="D202" s="230"/>
      <c r="E202" s="231"/>
      <c r="F202" s="232"/>
    </row>
    <row r="203" spans="1:6" ht="15.75" thickBot="1" x14ac:dyDescent="0.3">
      <c r="A203" s="375" t="s">
        <v>559</v>
      </c>
      <c r="B203" s="376"/>
      <c r="C203" s="376"/>
      <c r="D203" s="376"/>
      <c r="E203" s="376"/>
      <c r="F203" s="377"/>
    </row>
    <row r="204" spans="1:6" ht="45" x14ac:dyDescent="0.25">
      <c r="A204" s="214" t="s">
        <v>323</v>
      </c>
      <c r="B204" s="215" t="s">
        <v>324</v>
      </c>
      <c r="C204" s="215" t="s">
        <v>242</v>
      </c>
      <c r="D204" s="216" t="s">
        <v>546</v>
      </c>
      <c r="E204" s="217" t="s">
        <v>325</v>
      </c>
      <c r="F204" s="218" t="s">
        <v>326</v>
      </c>
    </row>
    <row r="205" spans="1:6" ht="25.5" x14ac:dyDescent="0.25">
      <c r="A205" s="219" t="s">
        <v>523</v>
      </c>
      <c r="B205" s="223" t="s">
        <v>524</v>
      </c>
      <c r="C205" s="220" t="s">
        <v>419</v>
      </c>
      <c r="D205" s="221">
        <v>140</v>
      </c>
      <c r="E205" s="222">
        <v>44677</v>
      </c>
      <c r="F205" s="234" t="s">
        <v>530</v>
      </c>
    </row>
    <row r="206" spans="1:6" ht="38.25" x14ac:dyDescent="0.25">
      <c r="A206" s="219" t="s">
        <v>402</v>
      </c>
      <c r="B206" s="223" t="s">
        <v>403</v>
      </c>
      <c r="C206" s="223" t="s">
        <v>279</v>
      </c>
      <c r="D206" s="221">
        <v>180</v>
      </c>
      <c r="E206" s="222">
        <v>44656</v>
      </c>
      <c r="F206" s="234" t="s">
        <v>404</v>
      </c>
    </row>
    <row r="207" spans="1:6" ht="38.25" x14ac:dyDescent="0.25">
      <c r="A207" s="219" t="s">
        <v>402</v>
      </c>
      <c r="B207" s="223" t="s">
        <v>403</v>
      </c>
      <c r="C207" s="223" t="s">
        <v>353</v>
      </c>
      <c r="D207" s="221">
        <v>150</v>
      </c>
      <c r="E207" s="222">
        <v>44656</v>
      </c>
      <c r="F207" s="234" t="s">
        <v>404</v>
      </c>
    </row>
    <row r="208" spans="1:6" x14ac:dyDescent="0.25">
      <c r="A208" s="264"/>
      <c r="B208" s="252"/>
      <c r="C208" s="252"/>
      <c r="D208" s="253"/>
      <c r="E208" s="254"/>
      <c r="F208" s="265"/>
    </row>
    <row r="209" spans="1:6" ht="38.25" x14ac:dyDescent="0.25">
      <c r="A209" s="219" t="s">
        <v>402</v>
      </c>
      <c r="B209" s="223" t="s">
        <v>409</v>
      </c>
      <c r="C209" s="223" t="s">
        <v>279</v>
      </c>
      <c r="D209" s="221">
        <v>180</v>
      </c>
      <c r="E209" s="222">
        <v>44656</v>
      </c>
      <c r="F209" s="234" t="s">
        <v>410</v>
      </c>
    </row>
    <row r="210" spans="1:6" ht="38.25" x14ac:dyDescent="0.25">
      <c r="A210" s="219" t="s">
        <v>402</v>
      </c>
      <c r="B210" s="223" t="s">
        <v>409</v>
      </c>
      <c r="C210" s="223" t="s">
        <v>353</v>
      </c>
      <c r="D210" s="221">
        <v>150</v>
      </c>
      <c r="E210" s="222">
        <v>44677</v>
      </c>
      <c r="F210" s="234" t="s">
        <v>531</v>
      </c>
    </row>
    <row r="211" spans="1:6" ht="38.25" x14ac:dyDescent="0.25">
      <c r="A211" s="219" t="s">
        <v>402</v>
      </c>
      <c r="B211" s="223" t="s">
        <v>415</v>
      </c>
      <c r="C211" s="223" t="s">
        <v>279</v>
      </c>
      <c r="D211" s="221">
        <v>180</v>
      </c>
      <c r="E211" s="222">
        <v>44656</v>
      </c>
      <c r="F211" s="234" t="s">
        <v>416</v>
      </c>
    </row>
    <row r="212" spans="1:6" ht="38.25" x14ac:dyDescent="0.25">
      <c r="A212" s="219" t="s">
        <v>402</v>
      </c>
      <c r="B212" s="223" t="s">
        <v>415</v>
      </c>
      <c r="C212" s="223" t="s">
        <v>353</v>
      </c>
      <c r="D212" s="221">
        <v>140</v>
      </c>
      <c r="E212" s="222">
        <v>44677</v>
      </c>
      <c r="F212" s="234" t="s">
        <v>532</v>
      </c>
    </row>
    <row r="213" spans="1:6" ht="38.25" x14ac:dyDescent="0.25">
      <c r="A213" s="219" t="s">
        <v>411</v>
      </c>
      <c r="B213" s="223" t="s">
        <v>412</v>
      </c>
      <c r="C213" s="223" t="s">
        <v>279</v>
      </c>
      <c r="D213" s="221">
        <v>180</v>
      </c>
      <c r="E213" s="222">
        <v>44656</v>
      </c>
      <c r="F213" s="234" t="s">
        <v>413</v>
      </c>
    </row>
    <row r="214" spans="1:6" ht="30" x14ac:dyDescent="0.25">
      <c r="A214" s="219" t="s">
        <v>411</v>
      </c>
      <c r="B214" s="223" t="s">
        <v>412</v>
      </c>
      <c r="C214" s="223" t="s">
        <v>353</v>
      </c>
      <c r="D214" s="221">
        <v>140</v>
      </c>
      <c r="E214" s="222">
        <v>44656</v>
      </c>
      <c r="F214" s="234" t="s">
        <v>414</v>
      </c>
    </row>
    <row r="215" spans="1:6" ht="45" x14ac:dyDescent="0.25">
      <c r="A215" s="219" t="s">
        <v>525</v>
      </c>
      <c r="B215" s="223" t="s">
        <v>526</v>
      </c>
      <c r="C215" s="220" t="s">
        <v>419</v>
      </c>
      <c r="D215" s="221">
        <v>150</v>
      </c>
      <c r="E215" s="222">
        <v>44677</v>
      </c>
      <c r="F215" s="234" t="s">
        <v>533</v>
      </c>
    </row>
    <row r="216" spans="1:6" ht="38.25" x14ac:dyDescent="0.25">
      <c r="A216" s="219" t="s">
        <v>525</v>
      </c>
      <c r="B216" s="223" t="s">
        <v>527</v>
      </c>
      <c r="C216" s="223" t="s">
        <v>353</v>
      </c>
      <c r="D216" s="221">
        <v>150</v>
      </c>
      <c r="E216" s="222">
        <v>44677</v>
      </c>
      <c r="F216" s="234" t="s">
        <v>534</v>
      </c>
    </row>
    <row r="217" spans="1:6" x14ac:dyDescent="0.25">
      <c r="A217" s="248"/>
      <c r="B217" s="260"/>
      <c r="C217" s="248"/>
      <c r="D217" s="249"/>
      <c r="E217" s="250"/>
      <c r="F217" s="251"/>
    </row>
    <row r="218" spans="1:6" ht="15.75" thickBot="1" x14ac:dyDescent="0.3">
      <c r="A218" s="255"/>
      <c r="B218" s="256"/>
      <c r="C218" s="255"/>
      <c r="D218" s="257"/>
      <c r="E218" s="258"/>
      <c r="F218" s="259"/>
    </row>
    <row r="219" spans="1:6" ht="15.75" thickBot="1" x14ac:dyDescent="0.3">
      <c r="A219" s="375" t="s">
        <v>560</v>
      </c>
      <c r="B219" s="376"/>
      <c r="C219" s="376"/>
      <c r="D219" s="376"/>
      <c r="E219" s="376"/>
      <c r="F219" s="377"/>
    </row>
    <row r="220" spans="1:6" ht="45" x14ac:dyDescent="0.25">
      <c r="A220" s="214" t="s">
        <v>323</v>
      </c>
      <c r="B220" s="215" t="s">
        <v>324</v>
      </c>
      <c r="C220" s="215" t="s">
        <v>242</v>
      </c>
      <c r="D220" s="216" t="s">
        <v>546</v>
      </c>
      <c r="E220" s="217" t="s">
        <v>325</v>
      </c>
      <c r="F220" s="218" t="s">
        <v>326</v>
      </c>
    </row>
    <row r="221" spans="1:6" ht="45" x14ac:dyDescent="0.25">
      <c r="A221" s="264" t="s">
        <v>405</v>
      </c>
      <c r="B221" s="252" t="s">
        <v>526</v>
      </c>
      <c r="C221" s="267" t="s">
        <v>419</v>
      </c>
      <c r="D221" s="253">
        <v>150</v>
      </c>
      <c r="E221" s="254">
        <v>44677</v>
      </c>
      <c r="F221" s="265" t="s">
        <v>535</v>
      </c>
    </row>
    <row r="222" spans="1:6" ht="30" x14ac:dyDescent="0.25">
      <c r="A222" s="264" t="s">
        <v>405</v>
      </c>
      <c r="B222" s="252" t="s">
        <v>528</v>
      </c>
      <c r="C222" s="252" t="s">
        <v>353</v>
      </c>
      <c r="D222" s="253">
        <v>150</v>
      </c>
      <c r="E222" s="254">
        <v>44677</v>
      </c>
      <c r="F222" s="265" t="s">
        <v>536</v>
      </c>
    </row>
    <row r="223" spans="1:6" x14ac:dyDescent="0.25">
      <c r="A223" s="264"/>
      <c r="B223" s="252"/>
      <c r="C223" s="252"/>
      <c r="D223" s="253"/>
      <c r="E223" s="254"/>
      <c r="F223" s="265"/>
    </row>
    <row r="224" spans="1:6" ht="30" x14ac:dyDescent="0.25">
      <c r="A224" s="264" t="s">
        <v>405</v>
      </c>
      <c r="B224" s="252" t="s">
        <v>406</v>
      </c>
      <c r="C224" s="252" t="s">
        <v>279</v>
      </c>
      <c r="D224" s="253">
        <v>180</v>
      </c>
      <c r="E224" s="254">
        <v>44655</v>
      </c>
      <c r="F224" s="265" t="s">
        <v>407</v>
      </c>
    </row>
    <row r="225" spans="1:6" ht="30" x14ac:dyDescent="0.25">
      <c r="A225" s="264" t="s">
        <v>405</v>
      </c>
      <c r="B225" s="252" t="s">
        <v>406</v>
      </c>
      <c r="C225" s="252" t="s">
        <v>353</v>
      </c>
      <c r="D225" s="253">
        <v>140</v>
      </c>
      <c r="E225" s="254">
        <v>44655</v>
      </c>
      <c r="F225" s="265" t="s">
        <v>407</v>
      </c>
    </row>
    <row r="226" spans="1:6" ht="45" x14ac:dyDescent="0.25">
      <c r="A226" s="264" t="s">
        <v>405</v>
      </c>
      <c r="B226" s="252" t="s">
        <v>529</v>
      </c>
      <c r="C226" s="252" t="s">
        <v>279</v>
      </c>
      <c r="D226" s="253">
        <v>180</v>
      </c>
      <c r="E226" s="254">
        <v>44655</v>
      </c>
      <c r="F226" s="265" t="s">
        <v>408</v>
      </c>
    </row>
    <row r="227" spans="1:6" ht="15.75" thickBot="1" x14ac:dyDescent="0.3">
      <c r="A227" s="381" t="s">
        <v>438</v>
      </c>
      <c r="B227" s="382"/>
      <c r="C227" s="382"/>
      <c r="D227" s="382"/>
      <c r="E227" s="382"/>
      <c r="F227" s="383"/>
    </row>
    <row r="228" spans="1:6" ht="15.75" thickBot="1" x14ac:dyDescent="0.3">
      <c r="A228" s="378" t="s">
        <v>547</v>
      </c>
      <c r="B228" s="379"/>
      <c r="C228" s="379"/>
      <c r="D228" s="379"/>
      <c r="E228" s="379"/>
      <c r="F228" s="380"/>
    </row>
    <row r="230" spans="1:6" ht="15.75" thickBot="1" x14ac:dyDescent="0.3"/>
    <row r="231" spans="1:6" ht="15.75" thickBot="1" x14ac:dyDescent="0.3">
      <c r="A231" s="375" t="s">
        <v>561</v>
      </c>
      <c r="B231" s="376"/>
      <c r="C231" s="376"/>
      <c r="D231" s="376"/>
      <c r="E231" s="376"/>
      <c r="F231" s="377"/>
    </row>
    <row r="232" spans="1:6" ht="45" x14ac:dyDescent="0.25">
      <c r="A232" s="214" t="s">
        <v>323</v>
      </c>
      <c r="B232" s="215" t="s">
        <v>324</v>
      </c>
      <c r="C232" s="215" t="s">
        <v>242</v>
      </c>
      <c r="D232" s="216" t="s">
        <v>546</v>
      </c>
      <c r="E232" s="217" t="s">
        <v>325</v>
      </c>
      <c r="F232" s="218" t="s">
        <v>326</v>
      </c>
    </row>
    <row r="233" spans="1:6" ht="38.25" x14ac:dyDescent="0.25">
      <c r="A233" s="219" t="s">
        <v>417</v>
      </c>
      <c r="B233" s="223" t="s">
        <v>418</v>
      </c>
      <c r="C233" s="220" t="s">
        <v>419</v>
      </c>
      <c r="D233" s="221">
        <v>160</v>
      </c>
      <c r="E233" s="222">
        <v>44677</v>
      </c>
      <c r="F233" s="234" t="s">
        <v>539</v>
      </c>
    </row>
    <row r="234" spans="1:6" ht="38.25" x14ac:dyDescent="0.25">
      <c r="A234" s="219" t="s">
        <v>417</v>
      </c>
      <c r="B234" s="223" t="s">
        <v>418</v>
      </c>
      <c r="C234" s="220" t="s">
        <v>419</v>
      </c>
      <c r="D234" s="221">
        <v>130</v>
      </c>
      <c r="E234" s="222">
        <v>44655</v>
      </c>
      <c r="F234" s="234" t="s">
        <v>420</v>
      </c>
    </row>
    <row r="235" spans="1:6" ht="30" x14ac:dyDescent="0.25">
      <c r="A235" s="219" t="s">
        <v>417</v>
      </c>
      <c r="B235" s="223" t="s">
        <v>418</v>
      </c>
      <c r="C235" s="220" t="s">
        <v>419</v>
      </c>
      <c r="D235" s="221">
        <v>130</v>
      </c>
      <c r="E235" s="222">
        <v>44655</v>
      </c>
      <c r="F235" s="234"/>
    </row>
    <row r="236" spans="1:6" x14ac:dyDescent="0.25">
      <c r="A236" s="248"/>
      <c r="B236" s="260"/>
      <c r="C236" s="248"/>
      <c r="D236" s="249"/>
      <c r="E236" s="250"/>
      <c r="F236" s="251"/>
    </row>
    <row r="237" spans="1:6" ht="15.75" thickBot="1" x14ac:dyDescent="0.3">
      <c r="A237" s="255"/>
      <c r="B237" s="256"/>
      <c r="C237" s="255"/>
      <c r="D237" s="257"/>
      <c r="E237" s="258"/>
      <c r="F237" s="259"/>
    </row>
    <row r="238" spans="1:6" ht="15.75" thickBot="1" x14ac:dyDescent="0.3">
      <c r="A238" s="375" t="s">
        <v>573</v>
      </c>
      <c r="B238" s="376"/>
      <c r="C238" s="376"/>
      <c r="D238" s="376"/>
      <c r="E238" s="376"/>
      <c r="F238" s="377"/>
    </row>
    <row r="239" spans="1:6" ht="45" x14ac:dyDescent="0.25">
      <c r="A239" s="214" t="s">
        <v>323</v>
      </c>
      <c r="B239" s="215" t="s">
        <v>324</v>
      </c>
      <c r="C239" s="215" t="s">
        <v>242</v>
      </c>
      <c r="D239" s="216" t="s">
        <v>546</v>
      </c>
      <c r="E239" s="217" t="s">
        <v>325</v>
      </c>
      <c r="F239" s="218" t="s">
        <v>326</v>
      </c>
    </row>
    <row r="240" spans="1:6" ht="38.25" x14ac:dyDescent="0.25">
      <c r="A240" s="264" t="s">
        <v>417</v>
      </c>
      <c r="B240" s="252" t="s">
        <v>418</v>
      </c>
      <c r="C240" s="252" t="s">
        <v>279</v>
      </c>
      <c r="D240" s="253">
        <v>180</v>
      </c>
      <c r="E240" s="254">
        <v>44655</v>
      </c>
      <c r="F240" s="265" t="s">
        <v>420</v>
      </c>
    </row>
    <row r="241" spans="1:6" ht="30" x14ac:dyDescent="0.25">
      <c r="A241" s="264" t="s">
        <v>417</v>
      </c>
      <c r="B241" s="252" t="s">
        <v>418</v>
      </c>
      <c r="C241" s="252" t="s">
        <v>279</v>
      </c>
      <c r="D241" s="253">
        <v>180</v>
      </c>
      <c r="E241" s="254">
        <v>44655</v>
      </c>
      <c r="F241" s="265"/>
    </row>
    <row r="242" spans="1:6" ht="38.25" x14ac:dyDescent="0.25">
      <c r="A242" s="264" t="s">
        <v>417</v>
      </c>
      <c r="B242" s="252" t="s">
        <v>418</v>
      </c>
      <c r="C242" s="252" t="s">
        <v>353</v>
      </c>
      <c r="D242" s="253">
        <v>140</v>
      </c>
      <c r="E242" s="254">
        <v>44677</v>
      </c>
      <c r="F242" s="265" t="s">
        <v>540</v>
      </c>
    </row>
    <row r="243" spans="1:6" ht="38.25" x14ac:dyDescent="0.25">
      <c r="A243" s="264" t="s">
        <v>417</v>
      </c>
      <c r="B243" s="252" t="s">
        <v>418</v>
      </c>
      <c r="C243" s="252" t="s">
        <v>353</v>
      </c>
      <c r="D243" s="253">
        <v>130</v>
      </c>
      <c r="E243" s="254">
        <v>44655</v>
      </c>
      <c r="F243" s="265" t="s">
        <v>420</v>
      </c>
    </row>
    <row r="244" spans="1:6" ht="30" x14ac:dyDescent="0.25">
      <c r="A244" s="264" t="s">
        <v>417</v>
      </c>
      <c r="B244" s="252" t="s">
        <v>418</v>
      </c>
      <c r="C244" s="252" t="s">
        <v>353</v>
      </c>
      <c r="D244" s="253">
        <v>130</v>
      </c>
      <c r="E244" s="254">
        <v>44655</v>
      </c>
      <c r="F244" s="265"/>
    </row>
    <row r="245" spans="1:6" ht="30.75" thickBot="1" x14ac:dyDescent="0.3">
      <c r="A245" s="264" t="s">
        <v>537</v>
      </c>
      <c r="B245" s="252" t="s">
        <v>538</v>
      </c>
      <c r="C245" s="252" t="s">
        <v>353</v>
      </c>
      <c r="D245" s="253">
        <v>120</v>
      </c>
      <c r="E245" s="254">
        <v>44676</v>
      </c>
      <c r="F245" s="265"/>
    </row>
    <row r="246" spans="1:6" ht="15.75" thickBot="1" x14ac:dyDescent="0.3">
      <c r="A246" s="381" t="s">
        <v>438</v>
      </c>
      <c r="B246" s="382"/>
      <c r="C246" s="382"/>
      <c r="D246" s="382"/>
      <c r="E246" s="382"/>
      <c r="F246" s="383"/>
    </row>
    <row r="247" spans="1:6" ht="15.75" thickBot="1" x14ac:dyDescent="0.3">
      <c r="A247" s="378" t="s">
        <v>547</v>
      </c>
      <c r="B247" s="379"/>
      <c r="C247" s="379"/>
      <c r="D247" s="379"/>
      <c r="E247" s="379"/>
      <c r="F247" s="380"/>
    </row>
  </sheetData>
  <mergeCells count="29">
    <mergeCell ref="A247:F247"/>
    <mergeCell ref="A246:F246"/>
    <mergeCell ref="A231:F231"/>
    <mergeCell ref="A227:F227"/>
    <mergeCell ref="A1:F1"/>
    <mergeCell ref="A15:F15"/>
    <mergeCell ref="A61:F61"/>
    <mergeCell ref="A81:F81"/>
    <mergeCell ref="A24:F24"/>
    <mergeCell ref="A58:F58"/>
    <mergeCell ref="A11:F11"/>
    <mergeCell ref="A77:F77"/>
    <mergeCell ref="A199:F199"/>
    <mergeCell ref="A12:F12"/>
    <mergeCell ref="A57:F57"/>
    <mergeCell ref="A49:F49"/>
    <mergeCell ref="A219:F219"/>
    <mergeCell ref="A238:F238"/>
    <mergeCell ref="A72:F72"/>
    <mergeCell ref="A108:F108"/>
    <mergeCell ref="A128:F128"/>
    <mergeCell ref="A147:F147"/>
    <mergeCell ref="A165:F165"/>
    <mergeCell ref="A184:F184"/>
    <mergeCell ref="A91:F91"/>
    <mergeCell ref="A203:F203"/>
    <mergeCell ref="A78:F78"/>
    <mergeCell ref="A200:F200"/>
    <mergeCell ref="A228:F228"/>
  </mergeCells>
  <hyperlinks>
    <hyperlink ref="A12:F12" r:id="rId1" display="Esta información esta disponible en formato interactivo power bi" xr:uid="{D49663BF-EF6B-47A7-A881-9C914C69D863}"/>
    <hyperlink ref="A78:F78" r:id="rId2" display="Esta información esta disponible en formato interactivo power bi" xr:uid="{2FA2C850-54D1-4440-BB46-73F9A700F2B6}"/>
    <hyperlink ref="A200:F200" r:id="rId3" display="Esta información esta disponible en formato interactivo power bi" xr:uid="{571205B2-32AC-4E2D-A17E-79C0DA54C3B7}"/>
    <hyperlink ref="A228:F228" r:id="rId4" display="Esta información esta disponible en formato interactivo power bi" xr:uid="{05922413-7B79-4CDC-8B1F-FC0374368D91}"/>
    <hyperlink ref="A247:F247" r:id="rId5" display="Esta información esta disponible en formato interactivo power bi" xr:uid="{BFC2CA82-F21D-472B-9666-6907CFF31D90}"/>
    <hyperlink ref="A58:F58" r:id="rId6" display="Esta información esta disponible en formato interactivo power bi" xr:uid="{E17A66F9-DA20-49A2-93B2-9984A662655D}"/>
  </hyperlinks>
  <pageMargins left="0.7" right="0.7" top="0.75" bottom="0.75" header="0.3" footer="0.3"/>
  <pageSetup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BC76-F86D-4D49-BFB0-188E56D6F497}">
  <dimension ref="A1:N61"/>
  <sheetViews>
    <sheetView zoomScaleNormal="100" workbookViewId="0">
      <selection sqref="A1:N1"/>
    </sheetView>
  </sheetViews>
  <sheetFormatPr baseColWidth="10" defaultRowHeight="15" x14ac:dyDescent="0.25"/>
  <cols>
    <col min="1" max="13" width="8.42578125" customWidth="1"/>
    <col min="14" max="14" width="10.140625" customWidth="1"/>
  </cols>
  <sheetData>
    <row r="1" spans="1:14" x14ac:dyDescent="0.25">
      <c r="A1" s="387" t="s">
        <v>562</v>
      </c>
      <c r="B1" s="390"/>
      <c r="C1" s="390"/>
      <c r="D1" s="390"/>
      <c r="E1" s="390"/>
      <c r="F1" s="390"/>
      <c r="G1" s="390"/>
      <c r="H1" s="390"/>
      <c r="I1" s="390"/>
      <c r="J1" s="390"/>
      <c r="K1" s="390"/>
      <c r="L1" s="390"/>
      <c r="M1" s="390"/>
      <c r="N1" s="390"/>
    </row>
    <row r="2" spans="1:14" x14ac:dyDescent="0.25">
      <c r="A2" s="387" t="s">
        <v>303</v>
      </c>
      <c r="B2" s="390"/>
      <c r="C2" s="390"/>
      <c r="D2" s="390"/>
      <c r="E2" s="390"/>
      <c r="F2" s="390"/>
      <c r="G2" s="390"/>
      <c r="H2" s="390"/>
      <c r="I2" s="390"/>
      <c r="J2" s="390"/>
      <c r="K2" s="390"/>
      <c r="L2" s="390"/>
      <c r="M2" s="390"/>
      <c r="N2" s="390"/>
    </row>
    <row r="3" spans="1:14" x14ac:dyDescent="0.25">
      <c r="A3" s="387" t="s">
        <v>304</v>
      </c>
      <c r="B3" s="390"/>
      <c r="C3" s="390"/>
      <c r="D3" s="390"/>
      <c r="E3" s="390"/>
      <c r="F3" s="390"/>
      <c r="G3" s="390"/>
      <c r="H3" s="390"/>
      <c r="I3" s="390"/>
      <c r="J3" s="390"/>
      <c r="K3" s="390"/>
      <c r="L3" s="390"/>
      <c r="M3" s="390"/>
      <c r="N3" s="390"/>
    </row>
    <row r="4" spans="1:14" x14ac:dyDescent="0.25">
      <c r="A4" s="206" t="s">
        <v>305</v>
      </c>
      <c r="B4" s="206" t="s">
        <v>306</v>
      </c>
      <c r="C4" s="206" t="s">
        <v>307</v>
      </c>
      <c r="D4" s="206" t="s">
        <v>308</v>
      </c>
      <c r="E4" s="206" t="s">
        <v>309</v>
      </c>
      <c r="F4" s="206" t="s">
        <v>310</v>
      </c>
      <c r="G4" s="206" t="s">
        <v>311</v>
      </c>
      <c r="H4" s="206" t="s">
        <v>312</v>
      </c>
      <c r="I4" s="206" t="s">
        <v>313</v>
      </c>
      <c r="J4" s="206" t="s">
        <v>314</v>
      </c>
      <c r="K4" s="206" t="s">
        <v>315</v>
      </c>
      <c r="L4" s="206" t="s">
        <v>316</v>
      </c>
      <c r="M4" s="206" t="s">
        <v>317</v>
      </c>
      <c r="N4" s="206" t="s">
        <v>318</v>
      </c>
    </row>
    <row r="5" spans="1:14" x14ac:dyDescent="0.25">
      <c r="A5" s="207">
        <v>2018</v>
      </c>
      <c r="B5" s="212">
        <v>14500</v>
      </c>
      <c r="C5" s="212">
        <v>18000</v>
      </c>
      <c r="D5" s="212">
        <v>16000</v>
      </c>
      <c r="E5" s="212">
        <v>16000</v>
      </c>
      <c r="F5" s="212">
        <v>15000</v>
      </c>
      <c r="G5" s="212">
        <v>14000</v>
      </c>
      <c r="H5" s="212">
        <v>14500</v>
      </c>
      <c r="I5" s="212">
        <v>15000</v>
      </c>
      <c r="J5" s="212">
        <v>13500</v>
      </c>
      <c r="K5" s="212">
        <v>12000</v>
      </c>
      <c r="L5" s="212">
        <v>11000</v>
      </c>
      <c r="M5" s="212">
        <v>10000</v>
      </c>
      <c r="N5" s="212">
        <f>AVERAGE(B5:M5)</f>
        <v>14125</v>
      </c>
    </row>
    <row r="6" spans="1:14" x14ac:dyDescent="0.25">
      <c r="A6" s="207">
        <v>2019</v>
      </c>
      <c r="B6" s="212">
        <v>10500</v>
      </c>
      <c r="C6" s="212">
        <v>10000</v>
      </c>
      <c r="D6" s="212">
        <v>12000</v>
      </c>
      <c r="E6" s="212">
        <v>11000</v>
      </c>
      <c r="F6" s="212">
        <v>11000</v>
      </c>
      <c r="G6" s="212">
        <v>10500</v>
      </c>
      <c r="H6" s="212">
        <v>11000</v>
      </c>
      <c r="I6" s="212">
        <v>10000</v>
      </c>
      <c r="J6" s="212">
        <v>10000</v>
      </c>
      <c r="K6" s="212">
        <v>10000</v>
      </c>
      <c r="L6" s="212">
        <v>10000</v>
      </c>
      <c r="M6" s="212">
        <v>10000</v>
      </c>
      <c r="N6" s="212">
        <f t="shared" ref="N6:N9" si="0">AVERAGE(B6:M6)</f>
        <v>10500</v>
      </c>
    </row>
    <row r="7" spans="1:14" x14ac:dyDescent="0.25">
      <c r="A7" s="207">
        <v>2020</v>
      </c>
      <c r="B7" s="212">
        <v>10000</v>
      </c>
      <c r="C7" s="212">
        <v>9500</v>
      </c>
      <c r="D7" s="212">
        <v>9500</v>
      </c>
      <c r="E7" s="212">
        <v>9500</v>
      </c>
      <c r="F7" s="212">
        <v>10000</v>
      </c>
      <c r="G7" s="212">
        <v>10000</v>
      </c>
      <c r="H7" s="212">
        <v>9000</v>
      </c>
      <c r="I7" s="212">
        <v>11500</v>
      </c>
      <c r="J7" s="212">
        <v>11500</v>
      </c>
      <c r="K7" s="212">
        <v>11000</v>
      </c>
      <c r="L7" s="212">
        <v>10000</v>
      </c>
      <c r="M7" s="212">
        <v>10000</v>
      </c>
      <c r="N7" s="212">
        <f t="shared" si="0"/>
        <v>10125</v>
      </c>
    </row>
    <row r="8" spans="1:14" x14ac:dyDescent="0.25">
      <c r="A8" s="208">
        <v>2021</v>
      </c>
      <c r="B8" s="213">
        <v>9500</v>
      </c>
      <c r="C8" s="213">
        <v>9500</v>
      </c>
      <c r="D8" s="213">
        <v>10000</v>
      </c>
      <c r="E8" s="213">
        <v>10000</v>
      </c>
      <c r="F8" s="213">
        <v>10000</v>
      </c>
      <c r="G8" s="213">
        <v>10000</v>
      </c>
      <c r="H8" s="213">
        <v>10000</v>
      </c>
      <c r="I8" s="213">
        <v>12000</v>
      </c>
      <c r="J8" s="213">
        <v>12000</v>
      </c>
      <c r="K8" s="213">
        <v>12000</v>
      </c>
      <c r="L8" s="213">
        <v>12500</v>
      </c>
      <c r="M8" s="213">
        <v>12000</v>
      </c>
      <c r="N8" s="212">
        <f t="shared" si="0"/>
        <v>10791.666666666666</v>
      </c>
    </row>
    <row r="9" spans="1:14" x14ac:dyDescent="0.25">
      <c r="A9" s="208">
        <v>2022</v>
      </c>
      <c r="B9" s="213">
        <v>12000</v>
      </c>
      <c r="C9" s="213">
        <v>12000</v>
      </c>
      <c r="D9" s="213">
        <v>12000</v>
      </c>
      <c r="E9" s="213">
        <v>11000</v>
      </c>
      <c r="F9" s="213">
        <v>12000</v>
      </c>
      <c r="G9" s="213">
        <v>12000</v>
      </c>
      <c r="H9" s="213">
        <v>12500</v>
      </c>
      <c r="I9" s="213">
        <v>12000</v>
      </c>
      <c r="J9" s="213">
        <v>12000</v>
      </c>
      <c r="K9" s="213">
        <v>11500</v>
      </c>
      <c r="L9" s="213">
        <v>11000</v>
      </c>
      <c r="M9" s="213">
        <v>10500</v>
      </c>
      <c r="N9" s="212">
        <f t="shared" si="0"/>
        <v>11708.333333333334</v>
      </c>
    </row>
    <row r="10" spans="1:14" x14ac:dyDescent="0.25">
      <c r="A10" s="391" t="s">
        <v>319</v>
      </c>
      <c r="B10" s="392" t="s">
        <v>320</v>
      </c>
      <c r="C10" s="392" t="s">
        <v>320</v>
      </c>
      <c r="D10" s="392" t="s">
        <v>320</v>
      </c>
      <c r="E10" s="392" t="s">
        <v>320</v>
      </c>
      <c r="F10" s="392" t="s">
        <v>320</v>
      </c>
      <c r="G10" s="392" t="s">
        <v>320</v>
      </c>
      <c r="H10" s="392" t="s">
        <v>320</v>
      </c>
      <c r="I10" s="392" t="s">
        <v>320</v>
      </c>
      <c r="J10" s="392" t="s">
        <v>320</v>
      </c>
      <c r="K10" s="392" t="s">
        <v>320</v>
      </c>
      <c r="L10" s="392" t="s">
        <v>320</v>
      </c>
      <c r="M10" s="392" t="s">
        <v>320</v>
      </c>
      <c r="N10" s="393" t="s">
        <v>320</v>
      </c>
    </row>
    <row r="11" spans="1:14" x14ac:dyDescent="0.25">
      <c r="A11" s="209"/>
      <c r="B11" s="210"/>
      <c r="C11" s="210"/>
      <c r="D11" s="210"/>
      <c r="E11" s="210"/>
      <c r="F11" s="210"/>
      <c r="G11" s="210"/>
      <c r="H11" s="210"/>
      <c r="I11" s="210"/>
      <c r="J11" s="210"/>
      <c r="K11" s="210"/>
      <c r="L11" s="210"/>
      <c r="M11" s="210"/>
      <c r="N11" s="210"/>
    </row>
    <row r="12" spans="1:14" x14ac:dyDescent="0.25">
      <c r="A12" s="209"/>
      <c r="B12" s="210"/>
      <c r="C12" s="210"/>
      <c r="D12" s="210"/>
      <c r="E12" s="210"/>
      <c r="F12" s="210"/>
      <c r="G12" s="210"/>
      <c r="H12" s="210"/>
      <c r="I12" s="210"/>
      <c r="J12" s="210"/>
      <c r="K12" s="210"/>
      <c r="L12" s="210"/>
      <c r="M12" s="210"/>
      <c r="N12" s="210"/>
    </row>
    <row r="13" spans="1:14" x14ac:dyDescent="0.25">
      <c r="A13" s="209"/>
      <c r="B13" s="210"/>
      <c r="C13" s="210"/>
      <c r="D13" s="210"/>
      <c r="E13" s="210"/>
      <c r="F13" s="210"/>
      <c r="G13" s="210"/>
      <c r="H13" s="210"/>
      <c r="I13" s="210"/>
      <c r="J13" s="210"/>
      <c r="K13" s="210"/>
      <c r="L13" s="210"/>
      <c r="M13" s="210"/>
      <c r="N13" s="210"/>
    </row>
    <row r="14" spans="1:14" x14ac:dyDescent="0.25">
      <c r="A14" s="209"/>
      <c r="B14" s="210"/>
      <c r="C14" s="210"/>
      <c r="D14" s="210"/>
      <c r="E14" s="210"/>
      <c r="F14" s="210"/>
      <c r="G14" s="210"/>
      <c r="H14" s="210"/>
      <c r="I14" s="210"/>
      <c r="J14" s="210"/>
      <c r="K14" s="210"/>
      <c r="L14" s="210"/>
      <c r="M14" s="210"/>
      <c r="N14" s="210"/>
    </row>
    <row r="15" spans="1:14" x14ac:dyDescent="0.25">
      <c r="A15" s="209"/>
      <c r="B15" s="210"/>
      <c r="C15" s="210"/>
      <c r="D15" s="210"/>
      <c r="E15" s="210"/>
      <c r="F15" s="210"/>
      <c r="G15" s="210"/>
      <c r="H15" s="210"/>
      <c r="I15" s="210"/>
      <c r="J15" s="210"/>
      <c r="K15" s="210"/>
      <c r="L15" s="210"/>
      <c r="M15" s="210"/>
      <c r="N15" s="210"/>
    </row>
    <row r="16" spans="1:14" x14ac:dyDescent="0.25">
      <c r="A16" s="209"/>
      <c r="B16" s="210"/>
      <c r="C16" s="210"/>
      <c r="D16" s="210"/>
      <c r="E16" s="210"/>
      <c r="F16" s="210"/>
      <c r="G16" s="210"/>
      <c r="H16" s="210"/>
      <c r="I16" s="210"/>
      <c r="J16" s="210"/>
      <c r="K16" s="210"/>
      <c r="L16" s="210"/>
      <c r="M16" s="210"/>
      <c r="N16" s="210"/>
    </row>
    <row r="17" spans="1:14" x14ac:dyDescent="0.25">
      <c r="A17" s="211"/>
      <c r="B17" s="211"/>
      <c r="C17" s="211"/>
      <c r="D17" s="211"/>
      <c r="E17" s="211"/>
      <c r="F17" s="211"/>
      <c r="G17" s="211"/>
      <c r="H17" s="211"/>
      <c r="I17" s="211"/>
      <c r="J17" s="211"/>
      <c r="K17" s="211"/>
      <c r="L17" s="211"/>
      <c r="M17" s="211"/>
      <c r="N17" s="211"/>
    </row>
    <row r="18" spans="1:14" x14ac:dyDescent="0.25">
      <c r="A18" s="387" t="s">
        <v>563</v>
      </c>
      <c r="B18" s="387"/>
      <c r="C18" s="387"/>
      <c r="D18" s="387"/>
      <c r="E18" s="387"/>
      <c r="F18" s="387"/>
      <c r="G18" s="387"/>
      <c r="H18" s="387"/>
      <c r="I18" s="387"/>
      <c r="J18" s="387"/>
      <c r="K18" s="387"/>
      <c r="L18" s="387"/>
      <c r="M18" s="387"/>
      <c r="N18" s="387"/>
    </row>
    <row r="19" spans="1:14" x14ac:dyDescent="0.25">
      <c r="A19" s="387" t="s">
        <v>303</v>
      </c>
      <c r="B19" s="387"/>
      <c r="C19" s="387"/>
      <c r="D19" s="387"/>
      <c r="E19" s="387"/>
      <c r="F19" s="387"/>
      <c r="G19" s="387"/>
      <c r="H19" s="387"/>
      <c r="I19" s="387"/>
      <c r="J19" s="387"/>
      <c r="K19" s="387"/>
      <c r="L19" s="387"/>
      <c r="M19" s="387"/>
      <c r="N19" s="387"/>
    </row>
    <row r="20" spans="1:14" x14ac:dyDescent="0.25">
      <c r="A20" s="387" t="s">
        <v>304</v>
      </c>
      <c r="B20" s="387"/>
      <c r="C20" s="387"/>
      <c r="D20" s="387"/>
      <c r="E20" s="387"/>
      <c r="F20" s="387"/>
      <c r="G20" s="387"/>
      <c r="H20" s="387"/>
      <c r="I20" s="387"/>
      <c r="J20" s="387"/>
      <c r="K20" s="387"/>
      <c r="L20" s="387"/>
      <c r="M20" s="387"/>
      <c r="N20" s="387"/>
    </row>
    <row r="21" spans="1:14" x14ac:dyDescent="0.25">
      <c r="A21" s="206" t="s">
        <v>305</v>
      </c>
      <c r="B21" s="206" t="s">
        <v>306</v>
      </c>
      <c r="C21" s="206" t="s">
        <v>307</v>
      </c>
      <c r="D21" s="206" t="s">
        <v>308</v>
      </c>
      <c r="E21" s="206" t="s">
        <v>309</v>
      </c>
      <c r="F21" s="206" t="s">
        <v>310</v>
      </c>
      <c r="G21" s="206" t="s">
        <v>311</v>
      </c>
      <c r="H21" s="206" t="s">
        <v>312</v>
      </c>
      <c r="I21" s="206" t="s">
        <v>313</v>
      </c>
      <c r="J21" s="206" t="s">
        <v>314</v>
      </c>
      <c r="K21" s="206" t="s">
        <v>315</v>
      </c>
      <c r="L21" s="206" t="s">
        <v>316</v>
      </c>
      <c r="M21" s="206" t="s">
        <v>317</v>
      </c>
      <c r="N21" s="206" t="s">
        <v>318</v>
      </c>
    </row>
    <row r="22" spans="1:14" x14ac:dyDescent="0.25">
      <c r="A22" s="207">
        <v>2018</v>
      </c>
      <c r="B22" s="212">
        <v>22500</v>
      </c>
      <c r="C22" s="212">
        <v>24000</v>
      </c>
      <c r="D22" s="212">
        <v>22500</v>
      </c>
      <c r="E22" s="212">
        <v>22000</v>
      </c>
      <c r="F22" s="212">
        <v>22500</v>
      </c>
      <c r="G22" s="212">
        <v>22000</v>
      </c>
      <c r="H22" s="212">
        <v>22000</v>
      </c>
      <c r="I22" s="212">
        <v>21000</v>
      </c>
      <c r="J22" s="212">
        <v>19500</v>
      </c>
      <c r="K22" s="212">
        <v>18000</v>
      </c>
      <c r="L22" s="212">
        <v>17000</v>
      </c>
      <c r="M22" s="212">
        <v>15000</v>
      </c>
      <c r="N22" s="212">
        <f>AVERAGE(B22:M22)</f>
        <v>20666.666666666668</v>
      </c>
    </row>
    <row r="23" spans="1:14" x14ac:dyDescent="0.25">
      <c r="A23" s="207">
        <v>2019</v>
      </c>
      <c r="B23" s="212">
        <v>16000</v>
      </c>
      <c r="C23" s="212">
        <v>14000</v>
      </c>
      <c r="D23" s="212">
        <v>15000</v>
      </c>
      <c r="E23" s="212">
        <v>14750</v>
      </c>
      <c r="F23" s="212">
        <v>14750</v>
      </c>
      <c r="G23" s="212">
        <v>14000</v>
      </c>
      <c r="H23" s="212">
        <v>14000</v>
      </c>
      <c r="I23" s="212">
        <v>14000</v>
      </c>
      <c r="J23" s="212">
        <v>14000</v>
      </c>
      <c r="K23" s="212">
        <v>14000</v>
      </c>
      <c r="L23" s="212">
        <v>14000</v>
      </c>
      <c r="M23" s="212">
        <v>14000</v>
      </c>
      <c r="N23" s="212">
        <f t="shared" ref="N23:N26" si="1">AVERAGE(B23:M23)</f>
        <v>14375</v>
      </c>
    </row>
    <row r="24" spans="1:14" x14ac:dyDescent="0.25">
      <c r="A24" s="207">
        <v>2020</v>
      </c>
      <c r="B24" s="212">
        <v>14000</v>
      </c>
      <c r="C24" s="212">
        <v>13500</v>
      </c>
      <c r="D24" s="212">
        <v>13500</v>
      </c>
      <c r="E24" s="212">
        <v>14000</v>
      </c>
      <c r="F24" s="212">
        <v>14000</v>
      </c>
      <c r="G24" s="212">
        <v>14000</v>
      </c>
      <c r="H24" s="212">
        <v>13000</v>
      </c>
      <c r="I24" s="212">
        <v>15000</v>
      </c>
      <c r="J24" s="212">
        <v>15500</v>
      </c>
      <c r="K24" s="212">
        <v>15000</v>
      </c>
      <c r="L24" s="212">
        <v>15000</v>
      </c>
      <c r="M24" s="212">
        <v>16000</v>
      </c>
      <c r="N24" s="212">
        <f t="shared" si="1"/>
        <v>14375</v>
      </c>
    </row>
    <row r="25" spans="1:14" x14ac:dyDescent="0.25">
      <c r="A25" s="208">
        <v>2021</v>
      </c>
      <c r="B25" s="213">
        <v>13000</v>
      </c>
      <c r="C25" s="213">
        <v>14000</v>
      </c>
      <c r="D25" s="213">
        <v>16000</v>
      </c>
      <c r="E25" s="213">
        <v>16000</v>
      </c>
      <c r="F25" s="213">
        <v>16000</v>
      </c>
      <c r="G25" s="213">
        <v>15500</v>
      </c>
      <c r="H25" s="213">
        <v>16000</v>
      </c>
      <c r="I25" s="213">
        <v>17500</v>
      </c>
      <c r="J25" s="213">
        <v>19000</v>
      </c>
      <c r="K25" s="213">
        <v>17500</v>
      </c>
      <c r="L25" s="213">
        <v>17000</v>
      </c>
      <c r="M25" s="213">
        <v>17500</v>
      </c>
      <c r="N25" s="212">
        <f t="shared" si="1"/>
        <v>16250</v>
      </c>
    </row>
    <row r="26" spans="1:14" x14ac:dyDescent="0.25">
      <c r="A26" s="208">
        <v>2022</v>
      </c>
      <c r="B26" s="213">
        <v>19000</v>
      </c>
      <c r="C26" s="213">
        <v>17500</v>
      </c>
      <c r="D26" s="213">
        <v>17000</v>
      </c>
      <c r="E26" s="213">
        <v>17000</v>
      </c>
      <c r="F26" s="213">
        <v>17500</v>
      </c>
      <c r="G26" s="213">
        <v>17500</v>
      </c>
      <c r="H26" s="213">
        <v>18000</v>
      </c>
      <c r="I26" s="213">
        <v>17500</v>
      </c>
      <c r="J26" s="213">
        <v>17000</v>
      </c>
      <c r="K26" s="213">
        <v>17000</v>
      </c>
      <c r="L26" s="213">
        <v>17000</v>
      </c>
      <c r="M26" s="213">
        <v>17000</v>
      </c>
      <c r="N26" s="212">
        <f t="shared" si="1"/>
        <v>17416.666666666668</v>
      </c>
    </row>
    <row r="27" spans="1:14" x14ac:dyDescent="0.25">
      <c r="A27" s="384" t="s">
        <v>321</v>
      </c>
      <c r="B27" s="385" t="s">
        <v>320</v>
      </c>
      <c r="C27" s="385" t="s">
        <v>320</v>
      </c>
      <c r="D27" s="385" t="s">
        <v>320</v>
      </c>
      <c r="E27" s="385" t="s">
        <v>320</v>
      </c>
      <c r="F27" s="385" t="s">
        <v>320</v>
      </c>
      <c r="G27" s="385" t="s">
        <v>320</v>
      </c>
      <c r="H27" s="385" t="s">
        <v>320</v>
      </c>
      <c r="I27" s="385" t="s">
        <v>320</v>
      </c>
      <c r="J27" s="385" t="s">
        <v>320</v>
      </c>
      <c r="K27" s="385" t="s">
        <v>320</v>
      </c>
      <c r="L27" s="385" t="s">
        <v>320</v>
      </c>
      <c r="M27" s="385" t="s">
        <v>320</v>
      </c>
      <c r="N27" s="386" t="s">
        <v>320</v>
      </c>
    </row>
    <row r="28" spans="1:14" x14ac:dyDescent="0.25">
      <c r="A28" s="209"/>
      <c r="B28" s="210"/>
      <c r="C28" s="210"/>
      <c r="D28" s="210"/>
      <c r="E28" s="210"/>
      <c r="F28" s="210"/>
      <c r="G28" s="210"/>
      <c r="H28" s="210"/>
      <c r="I28" s="210"/>
      <c r="J28" s="210"/>
      <c r="K28" s="210"/>
      <c r="L28" s="210"/>
      <c r="M28" s="210"/>
      <c r="N28" s="210"/>
    </row>
    <row r="29" spans="1:14" x14ac:dyDescent="0.25">
      <c r="A29" s="209"/>
      <c r="B29" s="210"/>
      <c r="C29" s="210"/>
      <c r="D29" s="210"/>
      <c r="E29" s="210"/>
      <c r="F29" s="210"/>
      <c r="G29" s="210"/>
      <c r="H29" s="210"/>
      <c r="I29" s="210"/>
      <c r="J29" s="210"/>
      <c r="K29" s="210"/>
      <c r="L29" s="210"/>
      <c r="M29" s="210"/>
      <c r="N29" s="210"/>
    </row>
    <row r="30" spans="1:14" x14ac:dyDescent="0.25">
      <c r="A30" s="209"/>
      <c r="B30" s="210"/>
      <c r="C30" s="210"/>
      <c r="D30" s="210"/>
      <c r="E30" s="210"/>
      <c r="F30" s="210"/>
      <c r="G30" s="210"/>
      <c r="H30" s="210"/>
      <c r="I30" s="210"/>
      <c r="J30" s="210"/>
      <c r="K30" s="210"/>
      <c r="L30" s="210"/>
      <c r="M30" s="210"/>
      <c r="N30" s="210"/>
    </row>
    <row r="31" spans="1:14" x14ac:dyDescent="0.25">
      <c r="A31" s="209"/>
      <c r="B31" s="210"/>
      <c r="C31" s="210"/>
      <c r="D31" s="210"/>
      <c r="E31" s="210"/>
      <c r="F31" s="210"/>
      <c r="G31" s="210"/>
      <c r="H31" s="210"/>
      <c r="I31" s="210"/>
      <c r="J31" s="210"/>
      <c r="K31" s="210"/>
      <c r="L31" s="210"/>
      <c r="M31" s="210"/>
      <c r="N31" s="210"/>
    </row>
    <row r="32" spans="1:14" x14ac:dyDescent="0.25">
      <c r="A32" s="209"/>
      <c r="B32" s="210"/>
      <c r="C32" s="210"/>
      <c r="D32" s="210"/>
      <c r="E32" s="210"/>
      <c r="F32" s="210"/>
      <c r="G32" s="210"/>
      <c r="H32" s="210"/>
      <c r="I32" s="210"/>
      <c r="J32" s="210"/>
      <c r="K32" s="210"/>
      <c r="L32" s="210"/>
      <c r="M32" s="210"/>
      <c r="N32" s="210"/>
    </row>
    <row r="33" spans="1:14" x14ac:dyDescent="0.25">
      <c r="A33" s="209"/>
      <c r="B33" s="210"/>
      <c r="C33" s="210"/>
      <c r="D33" s="210"/>
      <c r="E33" s="210"/>
      <c r="F33" s="210"/>
      <c r="G33" s="210"/>
      <c r="H33" s="210"/>
      <c r="I33" s="210"/>
      <c r="J33" s="210"/>
      <c r="K33" s="210"/>
      <c r="L33" s="210"/>
      <c r="M33" s="210"/>
      <c r="N33" s="210"/>
    </row>
    <row r="34" spans="1:14" x14ac:dyDescent="0.25">
      <c r="A34" s="394"/>
      <c r="B34" s="394"/>
      <c r="C34" s="394"/>
      <c r="D34" s="394"/>
      <c r="E34" s="394"/>
      <c r="F34" s="394"/>
      <c r="G34" s="394"/>
      <c r="H34" s="394"/>
      <c r="I34" s="394"/>
      <c r="J34" s="394"/>
      <c r="K34" s="394"/>
      <c r="L34" s="394"/>
      <c r="M34" s="394"/>
      <c r="N34" s="394"/>
    </row>
    <row r="35" spans="1:14" x14ac:dyDescent="0.25">
      <c r="A35" s="387" t="s">
        <v>564</v>
      </c>
      <c r="B35" s="387"/>
      <c r="C35" s="387"/>
      <c r="D35" s="387"/>
      <c r="E35" s="387"/>
      <c r="F35" s="387"/>
      <c r="G35" s="387"/>
      <c r="H35" s="387"/>
      <c r="I35" s="387"/>
      <c r="J35" s="387"/>
      <c r="K35" s="387"/>
      <c r="L35" s="387"/>
      <c r="M35" s="387"/>
      <c r="N35" s="387"/>
    </row>
    <row r="36" spans="1:14" x14ac:dyDescent="0.25">
      <c r="A36" s="387" t="s">
        <v>303</v>
      </c>
      <c r="B36" s="387"/>
      <c r="C36" s="387"/>
      <c r="D36" s="387"/>
      <c r="E36" s="387"/>
      <c r="F36" s="387"/>
      <c r="G36" s="387"/>
      <c r="H36" s="387"/>
      <c r="I36" s="387"/>
      <c r="J36" s="387"/>
      <c r="K36" s="387"/>
      <c r="L36" s="387"/>
      <c r="M36" s="387"/>
      <c r="N36" s="387"/>
    </row>
    <row r="37" spans="1:14" x14ac:dyDescent="0.25">
      <c r="A37" s="387" t="s">
        <v>304</v>
      </c>
      <c r="B37" s="387"/>
      <c r="C37" s="387"/>
      <c r="D37" s="387"/>
      <c r="E37" s="387"/>
      <c r="F37" s="387"/>
      <c r="G37" s="387"/>
      <c r="H37" s="387"/>
      <c r="I37" s="387"/>
      <c r="J37" s="387"/>
      <c r="K37" s="387"/>
      <c r="L37" s="387"/>
      <c r="M37" s="387"/>
      <c r="N37" s="387"/>
    </row>
    <row r="38" spans="1:14" x14ac:dyDescent="0.25">
      <c r="A38" s="206" t="s">
        <v>305</v>
      </c>
      <c r="B38" s="206" t="s">
        <v>306</v>
      </c>
      <c r="C38" s="206" t="s">
        <v>307</v>
      </c>
      <c r="D38" s="206" t="s">
        <v>308</v>
      </c>
      <c r="E38" s="206" t="s">
        <v>309</v>
      </c>
      <c r="F38" s="206" t="s">
        <v>310</v>
      </c>
      <c r="G38" s="206" t="s">
        <v>311</v>
      </c>
      <c r="H38" s="206" t="s">
        <v>312</v>
      </c>
      <c r="I38" s="206" t="s">
        <v>313</v>
      </c>
      <c r="J38" s="206" t="s">
        <v>314</v>
      </c>
      <c r="K38" s="206" t="s">
        <v>315</v>
      </c>
      <c r="L38" s="206" t="s">
        <v>316</v>
      </c>
      <c r="M38" s="206" t="s">
        <v>317</v>
      </c>
      <c r="N38" s="206" t="s">
        <v>318</v>
      </c>
    </row>
    <row r="39" spans="1:14" x14ac:dyDescent="0.25">
      <c r="A39" s="207">
        <v>2018</v>
      </c>
      <c r="B39" s="212">
        <v>14000</v>
      </c>
      <c r="C39" s="212">
        <v>15000</v>
      </c>
      <c r="D39" s="212">
        <v>13000</v>
      </c>
      <c r="E39" s="212">
        <v>13000</v>
      </c>
      <c r="F39" s="212">
        <v>13000</v>
      </c>
      <c r="G39" s="212">
        <v>13000</v>
      </c>
      <c r="H39" s="212">
        <v>13000</v>
      </c>
      <c r="I39" s="212">
        <v>11000</v>
      </c>
      <c r="J39" s="212">
        <v>9000</v>
      </c>
      <c r="K39" s="212">
        <v>8500</v>
      </c>
      <c r="L39" s="212">
        <v>8500</v>
      </c>
      <c r="M39" s="212">
        <v>7500</v>
      </c>
      <c r="N39" s="212">
        <f>AVERAGE(B39:M39)</f>
        <v>11541.666666666666</v>
      </c>
    </row>
    <row r="40" spans="1:14" x14ac:dyDescent="0.25">
      <c r="A40" s="207">
        <v>2019</v>
      </c>
      <c r="B40" s="212">
        <v>8000</v>
      </c>
      <c r="C40" s="212">
        <v>7500</v>
      </c>
      <c r="D40" s="212">
        <v>9000</v>
      </c>
      <c r="E40" s="212">
        <v>8000</v>
      </c>
      <c r="F40" s="212">
        <v>8000</v>
      </c>
      <c r="G40" s="212">
        <v>8500</v>
      </c>
      <c r="H40" s="212">
        <v>8500</v>
      </c>
      <c r="I40" s="212">
        <v>8500</v>
      </c>
      <c r="J40" s="212">
        <v>8000</v>
      </c>
      <c r="K40" s="212">
        <v>8500</v>
      </c>
      <c r="L40" s="212">
        <v>8000</v>
      </c>
      <c r="M40" s="212">
        <v>8000</v>
      </c>
      <c r="N40" s="212">
        <f t="shared" ref="N40:N43" si="2">AVERAGE(B40:M40)</f>
        <v>8208.3333333333339</v>
      </c>
    </row>
    <row r="41" spans="1:14" x14ac:dyDescent="0.25">
      <c r="A41" s="207">
        <v>2020</v>
      </c>
      <c r="B41" s="212">
        <v>7500</v>
      </c>
      <c r="C41" s="212">
        <v>8000</v>
      </c>
      <c r="D41" s="212">
        <v>8000</v>
      </c>
      <c r="E41" s="212">
        <v>8500</v>
      </c>
      <c r="F41" s="212">
        <v>8000</v>
      </c>
      <c r="G41" s="212">
        <v>8000</v>
      </c>
      <c r="H41" s="212">
        <v>8500</v>
      </c>
      <c r="I41" s="212">
        <v>8500</v>
      </c>
      <c r="J41" s="212">
        <v>9000</v>
      </c>
      <c r="K41" s="212">
        <v>9500</v>
      </c>
      <c r="L41" s="212">
        <v>9000</v>
      </c>
      <c r="M41" s="212">
        <v>9000</v>
      </c>
      <c r="N41" s="212">
        <f t="shared" si="2"/>
        <v>8458.3333333333339</v>
      </c>
    </row>
    <row r="42" spans="1:14" x14ac:dyDescent="0.25">
      <c r="A42" s="208">
        <v>2021</v>
      </c>
      <c r="B42" s="213">
        <v>9000</v>
      </c>
      <c r="C42" s="213">
        <v>9000</v>
      </c>
      <c r="D42" s="213">
        <v>8000</v>
      </c>
      <c r="E42" s="213">
        <v>8000</v>
      </c>
      <c r="F42" s="213">
        <v>9000</v>
      </c>
      <c r="G42" s="213">
        <v>9500</v>
      </c>
      <c r="H42" s="213">
        <v>10000</v>
      </c>
      <c r="I42" s="213">
        <v>10500</v>
      </c>
      <c r="J42" s="213">
        <v>12000</v>
      </c>
      <c r="K42" s="213">
        <v>11000</v>
      </c>
      <c r="L42" s="213">
        <v>18000</v>
      </c>
      <c r="M42" s="213">
        <v>16500</v>
      </c>
      <c r="N42" s="212">
        <f t="shared" si="2"/>
        <v>10875</v>
      </c>
    </row>
    <row r="43" spans="1:14" x14ac:dyDescent="0.25">
      <c r="A43" s="208">
        <v>2022</v>
      </c>
      <c r="B43" s="213">
        <v>16000</v>
      </c>
      <c r="C43" s="213">
        <v>14000</v>
      </c>
      <c r="D43" s="213">
        <v>11000</v>
      </c>
      <c r="E43" s="213">
        <v>10000</v>
      </c>
      <c r="F43" s="213">
        <v>11000</v>
      </c>
      <c r="G43" s="213">
        <v>11000</v>
      </c>
      <c r="H43" s="213">
        <v>11000</v>
      </c>
      <c r="I43" s="213">
        <v>10500</v>
      </c>
      <c r="J43" s="213">
        <v>11000</v>
      </c>
      <c r="K43" s="213">
        <v>10500</v>
      </c>
      <c r="L43" s="213">
        <v>10000</v>
      </c>
      <c r="M43" s="213">
        <v>9500</v>
      </c>
      <c r="N43" s="212">
        <f t="shared" si="2"/>
        <v>11291.666666666666</v>
      </c>
    </row>
    <row r="44" spans="1:14" x14ac:dyDescent="0.25">
      <c r="A44" s="384" t="s">
        <v>321</v>
      </c>
      <c r="B44" s="385" t="s">
        <v>320</v>
      </c>
      <c r="C44" s="385" t="s">
        <v>320</v>
      </c>
      <c r="D44" s="385" t="s">
        <v>320</v>
      </c>
      <c r="E44" s="385" t="s">
        <v>320</v>
      </c>
      <c r="F44" s="385" t="s">
        <v>320</v>
      </c>
      <c r="G44" s="385" t="s">
        <v>320</v>
      </c>
      <c r="H44" s="385" t="s">
        <v>320</v>
      </c>
      <c r="I44" s="385" t="s">
        <v>320</v>
      </c>
      <c r="J44" s="385" t="s">
        <v>320</v>
      </c>
      <c r="K44" s="385" t="s">
        <v>320</v>
      </c>
      <c r="L44" s="385" t="s">
        <v>320</v>
      </c>
      <c r="M44" s="385" t="s">
        <v>320</v>
      </c>
      <c r="N44" s="386" t="s">
        <v>320</v>
      </c>
    </row>
    <row r="45" spans="1:14" x14ac:dyDescent="0.25">
      <c r="A45" s="209"/>
      <c r="B45" s="210"/>
      <c r="C45" s="210"/>
      <c r="D45" s="210"/>
      <c r="E45" s="210"/>
      <c r="F45" s="210"/>
      <c r="G45" s="210"/>
      <c r="H45" s="210"/>
      <c r="I45" s="210"/>
      <c r="J45" s="210"/>
      <c r="K45" s="210"/>
      <c r="L45" s="210"/>
      <c r="M45" s="210"/>
      <c r="N45" s="210"/>
    </row>
    <row r="46" spans="1:14" x14ac:dyDescent="0.25">
      <c r="A46" s="209"/>
      <c r="B46" s="210"/>
      <c r="C46" s="210"/>
      <c r="D46" s="210"/>
      <c r="E46" s="210"/>
      <c r="F46" s="210"/>
      <c r="G46" s="210"/>
      <c r="H46" s="210"/>
      <c r="I46" s="210"/>
      <c r="J46" s="210"/>
      <c r="K46" s="210"/>
      <c r="L46" s="210"/>
      <c r="M46" s="210"/>
      <c r="N46" s="210"/>
    </row>
    <row r="47" spans="1:14" x14ac:dyDescent="0.25">
      <c r="A47" s="209"/>
      <c r="B47" s="210"/>
      <c r="C47" s="210"/>
      <c r="D47" s="210"/>
      <c r="E47" s="210"/>
      <c r="F47" s="210"/>
      <c r="G47" s="210"/>
      <c r="H47" s="210"/>
      <c r="I47" s="210"/>
      <c r="J47" s="210"/>
      <c r="K47" s="210"/>
      <c r="L47" s="210"/>
      <c r="M47" s="210"/>
      <c r="N47" s="210"/>
    </row>
    <row r="48" spans="1:14" x14ac:dyDescent="0.25">
      <c r="A48" s="209"/>
      <c r="B48" s="210"/>
      <c r="C48" s="210"/>
      <c r="D48" s="210"/>
      <c r="E48" s="210"/>
      <c r="F48" s="210"/>
      <c r="G48" s="210"/>
      <c r="H48" s="210"/>
      <c r="I48" s="210"/>
      <c r="J48" s="210"/>
      <c r="K48" s="210"/>
      <c r="L48" s="210"/>
      <c r="M48" s="210"/>
      <c r="N48" s="210"/>
    </row>
    <row r="49" spans="1:14" x14ac:dyDescent="0.25">
      <c r="A49" s="209"/>
      <c r="B49" s="210"/>
      <c r="C49" s="210"/>
      <c r="D49" s="210"/>
      <c r="E49" s="210"/>
      <c r="F49" s="210"/>
      <c r="G49" s="210"/>
      <c r="H49" s="210"/>
      <c r="I49" s="210"/>
      <c r="J49" s="210"/>
      <c r="K49" s="210"/>
      <c r="L49" s="210"/>
      <c r="M49" s="210"/>
      <c r="N49" s="210"/>
    </row>
    <row r="50" spans="1:14" x14ac:dyDescent="0.25">
      <c r="A50" s="209"/>
      <c r="B50" s="210"/>
      <c r="C50" s="210"/>
      <c r="D50" s="210"/>
      <c r="E50" s="210"/>
      <c r="F50" s="210"/>
      <c r="G50" s="210"/>
      <c r="H50" s="210"/>
      <c r="I50" s="210"/>
      <c r="J50" s="210"/>
      <c r="K50" s="210"/>
      <c r="L50" s="210"/>
      <c r="M50" s="210"/>
      <c r="N50" s="210"/>
    </row>
    <row r="51" spans="1:14" x14ac:dyDescent="0.25">
      <c r="A51" s="211"/>
      <c r="B51" s="211"/>
      <c r="C51" s="211"/>
      <c r="D51" s="211"/>
      <c r="E51" s="211"/>
      <c r="F51" s="211"/>
      <c r="G51" s="211"/>
      <c r="H51" s="211"/>
      <c r="I51" s="211"/>
      <c r="J51" s="211"/>
      <c r="K51" s="211"/>
      <c r="L51" s="211"/>
      <c r="M51" s="211"/>
      <c r="N51" s="211"/>
    </row>
    <row r="52" spans="1:14" x14ac:dyDescent="0.25">
      <c r="A52" s="387" t="s">
        <v>565</v>
      </c>
      <c r="B52" s="387"/>
      <c r="C52" s="387"/>
      <c r="D52" s="387"/>
      <c r="E52" s="387"/>
      <c r="F52" s="387"/>
      <c r="G52" s="387"/>
      <c r="H52" s="387"/>
      <c r="I52" s="387"/>
      <c r="J52" s="387"/>
      <c r="K52" s="387"/>
      <c r="L52" s="387"/>
      <c r="M52" s="387"/>
      <c r="N52" s="387"/>
    </row>
    <row r="53" spans="1:14" x14ac:dyDescent="0.25">
      <c r="A53" s="387" t="s">
        <v>303</v>
      </c>
      <c r="B53" s="387"/>
      <c r="C53" s="387"/>
      <c r="D53" s="387"/>
      <c r="E53" s="387"/>
      <c r="F53" s="387"/>
      <c r="G53" s="387"/>
      <c r="H53" s="387"/>
      <c r="I53" s="387"/>
      <c r="J53" s="387"/>
      <c r="K53" s="387"/>
      <c r="L53" s="387"/>
      <c r="M53" s="387"/>
      <c r="N53" s="387"/>
    </row>
    <row r="54" spans="1:14" x14ac:dyDescent="0.25">
      <c r="A54" s="387" t="s">
        <v>304</v>
      </c>
      <c r="B54" s="387"/>
      <c r="C54" s="387"/>
      <c r="D54" s="387"/>
      <c r="E54" s="387"/>
      <c r="F54" s="387"/>
      <c r="G54" s="387"/>
      <c r="H54" s="387"/>
      <c r="I54" s="387"/>
      <c r="J54" s="387"/>
      <c r="K54" s="387"/>
      <c r="L54" s="387"/>
      <c r="M54" s="387"/>
      <c r="N54" s="387"/>
    </row>
    <row r="55" spans="1:14" x14ac:dyDescent="0.25">
      <c r="A55" s="206" t="s">
        <v>305</v>
      </c>
      <c r="B55" s="206" t="s">
        <v>306</v>
      </c>
      <c r="C55" s="206" t="s">
        <v>307</v>
      </c>
      <c r="D55" s="206" t="s">
        <v>308</v>
      </c>
      <c r="E55" s="206" t="s">
        <v>309</v>
      </c>
      <c r="F55" s="206" t="s">
        <v>310</v>
      </c>
      <c r="G55" s="206" t="s">
        <v>311</v>
      </c>
      <c r="H55" s="206" t="s">
        <v>312</v>
      </c>
      <c r="I55" s="206" t="s">
        <v>313</v>
      </c>
      <c r="J55" s="206" t="s">
        <v>314</v>
      </c>
      <c r="K55" s="206" t="s">
        <v>315</v>
      </c>
      <c r="L55" s="206" t="s">
        <v>316</v>
      </c>
      <c r="M55" s="206" t="s">
        <v>317</v>
      </c>
      <c r="N55" s="206" t="s">
        <v>318</v>
      </c>
    </row>
    <row r="56" spans="1:14" x14ac:dyDescent="0.25">
      <c r="A56" s="207">
        <v>2018</v>
      </c>
      <c r="B56" s="212">
        <v>18000</v>
      </c>
      <c r="C56" s="212">
        <v>18500</v>
      </c>
      <c r="D56" s="212">
        <v>20000</v>
      </c>
      <c r="E56" s="212">
        <v>20000</v>
      </c>
      <c r="F56" s="212">
        <v>19000</v>
      </c>
      <c r="G56" s="212">
        <v>18000</v>
      </c>
      <c r="H56" s="212">
        <v>17500</v>
      </c>
      <c r="I56" s="212">
        <v>17500</v>
      </c>
      <c r="J56" s="212">
        <v>13000</v>
      </c>
      <c r="K56" s="212">
        <v>14000</v>
      </c>
      <c r="L56" s="212">
        <v>14000</v>
      </c>
      <c r="M56" s="212">
        <v>12500</v>
      </c>
      <c r="N56" s="212">
        <f>AVERAGE(B56:M56)</f>
        <v>16833.333333333332</v>
      </c>
    </row>
    <row r="57" spans="1:14" x14ac:dyDescent="0.25">
      <c r="A57" s="207">
        <v>2019</v>
      </c>
      <c r="B57" s="212">
        <v>13000</v>
      </c>
      <c r="C57" s="212">
        <v>12000</v>
      </c>
      <c r="D57" s="212">
        <v>12500</v>
      </c>
      <c r="E57" s="212">
        <v>12000</v>
      </c>
      <c r="F57" s="212">
        <v>12000</v>
      </c>
      <c r="G57" s="212">
        <v>12000</v>
      </c>
      <c r="H57" s="212">
        <v>11500</v>
      </c>
      <c r="I57" s="212">
        <v>11500</v>
      </c>
      <c r="J57" s="212">
        <v>9000</v>
      </c>
      <c r="K57" s="212">
        <v>12000</v>
      </c>
      <c r="L57" s="212">
        <v>11000</v>
      </c>
      <c r="M57" s="212">
        <v>11000</v>
      </c>
      <c r="N57" s="212">
        <f t="shared" ref="N57:N60" si="3">AVERAGE(B57:M57)</f>
        <v>11625</v>
      </c>
    </row>
    <row r="58" spans="1:14" x14ac:dyDescent="0.25">
      <c r="A58" s="207">
        <v>2020</v>
      </c>
      <c r="B58" s="212">
        <v>10000</v>
      </c>
      <c r="C58" s="212">
        <v>12000</v>
      </c>
      <c r="D58" s="212">
        <v>12000</v>
      </c>
      <c r="E58" s="212">
        <v>12500</v>
      </c>
      <c r="F58" s="212">
        <v>12500</v>
      </c>
      <c r="G58" s="212">
        <v>12000</v>
      </c>
      <c r="H58" s="212">
        <v>12000</v>
      </c>
      <c r="I58" s="212">
        <v>16000</v>
      </c>
      <c r="J58" s="212">
        <v>16000</v>
      </c>
      <c r="K58" s="212">
        <v>14000</v>
      </c>
      <c r="L58" s="212">
        <v>15000</v>
      </c>
      <c r="M58" s="212">
        <v>19000</v>
      </c>
      <c r="N58" s="212">
        <f t="shared" si="3"/>
        <v>13583.333333333334</v>
      </c>
    </row>
    <row r="59" spans="1:14" x14ac:dyDescent="0.25">
      <c r="A59" s="208">
        <v>2021</v>
      </c>
      <c r="B59" s="213">
        <v>14500</v>
      </c>
      <c r="C59" s="213">
        <v>16000</v>
      </c>
      <c r="D59" s="213">
        <v>16000</v>
      </c>
      <c r="E59" s="213">
        <v>16000</v>
      </c>
      <c r="F59" s="213">
        <v>19000</v>
      </c>
      <c r="G59" s="213">
        <v>19000</v>
      </c>
      <c r="H59" s="213">
        <v>19000</v>
      </c>
      <c r="I59" s="213">
        <v>19000</v>
      </c>
      <c r="J59" s="213">
        <v>18000</v>
      </c>
      <c r="K59" s="213">
        <v>20000</v>
      </c>
      <c r="L59" s="213">
        <v>24000</v>
      </c>
      <c r="M59" s="213">
        <v>24000</v>
      </c>
      <c r="N59" s="212">
        <f t="shared" si="3"/>
        <v>18708.333333333332</v>
      </c>
    </row>
    <row r="60" spans="1:14" x14ac:dyDescent="0.25">
      <c r="A60" s="208">
        <v>2022</v>
      </c>
      <c r="B60" s="213">
        <v>24000</v>
      </c>
      <c r="C60" s="213">
        <v>24000</v>
      </c>
      <c r="D60" s="213">
        <v>23000</v>
      </c>
      <c r="E60" s="213">
        <v>23000</v>
      </c>
      <c r="F60" s="213">
        <v>22000</v>
      </c>
      <c r="G60" s="213">
        <v>22000</v>
      </c>
      <c r="H60" s="213">
        <v>25000</v>
      </c>
      <c r="I60" s="213">
        <v>24500</v>
      </c>
      <c r="J60" s="213">
        <v>22000</v>
      </c>
      <c r="K60" s="213">
        <v>23000</v>
      </c>
      <c r="L60" s="213">
        <v>24500</v>
      </c>
      <c r="M60" s="213">
        <v>22000</v>
      </c>
      <c r="N60" s="212">
        <f t="shared" si="3"/>
        <v>23250</v>
      </c>
    </row>
    <row r="61" spans="1:14" x14ac:dyDescent="0.25">
      <c r="A61" s="388" t="s">
        <v>322</v>
      </c>
      <c r="B61" s="389" t="s">
        <v>320</v>
      </c>
      <c r="C61" s="389" t="s">
        <v>320</v>
      </c>
      <c r="D61" s="389" t="s">
        <v>320</v>
      </c>
      <c r="E61" s="389" t="s">
        <v>320</v>
      </c>
      <c r="F61" s="389" t="s">
        <v>320</v>
      </c>
      <c r="G61" s="389" t="s">
        <v>320</v>
      </c>
      <c r="H61" s="389" t="s">
        <v>320</v>
      </c>
      <c r="I61" s="389" t="s">
        <v>320</v>
      </c>
      <c r="J61" s="389" t="s">
        <v>320</v>
      </c>
      <c r="K61" s="389" t="s">
        <v>320</v>
      </c>
      <c r="L61" s="389" t="s">
        <v>320</v>
      </c>
      <c r="M61" s="389" t="s">
        <v>320</v>
      </c>
      <c r="N61" s="389" t="s">
        <v>320</v>
      </c>
    </row>
  </sheetData>
  <mergeCells count="17">
    <mergeCell ref="A37:N37"/>
    <mergeCell ref="A1:N1"/>
    <mergeCell ref="A2:N2"/>
    <mergeCell ref="A3:N3"/>
    <mergeCell ref="A10:N10"/>
    <mergeCell ref="A18:N18"/>
    <mergeCell ref="A19:N19"/>
    <mergeCell ref="A20:N20"/>
    <mergeCell ref="A27:N27"/>
    <mergeCell ref="A34:N34"/>
    <mergeCell ref="A35:N35"/>
    <mergeCell ref="A36:N36"/>
    <mergeCell ref="A44:N44"/>
    <mergeCell ref="A52:N52"/>
    <mergeCell ref="A53:N53"/>
    <mergeCell ref="A54:N54"/>
    <mergeCell ref="A61:N61"/>
  </mergeCells>
  <pageMargins left="0.7" right="0.7" top="0.75" bottom="0.75" header="0.3" footer="0.3"/>
  <pageSetup orientation="landscape" r:id="rId1"/>
  <ignoredErrors>
    <ignoredError sqref="N22 N5:N9 N23:N26 N39:N43 N56:N6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heetViews>
  <sheetFormatPr baseColWidth="10" defaultColWidth="11.42578125" defaultRowHeight="15" x14ac:dyDescent="0.25"/>
  <sheetData>
    <row r="6" spans="4:4" ht="21" x14ac:dyDescent="0.35">
      <c r="D6" s="9" t="s">
        <v>1</v>
      </c>
    </row>
    <row r="7" spans="4:4" ht="21" x14ac:dyDescent="0.35">
      <c r="D7" s="9" t="s">
        <v>593</v>
      </c>
    </row>
    <row r="8" spans="4:4" ht="21" x14ac:dyDescent="0.35">
      <c r="D8" s="9"/>
    </row>
    <row r="11" spans="4:4" x14ac:dyDescent="0.25">
      <c r="D11" s="8" t="s">
        <v>296</v>
      </c>
    </row>
    <row r="16" spans="4:4" ht="15.75" x14ac:dyDescent="0.25">
      <c r="D16" s="6" t="s">
        <v>2</v>
      </c>
    </row>
    <row r="17" spans="4:7" ht="15.75" x14ac:dyDescent="0.25">
      <c r="D17" s="6" t="s">
        <v>3</v>
      </c>
      <c r="G17" t="s">
        <v>4</v>
      </c>
    </row>
    <row r="22" spans="4:7" x14ac:dyDescent="0.25">
      <c r="D22" s="8" t="s">
        <v>295</v>
      </c>
    </row>
    <row r="23" spans="4:7" x14ac:dyDescent="0.25">
      <c r="D23" s="8" t="s">
        <v>594</v>
      </c>
    </row>
    <row r="33" spans="1:4" x14ac:dyDescent="0.25">
      <c r="D33" s="7" t="s">
        <v>5</v>
      </c>
    </row>
    <row r="40" spans="1:4" x14ac:dyDescent="0.25">
      <c r="A40" s="4" t="s">
        <v>6</v>
      </c>
    </row>
    <row r="41" spans="1:4" x14ac:dyDescent="0.25">
      <c r="A41" s="4" t="s">
        <v>7</v>
      </c>
    </row>
    <row r="42" spans="1:4" x14ac:dyDescent="0.25">
      <c r="A42" s="4" t="s">
        <v>8</v>
      </c>
    </row>
    <row r="43" spans="1:4" x14ac:dyDescent="0.25">
      <c r="A43" s="5" t="s">
        <v>9</v>
      </c>
    </row>
  </sheetData>
  <phoneticPr fontId="58" type="noConversion"/>
  <pageMargins left="0.70866141732283472" right="0.70866141732283472" top="0.74803149606299213"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36"/>
  <sheetViews>
    <sheetView zoomScale="80" zoomScaleNormal="80" workbookViewId="0">
      <selection sqref="A1:M1"/>
    </sheetView>
  </sheetViews>
  <sheetFormatPr baseColWidth="10" defaultColWidth="11.42578125" defaultRowHeight="15" x14ac:dyDescent="0.25"/>
  <cols>
    <col min="1" max="1" width="12.28515625" customWidth="1"/>
    <col min="2" max="3" width="9.85546875" bestFit="1" customWidth="1"/>
    <col min="4" max="4" width="9.28515625" bestFit="1" customWidth="1"/>
    <col min="5" max="5" width="8.140625" bestFit="1" customWidth="1"/>
    <col min="6" max="6" width="10" bestFit="1" customWidth="1"/>
    <col min="7" max="7" width="12" bestFit="1" customWidth="1"/>
    <col min="8" max="8" width="7.42578125" bestFit="1" customWidth="1"/>
    <col min="9" max="9" width="7.140625" bestFit="1" customWidth="1"/>
    <col min="10" max="10" width="9.28515625" bestFit="1" customWidth="1"/>
    <col min="11" max="12" width="9.85546875" bestFit="1" customWidth="1"/>
    <col min="13" max="13" width="10.5703125" bestFit="1" customWidth="1"/>
  </cols>
  <sheetData>
    <row r="1" spans="1:14" x14ac:dyDescent="0.25">
      <c r="A1" s="400" t="s">
        <v>575</v>
      </c>
      <c r="B1" s="400"/>
      <c r="C1" s="400"/>
      <c r="D1" s="400"/>
      <c r="E1" s="400"/>
      <c r="F1" s="400"/>
      <c r="G1" s="400"/>
      <c r="H1" s="400"/>
      <c r="I1" s="400"/>
      <c r="J1" s="400"/>
      <c r="K1" s="400"/>
      <c r="L1" s="400"/>
      <c r="M1" s="400"/>
    </row>
    <row r="2" spans="1:14" x14ac:dyDescent="0.25">
      <c r="A2" s="398" t="s">
        <v>236</v>
      </c>
      <c r="B2" s="398" t="s">
        <v>237</v>
      </c>
      <c r="C2" s="398"/>
      <c r="D2" s="399" t="s">
        <v>229</v>
      </c>
      <c r="E2" s="398" t="s">
        <v>238</v>
      </c>
      <c r="F2" s="398"/>
      <c r="G2" s="399" t="s">
        <v>229</v>
      </c>
      <c r="H2" s="398" t="s">
        <v>239</v>
      </c>
      <c r="I2" s="398"/>
      <c r="J2" s="399" t="s">
        <v>229</v>
      </c>
      <c r="K2" s="398" t="s">
        <v>204</v>
      </c>
      <c r="L2" s="398"/>
      <c r="M2" s="399" t="s">
        <v>229</v>
      </c>
    </row>
    <row r="3" spans="1:14" x14ac:dyDescent="0.25">
      <c r="A3" s="398"/>
      <c r="B3" s="123">
        <v>2021</v>
      </c>
      <c r="C3" s="123">
        <v>2022</v>
      </c>
      <c r="D3" s="399"/>
      <c r="E3" s="123">
        <v>2021</v>
      </c>
      <c r="F3" s="123">
        <v>2022</v>
      </c>
      <c r="G3" s="399"/>
      <c r="H3" s="123">
        <v>2021</v>
      </c>
      <c r="I3" s="123">
        <v>2022</v>
      </c>
      <c r="J3" s="399"/>
      <c r="K3" s="123">
        <v>2021</v>
      </c>
      <c r="L3" s="123">
        <v>2022</v>
      </c>
      <c r="M3" s="399"/>
    </row>
    <row r="4" spans="1:14" x14ac:dyDescent="0.25">
      <c r="A4" s="123" t="s">
        <v>211</v>
      </c>
      <c r="B4" s="153"/>
      <c r="C4" s="153"/>
      <c r="D4" s="154"/>
      <c r="E4" s="155"/>
      <c r="F4" s="155">
        <v>6.923</v>
      </c>
      <c r="G4" s="156"/>
      <c r="H4" s="153"/>
      <c r="I4" s="153"/>
      <c r="J4" s="154"/>
      <c r="K4" s="157">
        <f>B4+E4+H4</f>
        <v>0</v>
      </c>
      <c r="L4" s="157">
        <f>C4+F4+I4</f>
        <v>6.923</v>
      </c>
      <c r="M4" s="156"/>
    </row>
    <row r="5" spans="1:14" x14ac:dyDescent="0.25">
      <c r="A5" s="123" t="s">
        <v>212</v>
      </c>
      <c r="B5" s="153"/>
      <c r="C5" s="153"/>
      <c r="D5" s="154"/>
      <c r="E5" s="155"/>
      <c r="F5" s="155"/>
      <c r="G5" s="156"/>
      <c r="H5" s="153"/>
      <c r="I5" s="153"/>
      <c r="J5" s="154"/>
      <c r="K5" s="157">
        <f t="shared" ref="K5:K16" si="0">B5+E5+H5</f>
        <v>0</v>
      </c>
      <c r="L5" s="157">
        <f t="shared" ref="L5:L17" si="1">C5+F5+I5</f>
        <v>0</v>
      </c>
      <c r="M5" s="156"/>
    </row>
    <row r="6" spans="1:14" x14ac:dyDescent="0.25">
      <c r="A6" s="123" t="s">
        <v>213</v>
      </c>
      <c r="B6" s="155">
        <v>99.45</v>
      </c>
      <c r="C6" s="155">
        <v>21.36</v>
      </c>
      <c r="D6" s="158">
        <f t="shared" ref="D6:D14" si="2">C6/B6-1</f>
        <v>-0.78521870286576168</v>
      </c>
      <c r="E6" s="155">
        <v>9.3940000000000001</v>
      </c>
      <c r="F6" s="155">
        <v>16.46</v>
      </c>
      <c r="G6" s="156">
        <f t="shared" ref="G6:G17" si="3">F6/E6-1</f>
        <v>0.7521822439855228</v>
      </c>
      <c r="H6" s="155"/>
      <c r="I6" s="155"/>
      <c r="J6" s="159"/>
      <c r="K6" s="157">
        <f t="shared" si="0"/>
        <v>108.84400000000001</v>
      </c>
      <c r="L6" s="157">
        <f t="shared" si="1"/>
        <v>37.82</v>
      </c>
      <c r="M6" s="156">
        <f t="shared" ref="M6:M17" si="4">L6/K6-1</f>
        <v>-0.65253022674653627</v>
      </c>
    </row>
    <row r="7" spans="1:14" x14ac:dyDescent="0.25">
      <c r="A7" s="123" t="s">
        <v>214</v>
      </c>
      <c r="B7" s="155">
        <v>68816.739000000001</v>
      </c>
      <c r="C7" s="155">
        <v>41402.750999999997</v>
      </c>
      <c r="D7" s="158">
        <f t="shared" si="2"/>
        <v>-0.39836220661371358</v>
      </c>
      <c r="E7" s="155">
        <v>22855.514999999999</v>
      </c>
      <c r="F7" s="155">
        <v>14208.344999999999</v>
      </c>
      <c r="G7" s="156">
        <f t="shared" si="3"/>
        <v>-0.37834063244691707</v>
      </c>
      <c r="H7" s="155"/>
      <c r="I7" s="155"/>
      <c r="J7" s="159"/>
      <c r="K7" s="157">
        <f t="shared" si="0"/>
        <v>91672.254000000001</v>
      </c>
      <c r="L7" s="157">
        <f t="shared" si="1"/>
        <v>55611.095999999998</v>
      </c>
      <c r="M7" s="156">
        <f t="shared" si="4"/>
        <v>-0.39337047390587776</v>
      </c>
    </row>
    <row r="8" spans="1:14" x14ac:dyDescent="0.25">
      <c r="A8" s="123" t="s">
        <v>215</v>
      </c>
      <c r="B8" s="155">
        <v>28301.289000000001</v>
      </c>
      <c r="C8" s="155">
        <v>18024.266</v>
      </c>
      <c r="D8" s="158">
        <f t="shared" si="2"/>
        <v>-0.36312914934722584</v>
      </c>
      <c r="E8" s="155">
        <v>388.05099999999999</v>
      </c>
      <c r="F8" s="155">
        <v>633.83799999999997</v>
      </c>
      <c r="G8" s="156">
        <f t="shared" si="3"/>
        <v>0.63338839482439169</v>
      </c>
      <c r="H8" s="155">
        <v>2206.2109999999998</v>
      </c>
      <c r="I8" s="155">
        <v>900.8</v>
      </c>
      <c r="J8" s="156">
        <f>I8/H8-1</f>
        <v>-0.59169816486274429</v>
      </c>
      <c r="K8" s="157">
        <f t="shared" si="0"/>
        <v>30895.550999999999</v>
      </c>
      <c r="L8" s="157">
        <f t="shared" si="1"/>
        <v>19558.903999999999</v>
      </c>
      <c r="M8" s="156">
        <f t="shared" si="4"/>
        <v>-0.366934611394372</v>
      </c>
    </row>
    <row r="9" spans="1:14" x14ac:dyDescent="0.25">
      <c r="A9" s="123" t="s">
        <v>216</v>
      </c>
      <c r="B9" s="155">
        <v>89762.387000000002</v>
      </c>
      <c r="C9" s="155">
        <v>88719.278000000006</v>
      </c>
      <c r="D9" s="158">
        <f t="shared" si="2"/>
        <v>-1.1620780539180586E-2</v>
      </c>
      <c r="E9" s="155">
        <v>7104.7120000000004</v>
      </c>
      <c r="F9" s="155">
        <v>7069.0860000000002</v>
      </c>
      <c r="G9" s="156">
        <f t="shared" si="3"/>
        <v>-5.0144185999376756E-3</v>
      </c>
      <c r="H9" s="155">
        <v>31207.537</v>
      </c>
      <c r="I9" s="155">
        <v>7013.1390000000001</v>
      </c>
      <c r="J9" s="156">
        <f t="shared" ref="J9:J17" si="5">I9/H9-1</f>
        <v>-0.77527419097508399</v>
      </c>
      <c r="K9" s="157">
        <f t="shared" si="0"/>
        <v>128074.636</v>
      </c>
      <c r="L9" s="157">
        <f t="shared" si="1"/>
        <v>102801.503</v>
      </c>
      <c r="M9" s="156">
        <f t="shared" si="4"/>
        <v>-0.19733128892125062</v>
      </c>
    </row>
    <row r="10" spans="1:14" x14ac:dyDescent="0.25">
      <c r="A10" s="124" t="s">
        <v>283</v>
      </c>
      <c r="B10" s="155">
        <v>389190.67099999997</v>
      </c>
      <c r="C10" s="155">
        <v>387739.962</v>
      </c>
      <c r="D10" s="158">
        <f t="shared" si="2"/>
        <v>-3.727501988350479E-3</v>
      </c>
      <c r="E10" s="155">
        <v>34543.222999999998</v>
      </c>
      <c r="F10" s="155">
        <v>25018.638999999999</v>
      </c>
      <c r="G10" s="156">
        <f t="shared" si="3"/>
        <v>-0.27572945350235556</v>
      </c>
      <c r="H10" s="155">
        <v>18600.508999999998</v>
      </c>
      <c r="I10" s="155">
        <v>7348.9030000000002</v>
      </c>
      <c r="J10" s="156">
        <f t="shared" si="5"/>
        <v>-0.6049085000845944</v>
      </c>
      <c r="K10" s="157">
        <f t="shared" si="0"/>
        <v>442334.40299999999</v>
      </c>
      <c r="L10" s="157">
        <f t="shared" si="1"/>
        <v>420107.50400000002</v>
      </c>
      <c r="M10" s="156">
        <f t="shared" si="4"/>
        <v>-5.0249084966606072E-2</v>
      </c>
    </row>
    <row r="11" spans="1:14" x14ac:dyDescent="0.25">
      <c r="A11" s="123" t="s">
        <v>218</v>
      </c>
      <c r="B11" s="155">
        <v>508788.636</v>
      </c>
      <c r="C11" s="155">
        <v>495490.86499999999</v>
      </c>
      <c r="D11" s="158">
        <f t="shared" si="2"/>
        <v>-2.6136139958912175E-2</v>
      </c>
      <c r="E11" s="155">
        <v>100544.579</v>
      </c>
      <c r="F11" s="155">
        <v>125859.788</v>
      </c>
      <c r="G11" s="156">
        <f t="shared" si="3"/>
        <v>0.25178094385377059</v>
      </c>
      <c r="H11" s="155">
        <v>14044.012000000001</v>
      </c>
      <c r="I11" s="155">
        <v>3035</v>
      </c>
      <c r="J11" s="156">
        <f t="shared" si="5"/>
        <v>-0.78389366229536117</v>
      </c>
      <c r="K11" s="157">
        <f t="shared" si="0"/>
        <v>623377.22699999996</v>
      </c>
      <c r="L11" s="157">
        <f t="shared" si="1"/>
        <v>624385.65299999993</v>
      </c>
      <c r="M11" s="156">
        <f t="shared" si="4"/>
        <v>1.6176818085784639E-3</v>
      </c>
      <c r="N11" s="172"/>
    </row>
    <row r="12" spans="1:14" x14ac:dyDescent="0.25">
      <c r="A12" s="123" t="s">
        <v>219</v>
      </c>
      <c r="B12" s="155">
        <v>3537.78</v>
      </c>
      <c r="C12" s="155">
        <v>3827.0610000000001</v>
      </c>
      <c r="D12" s="158">
        <f t="shared" si="2"/>
        <v>8.1769075521937573E-2</v>
      </c>
      <c r="E12" s="155">
        <v>21683.562000000002</v>
      </c>
      <c r="F12" s="155">
        <v>17686.093000000001</v>
      </c>
      <c r="G12" s="156">
        <f t="shared" si="3"/>
        <v>-0.18435481218445571</v>
      </c>
      <c r="H12" s="155">
        <v>828.60500000000002</v>
      </c>
      <c r="I12" s="155">
        <v>0</v>
      </c>
      <c r="J12" s="156"/>
      <c r="K12" s="157">
        <f t="shared" si="0"/>
        <v>26049.947</v>
      </c>
      <c r="L12" s="157">
        <f t="shared" si="1"/>
        <v>21513.154000000002</v>
      </c>
      <c r="M12" s="156">
        <f t="shared" si="4"/>
        <v>-0.17415747525321257</v>
      </c>
      <c r="N12" s="172"/>
    </row>
    <row r="13" spans="1:14" x14ac:dyDescent="0.25">
      <c r="A13" s="123" t="s">
        <v>220</v>
      </c>
      <c r="B13" s="155">
        <v>699.60500000000002</v>
      </c>
      <c r="C13" s="155">
        <v>249.42500000000001</v>
      </c>
      <c r="D13" s="158">
        <f t="shared" si="2"/>
        <v>-0.64347739081338751</v>
      </c>
      <c r="E13" s="155">
        <v>317.75400000000002</v>
      </c>
      <c r="F13" s="155">
        <v>82.876000000000005</v>
      </c>
      <c r="G13" s="156">
        <f t="shared" si="3"/>
        <v>-0.7391818828401846</v>
      </c>
      <c r="H13" s="155">
        <v>6</v>
      </c>
      <c r="I13" s="155">
        <v>0</v>
      </c>
      <c r="J13" s="156"/>
      <c r="K13" s="157">
        <f t="shared" si="0"/>
        <v>1023.359</v>
      </c>
      <c r="L13" s="157">
        <f t="shared" si="1"/>
        <v>332.30100000000004</v>
      </c>
      <c r="M13" s="156">
        <f t="shared" si="4"/>
        <v>-0.67528404010713738</v>
      </c>
      <c r="N13" s="79"/>
    </row>
    <row r="14" spans="1:14" x14ac:dyDescent="0.25">
      <c r="A14" s="123" t="s">
        <v>221</v>
      </c>
      <c r="B14" s="155">
        <v>129.35</v>
      </c>
      <c r="C14" s="155">
        <v>6.99</v>
      </c>
      <c r="D14" s="158">
        <f t="shared" si="2"/>
        <v>-0.9459605720912253</v>
      </c>
      <c r="E14" s="160">
        <v>0.2</v>
      </c>
      <c r="F14" s="160">
        <v>2.2799999999999998</v>
      </c>
      <c r="G14" s="156"/>
      <c r="H14" s="155"/>
      <c r="I14" s="155"/>
      <c r="J14" s="156"/>
      <c r="K14" s="157">
        <f t="shared" si="0"/>
        <v>129.54999999999998</v>
      </c>
      <c r="L14" s="157">
        <f t="shared" si="1"/>
        <v>9.27</v>
      </c>
      <c r="M14" s="156">
        <f t="shared" si="4"/>
        <v>-0.92844461597838668</v>
      </c>
      <c r="N14" s="172"/>
    </row>
    <row r="15" spans="1:14" x14ac:dyDescent="0.25">
      <c r="A15" s="124" t="s">
        <v>240</v>
      </c>
      <c r="B15" s="155"/>
      <c r="C15" s="155"/>
      <c r="D15" s="158"/>
      <c r="E15" s="155"/>
      <c r="F15" s="155"/>
      <c r="G15" s="156"/>
      <c r="H15" s="155"/>
      <c r="I15" s="155"/>
      <c r="J15" s="156"/>
      <c r="K15" s="157">
        <f t="shared" si="0"/>
        <v>0</v>
      </c>
      <c r="L15" s="157">
        <f t="shared" si="1"/>
        <v>0</v>
      </c>
      <c r="M15" s="156"/>
    </row>
    <row r="16" spans="1:14" x14ac:dyDescent="0.25">
      <c r="A16" s="123" t="s">
        <v>222</v>
      </c>
      <c r="B16" s="155">
        <v>31.946000000000002</v>
      </c>
      <c r="C16" s="155">
        <v>4.25</v>
      </c>
      <c r="D16" s="158"/>
      <c r="E16" s="155">
        <v>0.97</v>
      </c>
      <c r="F16" s="155">
        <v>1.603</v>
      </c>
      <c r="G16" s="156">
        <f t="shared" si="3"/>
        <v>0.65257731958762899</v>
      </c>
      <c r="H16" s="155"/>
      <c r="I16" s="155"/>
      <c r="J16" s="156"/>
      <c r="K16" s="157">
        <f t="shared" si="0"/>
        <v>32.916000000000004</v>
      </c>
      <c r="L16" s="157">
        <f t="shared" si="1"/>
        <v>5.8529999999999998</v>
      </c>
      <c r="M16" s="156">
        <f t="shared" si="4"/>
        <v>-0.82218374043018594</v>
      </c>
    </row>
    <row r="17" spans="1:13" x14ac:dyDescent="0.25">
      <c r="A17" s="125" t="s">
        <v>204</v>
      </c>
      <c r="B17" s="157">
        <f>SUM(B4:B16)</f>
        <v>1089357.8530000001</v>
      </c>
      <c r="C17" s="157">
        <f>SUM(C4:C16)</f>
        <v>1035486.208</v>
      </c>
      <c r="D17" s="161">
        <f>C17/B17-1</f>
        <v>-4.9452661356084393E-2</v>
      </c>
      <c r="E17" s="157">
        <f>SUM(E4:E16)</f>
        <v>187447.96</v>
      </c>
      <c r="F17" s="157">
        <f>SUM(F4:F16)</f>
        <v>190585.93099999998</v>
      </c>
      <c r="G17" s="156">
        <f t="shared" si="3"/>
        <v>1.674049160097546E-2</v>
      </c>
      <c r="H17" s="157">
        <f>SUM(H4:H16)</f>
        <v>66892.873999999996</v>
      </c>
      <c r="I17" s="157">
        <f>SUM(I4:I16)</f>
        <v>18297.842000000001</v>
      </c>
      <c r="J17" s="156">
        <f t="shared" si="5"/>
        <v>-0.72646051954652147</v>
      </c>
      <c r="K17" s="157">
        <f>SUM(K4:K16)</f>
        <v>1343698.6869999999</v>
      </c>
      <c r="L17" s="157">
        <f t="shared" si="1"/>
        <v>1244369.9809999999</v>
      </c>
      <c r="M17" s="156">
        <f t="shared" si="4"/>
        <v>-7.3921859834339521E-2</v>
      </c>
    </row>
    <row r="18" spans="1:13" x14ac:dyDescent="0.25">
      <c r="A18" s="395" t="s">
        <v>241</v>
      </c>
      <c r="B18" s="396"/>
      <c r="C18" s="396"/>
      <c r="D18" s="396"/>
      <c r="E18" s="396"/>
      <c r="F18" s="396"/>
      <c r="G18" s="396"/>
      <c r="H18" s="396"/>
      <c r="I18" s="396"/>
      <c r="J18" s="396"/>
      <c r="K18" s="396"/>
      <c r="L18" s="396"/>
      <c r="M18" s="397"/>
    </row>
    <row r="19" spans="1:13" x14ac:dyDescent="0.25">
      <c r="B19" s="29"/>
      <c r="C19" s="29"/>
    </row>
    <row r="20" spans="1:13" x14ac:dyDescent="0.25">
      <c r="B20" s="29"/>
      <c r="C20" s="29"/>
      <c r="L20" s="79"/>
    </row>
    <row r="24" spans="1:13" x14ac:dyDescent="0.25">
      <c r="G24" s="87"/>
    </row>
    <row r="25" spans="1:13" x14ac:dyDescent="0.25">
      <c r="G25" s="87"/>
    </row>
    <row r="26" spans="1:13" x14ac:dyDescent="0.25">
      <c r="G26" s="87"/>
    </row>
    <row r="27" spans="1:13" x14ac:dyDescent="0.25">
      <c r="G27" s="87"/>
    </row>
    <row r="28" spans="1:13" x14ac:dyDescent="0.25">
      <c r="G28" s="87"/>
    </row>
    <row r="29" spans="1:13" x14ac:dyDescent="0.25">
      <c r="G29" s="87"/>
    </row>
    <row r="30" spans="1:13" x14ac:dyDescent="0.25">
      <c r="G30" s="87"/>
    </row>
    <row r="31" spans="1:13" x14ac:dyDescent="0.25">
      <c r="G31" s="87"/>
    </row>
    <row r="32" spans="1:13" x14ac:dyDescent="0.25">
      <c r="G32" s="87"/>
    </row>
    <row r="33" spans="7:7" x14ac:dyDescent="0.25">
      <c r="G33" s="87"/>
    </row>
    <row r="34" spans="7:7" x14ac:dyDescent="0.25">
      <c r="G34" s="87"/>
    </row>
    <row r="35" spans="7:7" x14ac:dyDescent="0.25">
      <c r="G35" s="87"/>
    </row>
    <row r="36" spans="7:7" x14ac:dyDescent="0.25">
      <c r="G36" s="77"/>
    </row>
  </sheetData>
  <mergeCells count="11">
    <mergeCell ref="A18:M18"/>
    <mergeCell ref="A2:A3"/>
    <mergeCell ref="M2:M3"/>
    <mergeCell ref="A1:M1"/>
    <mergeCell ref="B2:C2"/>
    <mergeCell ref="E2:F2"/>
    <mergeCell ref="H2:I2"/>
    <mergeCell ref="K2:L2"/>
    <mergeCell ref="D2:D3"/>
    <mergeCell ref="G2:G3"/>
    <mergeCell ref="J2:J3"/>
  </mergeCells>
  <phoneticPr fontId="58" type="noConversion"/>
  <pageMargins left="0.7" right="0.7" top="0.75" bottom="0.75" header="0.3" footer="0.3"/>
  <pageSetup scale="97" fitToHeight="0" orientation="landscape" r:id="rId1"/>
  <ignoredErrors>
    <ignoredError sqref="C17 I17 F17" formulaRange="1"/>
    <ignoredError sqref="G17 J17 D17" formula="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EB8E-073F-4727-8CA2-CDA37AA3A420}">
  <sheetPr>
    <pageSetUpPr fitToPage="1"/>
  </sheetPr>
  <dimension ref="A1:O22"/>
  <sheetViews>
    <sheetView zoomScaleNormal="100" workbookViewId="0">
      <selection sqref="A1:L1"/>
    </sheetView>
  </sheetViews>
  <sheetFormatPr baseColWidth="10" defaultColWidth="11.42578125" defaultRowHeight="15" x14ac:dyDescent="0.25"/>
  <cols>
    <col min="1" max="1" width="19.7109375" bestFit="1" customWidth="1"/>
    <col min="2" max="3" width="9.140625" customWidth="1"/>
    <col min="4" max="4" width="7.5703125" customWidth="1"/>
    <col min="5" max="5" width="9.140625" customWidth="1"/>
    <col min="6" max="7" width="7.5703125" customWidth="1"/>
    <col min="8" max="9" width="9.140625" bestFit="1" customWidth="1"/>
    <col min="10" max="10" width="7.5703125" bestFit="1" customWidth="1"/>
    <col min="11" max="12" width="9.140625" bestFit="1" customWidth="1"/>
    <col min="13" max="13" width="7.5703125" bestFit="1" customWidth="1"/>
    <col min="14" max="15" width="7.42578125" bestFit="1" customWidth="1"/>
    <col min="17" max="17" width="12.7109375" bestFit="1" customWidth="1"/>
    <col min="18" max="18" width="7.5703125" bestFit="1" customWidth="1"/>
    <col min="19" max="20" width="9.140625" bestFit="1" customWidth="1"/>
    <col min="21" max="21" width="7.5703125" bestFit="1" customWidth="1"/>
    <col min="22" max="22" width="9.140625" bestFit="1" customWidth="1"/>
    <col min="23" max="24" width="7.5703125" bestFit="1" customWidth="1"/>
    <col min="25" max="26" width="9.140625" bestFit="1" customWidth="1"/>
    <col min="27" max="27" width="7.5703125" bestFit="1" customWidth="1"/>
    <col min="28" max="28" width="9.140625" bestFit="1" customWidth="1"/>
  </cols>
  <sheetData>
    <row r="1" spans="1:12" x14ac:dyDescent="0.25">
      <c r="A1" s="401" t="s">
        <v>566</v>
      </c>
      <c r="B1" s="401"/>
      <c r="C1" s="401"/>
      <c r="D1" s="401"/>
      <c r="E1" s="401"/>
      <c r="F1" s="401"/>
      <c r="G1" s="401"/>
      <c r="H1" s="401"/>
      <c r="I1" s="401"/>
      <c r="J1" s="401"/>
      <c r="K1" s="401"/>
      <c r="L1" s="401"/>
    </row>
    <row r="2" spans="1:12" x14ac:dyDescent="0.25">
      <c r="A2" s="404" t="s">
        <v>281</v>
      </c>
      <c r="B2" s="402" t="s">
        <v>270</v>
      </c>
      <c r="C2" s="402"/>
      <c r="D2" s="402"/>
      <c r="E2" s="402"/>
      <c r="F2" s="402"/>
      <c r="G2" s="402"/>
      <c r="H2" s="402"/>
      <c r="I2" s="402"/>
      <c r="J2" s="402"/>
      <c r="K2" s="402"/>
      <c r="L2" s="402"/>
    </row>
    <row r="3" spans="1:12" x14ac:dyDescent="0.25">
      <c r="A3" s="404"/>
      <c r="B3" s="148">
        <v>2012</v>
      </c>
      <c r="C3" s="148">
        <v>2013</v>
      </c>
      <c r="D3" s="148">
        <v>2014</v>
      </c>
      <c r="E3" s="148">
        <v>2015</v>
      </c>
      <c r="F3" s="149">
        <v>2016</v>
      </c>
      <c r="G3" s="149">
        <v>2017</v>
      </c>
      <c r="H3" s="149">
        <v>2018</v>
      </c>
      <c r="I3" s="149">
        <v>2019</v>
      </c>
      <c r="J3" s="149">
        <v>2020</v>
      </c>
      <c r="K3" s="149">
        <v>2021</v>
      </c>
      <c r="L3" s="149">
        <v>2022</v>
      </c>
    </row>
    <row r="4" spans="1:12" x14ac:dyDescent="0.25">
      <c r="A4" s="88" t="s">
        <v>126</v>
      </c>
      <c r="B4" s="131">
        <v>338735.69400000002</v>
      </c>
      <c r="C4" s="131">
        <v>371599.26400000002</v>
      </c>
      <c r="D4" s="131">
        <v>299541.43</v>
      </c>
      <c r="E4" s="131">
        <v>382942.91899999999</v>
      </c>
      <c r="F4" s="131">
        <v>277133.39299999998</v>
      </c>
      <c r="G4" s="131">
        <v>228733.307</v>
      </c>
      <c r="H4" s="131">
        <v>302226.57799999998</v>
      </c>
      <c r="I4" s="131">
        <v>358482.89199999999</v>
      </c>
      <c r="J4" s="131">
        <v>271975.64299999998</v>
      </c>
      <c r="K4" s="121">
        <v>356471.14500000002</v>
      </c>
      <c r="L4" s="121">
        <v>340922.31800000003</v>
      </c>
    </row>
    <row r="5" spans="1:12" x14ac:dyDescent="0.25">
      <c r="A5" s="88" t="s">
        <v>122</v>
      </c>
      <c r="B5" s="131">
        <v>136956.77299999999</v>
      </c>
      <c r="C5" s="131">
        <v>159909.79</v>
      </c>
      <c r="D5" s="131">
        <v>117792.588</v>
      </c>
      <c r="E5" s="131">
        <v>147379.98300000001</v>
      </c>
      <c r="F5" s="131">
        <v>121299.899</v>
      </c>
      <c r="G5" s="131">
        <v>123127.952</v>
      </c>
      <c r="H5" s="131">
        <v>146741.81599999999</v>
      </c>
      <c r="I5" s="131">
        <v>148118.51699999999</v>
      </c>
      <c r="J5" s="131">
        <v>129387.04300000001</v>
      </c>
      <c r="K5" s="121">
        <v>145152.685</v>
      </c>
      <c r="L5" s="121">
        <v>141061.37100000001</v>
      </c>
    </row>
    <row r="6" spans="1:12" x14ac:dyDescent="0.25">
      <c r="A6" s="88" t="s">
        <v>129</v>
      </c>
      <c r="B6" s="131">
        <v>121080.89599999999</v>
      </c>
      <c r="C6" s="131">
        <v>128407.243</v>
      </c>
      <c r="D6" s="131">
        <v>99494.642999999996</v>
      </c>
      <c r="E6" s="131">
        <v>138831.554</v>
      </c>
      <c r="F6" s="131">
        <v>107050.094</v>
      </c>
      <c r="G6" s="131">
        <v>107248.80499999999</v>
      </c>
      <c r="H6" s="131">
        <v>132493.28700000001</v>
      </c>
      <c r="I6" s="131">
        <v>121262.86500000001</v>
      </c>
      <c r="J6" s="131">
        <v>102890.82799999999</v>
      </c>
      <c r="K6" s="121">
        <v>129761.22500000001</v>
      </c>
      <c r="L6" s="121">
        <v>123222.61</v>
      </c>
    </row>
    <row r="7" spans="1:12" x14ac:dyDescent="0.25">
      <c r="A7" s="88" t="s">
        <v>117</v>
      </c>
      <c r="B7" s="131">
        <v>94618.622000000003</v>
      </c>
      <c r="C7" s="131">
        <v>93834.361999999994</v>
      </c>
      <c r="D7" s="131">
        <v>58133.726000000002</v>
      </c>
      <c r="E7" s="131">
        <v>92442.466</v>
      </c>
      <c r="F7" s="131">
        <v>81945.692999999999</v>
      </c>
      <c r="G7" s="131">
        <v>74308.028000000006</v>
      </c>
      <c r="H7" s="131">
        <v>101364.386</v>
      </c>
      <c r="I7" s="131">
        <v>91269.048999999999</v>
      </c>
      <c r="J7" s="131">
        <v>80426.101999999999</v>
      </c>
      <c r="K7" s="121">
        <v>103267.196</v>
      </c>
      <c r="L7" s="121">
        <v>104103.156</v>
      </c>
    </row>
    <row r="8" spans="1:12" x14ac:dyDescent="0.25">
      <c r="A8" s="88" t="s">
        <v>127</v>
      </c>
      <c r="B8" s="131">
        <v>85138.429000000004</v>
      </c>
      <c r="C8" s="131">
        <v>95861.706000000006</v>
      </c>
      <c r="D8" s="131">
        <v>62244.786</v>
      </c>
      <c r="E8" s="131">
        <v>95987.126999999993</v>
      </c>
      <c r="F8" s="131">
        <v>61201.010999999999</v>
      </c>
      <c r="G8" s="131">
        <v>53860.764000000003</v>
      </c>
      <c r="H8" s="131">
        <v>77502.972999999998</v>
      </c>
      <c r="I8" s="131">
        <v>88681.398000000001</v>
      </c>
      <c r="J8" s="131">
        <v>67269.255999999994</v>
      </c>
      <c r="K8" s="121">
        <v>89299.183999999994</v>
      </c>
      <c r="L8" s="121">
        <v>88431.267999999996</v>
      </c>
    </row>
    <row r="9" spans="1:12" x14ac:dyDescent="0.25">
      <c r="A9" s="88" t="s">
        <v>131</v>
      </c>
      <c r="B9" s="131">
        <v>68454.87</v>
      </c>
      <c r="C9" s="131">
        <v>79059.006999999998</v>
      </c>
      <c r="D9" s="131">
        <v>66476.902000000002</v>
      </c>
      <c r="E9" s="131">
        <v>74723.073000000004</v>
      </c>
      <c r="F9" s="131">
        <v>59201.275000000001</v>
      </c>
      <c r="G9" s="131">
        <v>63642.875</v>
      </c>
      <c r="H9" s="131">
        <v>72922.379000000001</v>
      </c>
      <c r="I9" s="131">
        <v>63888.031000000003</v>
      </c>
      <c r="J9" s="131">
        <v>51358.394</v>
      </c>
      <c r="K9" s="121">
        <v>58624.139000000003</v>
      </c>
      <c r="L9" s="121">
        <v>61230.065000000002</v>
      </c>
    </row>
    <row r="10" spans="1:12" x14ac:dyDescent="0.25">
      <c r="A10" s="88" t="s">
        <v>119</v>
      </c>
      <c r="B10" s="131">
        <v>21042.874</v>
      </c>
      <c r="C10" s="131">
        <v>17084.405999999999</v>
      </c>
      <c r="D10" s="131">
        <v>23724.564999999999</v>
      </c>
      <c r="E10" s="131">
        <v>16345.252</v>
      </c>
      <c r="F10" s="131">
        <v>19151.685000000001</v>
      </c>
      <c r="G10" s="131">
        <v>25946.812000000002</v>
      </c>
      <c r="H10" s="131">
        <v>54897.921000000002</v>
      </c>
      <c r="I10" s="131">
        <v>39563.391000000003</v>
      </c>
      <c r="J10" s="131">
        <v>46031.659</v>
      </c>
      <c r="K10" s="121">
        <v>54754.248</v>
      </c>
      <c r="L10" s="121">
        <v>31495.200000000001</v>
      </c>
    </row>
    <row r="11" spans="1:12" x14ac:dyDescent="0.25">
      <c r="A11" s="88" t="s">
        <v>243</v>
      </c>
      <c r="B11" s="131">
        <v>12589.758</v>
      </c>
      <c r="C11" s="131">
        <v>13524.266</v>
      </c>
      <c r="D11" s="131">
        <v>12305.128000000001</v>
      </c>
      <c r="E11" s="131">
        <v>19028.348999999998</v>
      </c>
      <c r="F11" s="131">
        <v>13645.607</v>
      </c>
      <c r="G11" s="131">
        <v>18144.418000000001</v>
      </c>
      <c r="H11" s="131">
        <v>21937.399000000001</v>
      </c>
      <c r="I11" s="131">
        <v>22583.955000000002</v>
      </c>
      <c r="J11" s="131">
        <v>19012.752</v>
      </c>
      <c r="K11" s="121">
        <v>29262.522000000001</v>
      </c>
      <c r="L11" s="121">
        <v>25691.383000000002</v>
      </c>
    </row>
    <row r="12" spans="1:12" x14ac:dyDescent="0.25">
      <c r="A12" s="88" t="s">
        <v>130</v>
      </c>
      <c r="B12" s="131">
        <v>23823.706999999999</v>
      </c>
      <c r="C12" s="131">
        <v>26160.901999999998</v>
      </c>
      <c r="D12" s="131">
        <v>19884.831999999999</v>
      </c>
      <c r="E12" s="131">
        <v>25596.091</v>
      </c>
      <c r="F12" s="131">
        <v>26134.602999999999</v>
      </c>
      <c r="G12" s="131">
        <v>23719.378000000001</v>
      </c>
      <c r="H12" s="131">
        <v>26661.965</v>
      </c>
      <c r="I12" s="131">
        <v>25858.561000000002</v>
      </c>
      <c r="J12" s="131">
        <v>21013.623</v>
      </c>
      <c r="K12" s="121">
        <v>24935.200000000001</v>
      </c>
      <c r="L12" s="121">
        <v>26946.832999999999</v>
      </c>
    </row>
    <row r="13" spans="1:12" x14ac:dyDescent="0.25">
      <c r="A13" s="88" t="s">
        <v>244</v>
      </c>
      <c r="B13" s="131">
        <v>28842.839</v>
      </c>
      <c r="C13" s="131">
        <v>18310.151999999998</v>
      </c>
      <c r="D13" s="131">
        <v>15716.58</v>
      </c>
      <c r="E13" s="131">
        <v>19821.627</v>
      </c>
      <c r="F13" s="131">
        <v>24033.350999999999</v>
      </c>
      <c r="G13" s="131">
        <v>20375.241000000002</v>
      </c>
      <c r="H13" s="131">
        <v>35512.849000000002</v>
      </c>
      <c r="I13" s="131">
        <v>33883.722999999998</v>
      </c>
      <c r="J13" s="131">
        <v>26794.792000000001</v>
      </c>
      <c r="K13" s="121">
        <v>19941.007000000001</v>
      </c>
      <c r="L13" s="121">
        <v>15946.671</v>
      </c>
    </row>
    <row r="14" spans="1:12" x14ac:dyDescent="0.25">
      <c r="A14" s="88" t="s">
        <v>279</v>
      </c>
      <c r="B14" s="131">
        <v>33589.83</v>
      </c>
      <c r="C14" s="131">
        <v>17614.305</v>
      </c>
      <c r="D14" s="131">
        <v>16874.953000000001</v>
      </c>
      <c r="E14" s="131">
        <v>15420.183999999999</v>
      </c>
      <c r="F14" s="131">
        <v>15326.906000000001</v>
      </c>
      <c r="G14" s="131">
        <v>18395.760999999999</v>
      </c>
      <c r="H14" s="131">
        <v>18654.705000000002</v>
      </c>
      <c r="I14" s="131">
        <v>16367.661</v>
      </c>
      <c r="J14" s="131">
        <v>21472.255000000001</v>
      </c>
      <c r="K14" s="121">
        <v>15278.168</v>
      </c>
      <c r="L14" s="121">
        <v>11989.893</v>
      </c>
    </row>
    <row r="15" spans="1:12" x14ac:dyDescent="0.25">
      <c r="A15" s="88" t="s">
        <v>245</v>
      </c>
      <c r="B15" s="131">
        <v>51111.241000000002</v>
      </c>
      <c r="C15" s="131">
        <v>53274.555999999997</v>
      </c>
      <c r="D15" s="131">
        <v>48774.767</v>
      </c>
      <c r="E15" s="131">
        <v>52768.055999999997</v>
      </c>
      <c r="F15" s="131">
        <v>46360.313000000002</v>
      </c>
      <c r="G15" s="131">
        <v>47558.072999999997</v>
      </c>
      <c r="H15" s="131">
        <v>61865.686000000002</v>
      </c>
      <c r="I15" s="131">
        <v>20087.521000000001</v>
      </c>
      <c r="J15" s="131">
        <v>50574.358</v>
      </c>
      <c r="K15" s="121">
        <v>62611.133999999998</v>
      </c>
      <c r="L15" s="121">
        <f>L16-SUM(L4:L14)</f>
        <v>64445.440000000061</v>
      </c>
    </row>
    <row r="16" spans="1:12" x14ac:dyDescent="0.25">
      <c r="A16" s="97" t="s">
        <v>159</v>
      </c>
      <c r="B16" s="147">
        <v>1015985.5330000001</v>
      </c>
      <c r="C16" s="147">
        <v>1074639.959</v>
      </c>
      <c r="D16" s="147">
        <v>840964.9</v>
      </c>
      <c r="E16" s="147">
        <v>1081286.6810000001</v>
      </c>
      <c r="F16" s="147">
        <v>852483.83</v>
      </c>
      <c r="G16" s="147">
        <v>805061.41399999999</v>
      </c>
      <c r="H16" s="147">
        <v>1052781.9439999999</v>
      </c>
      <c r="I16" s="147">
        <v>1030047.564</v>
      </c>
      <c r="J16" s="147">
        <v>888206.70499999996</v>
      </c>
      <c r="K16" s="119">
        <v>1089357.8529999999</v>
      </c>
      <c r="L16" s="119">
        <v>1035486.208</v>
      </c>
    </row>
    <row r="17" spans="1:15" x14ac:dyDescent="0.25">
      <c r="A17" s="403" t="s">
        <v>280</v>
      </c>
      <c r="B17" s="403"/>
      <c r="C17" s="403"/>
      <c r="D17" s="403"/>
      <c r="E17" s="403"/>
      <c r="F17" s="403"/>
      <c r="G17" s="403"/>
      <c r="H17" s="403"/>
      <c r="I17" s="403"/>
      <c r="J17" s="403"/>
      <c r="K17" s="403"/>
      <c r="L17" s="403"/>
    </row>
    <row r="20" spans="1:15" ht="21.75" customHeight="1" x14ac:dyDescent="0.25"/>
    <row r="21" spans="1:15" x14ac:dyDescent="0.25">
      <c r="D21" s="55"/>
      <c r="E21" s="55"/>
      <c r="F21" s="55"/>
    </row>
    <row r="22" spans="1:15" x14ac:dyDescent="0.25">
      <c r="D22" s="29"/>
      <c r="E22" s="29"/>
      <c r="F22" s="29"/>
      <c r="G22" s="29"/>
      <c r="H22" s="29"/>
      <c r="I22" s="29"/>
      <c r="J22" s="29"/>
      <c r="K22" s="29"/>
      <c r="L22" s="29"/>
      <c r="M22" s="29"/>
      <c r="N22" s="29"/>
      <c r="O22" s="29"/>
    </row>
  </sheetData>
  <mergeCells count="4">
    <mergeCell ref="A1:L1"/>
    <mergeCell ref="B2:L2"/>
    <mergeCell ref="A17:L17"/>
    <mergeCell ref="A2:A3"/>
  </mergeCells>
  <pageMargins left="0.7" right="0.7" top="0.75" bottom="0.75" header="0.3" footer="0.3"/>
  <pageSetup scale="79"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2"/>
  <sheetViews>
    <sheetView zoomScaleNormal="100" workbookViewId="0"/>
  </sheetViews>
  <sheetFormatPr baseColWidth="10" defaultColWidth="11.42578125" defaultRowHeight="15" x14ac:dyDescent="0.25"/>
  <cols>
    <col min="13" max="13" width="11.42578125" customWidth="1"/>
    <col min="15" max="15" width="17.42578125" bestFit="1" customWidth="1"/>
    <col min="16" max="16" width="14.140625" bestFit="1" customWidth="1"/>
  </cols>
  <sheetData>
    <row r="1" spans="15:19" x14ac:dyDescent="0.25">
      <c r="O1" t="s">
        <v>242</v>
      </c>
    </row>
    <row r="2" spans="15:19" x14ac:dyDescent="0.25">
      <c r="O2" s="63" t="s">
        <v>126</v>
      </c>
      <c r="P2" s="62">
        <v>340922318</v>
      </c>
      <c r="Q2" s="61">
        <f>P2/$P$14</f>
        <v>0.3292388812134821</v>
      </c>
      <c r="R2" s="64"/>
      <c r="S2" s="74"/>
    </row>
    <row r="3" spans="15:19" x14ac:dyDescent="0.25">
      <c r="O3" s="63" t="s">
        <v>122</v>
      </c>
      <c r="P3" s="62">
        <v>141061371</v>
      </c>
      <c r="Q3" s="61">
        <f t="shared" ref="Q3:Q12" si="0">P3/$P$14</f>
        <v>0.13622718583791846</v>
      </c>
      <c r="R3" s="64"/>
      <c r="S3" s="74"/>
    </row>
    <row r="4" spans="15:19" x14ac:dyDescent="0.25">
      <c r="O4" s="63" t="s">
        <v>129</v>
      </c>
      <c r="P4" s="62">
        <v>123222610</v>
      </c>
      <c r="Q4" s="61">
        <f t="shared" si="0"/>
        <v>0.11899976069212705</v>
      </c>
      <c r="R4" s="64"/>
      <c r="S4" s="74"/>
    </row>
    <row r="5" spans="15:19" x14ac:dyDescent="0.25">
      <c r="O5" s="63" t="s">
        <v>117</v>
      </c>
      <c r="P5" s="62">
        <v>104103156</v>
      </c>
      <c r="Q5" s="61">
        <f t="shared" si="0"/>
        <v>0.10053553200419281</v>
      </c>
      <c r="R5" s="64"/>
      <c r="S5" s="74"/>
    </row>
    <row r="6" spans="15:19" x14ac:dyDescent="0.25">
      <c r="O6" s="63" t="s">
        <v>127</v>
      </c>
      <c r="P6" s="62">
        <v>88431268</v>
      </c>
      <c r="Q6" s="61">
        <f t="shared" si="0"/>
        <v>8.5400720936696206E-2</v>
      </c>
      <c r="R6" s="64"/>
      <c r="S6" s="74"/>
    </row>
    <row r="7" spans="15:19" x14ac:dyDescent="0.25">
      <c r="O7" s="63" t="s">
        <v>131</v>
      </c>
      <c r="P7" s="62">
        <v>61235365</v>
      </c>
      <c r="Q7" s="61">
        <f t="shared" si="0"/>
        <v>5.9136823841785625E-2</v>
      </c>
      <c r="R7" s="64"/>
      <c r="S7" s="74"/>
    </row>
    <row r="8" spans="15:19" x14ac:dyDescent="0.25">
      <c r="O8" s="63" t="s">
        <v>119</v>
      </c>
      <c r="P8" s="62">
        <v>31495200</v>
      </c>
      <c r="Q8" s="61">
        <f t="shared" si="0"/>
        <v>3.0415856821655374E-2</v>
      </c>
      <c r="R8" s="64"/>
      <c r="S8" s="74"/>
    </row>
    <row r="9" spans="15:19" x14ac:dyDescent="0.25">
      <c r="O9" s="63" t="s">
        <v>243</v>
      </c>
      <c r="P9" s="62">
        <v>25691383</v>
      </c>
      <c r="Q9" s="61">
        <f t="shared" si="0"/>
        <v>2.4810937123063544E-2</v>
      </c>
      <c r="R9" s="64"/>
      <c r="S9" s="74"/>
    </row>
    <row r="10" spans="15:19" x14ac:dyDescent="0.25">
      <c r="O10" s="63" t="s">
        <v>130</v>
      </c>
      <c r="P10" s="62">
        <v>26946833</v>
      </c>
      <c r="Q10" s="61">
        <f t="shared" si="0"/>
        <v>2.6023362744959807E-2</v>
      </c>
      <c r="R10" s="64"/>
      <c r="S10" s="74"/>
    </row>
    <row r="11" spans="15:19" x14ac:dyDescent="0.25">
      <c r="O11" s="63" t="s">
        <v>244</v>
      </c>
      <c r="P11" s="62">
        <v>15948021</v>
      </c>
      <c r="Q11" s="61">
        <f t="shared" si="0"/>
        <v>1.5401480966139384E-2</v>
      </c>
      <c r="R11" s="64"/>
      <c r="S11" s="74"/>
    </row>
    <row r="12" spans="15:19" x14ac:dyDescent="0.25">
      <c r="O12" s="63" t="s">
        <v>245</v>
      </c>
      <c r="P12" s="62">
        <f>P14-SUM(P2:P11)</f>
        <v>76428675</v>
      </c>
      <c r="Q12" s="61">
        <f t="shared" si="0"/>
        <v>7.380945781797961E-2</v>
      </c>
      <c r="R12" s="64"/>
      <c r="S12" s="74"/>
    </row>
    <row r="13" spans="15:19" x14ac:dyDescent="0.25">
      <c r="O13" s="63" t="s">
        <v>576</v>
      </c>
      <c r="P13" s="62">
        <v>1089357853</v>
      </c>
      <c r="Q13" s="61"/>
      <c r="R13" s="70"/>
      <c r="S13" s="64"/>
    </row>
    <row r="14" spans="15:19" x14ac:dyDescent="0.25">
      <c r="O14" s="63" t="s">
        <v>577</v>
      </c>
      <c r="P14" s="62">
        <f>P42*100</f>
        <v>1035486200</v>
      </c>
      <c r="Q14" s="61"/>
      <c r="R14" s="60">
        <f>P14/P13</f>
        <v>0.9505473313001398</v>
      </c>
      <c r="S14" s="64"/>
    </row>
    <row r="15" spans="15:19" ht="15.75" thickBot="1" x14ac:dyDescent="0.3"/>
    <row r="16" spans="15:19" ht="21.75" thickBot="1" x14ac:dyDescent="0.3">
      <c r="O16" s="65" t="s">
        <v>246</v>
      </c>
      <c r="P16" s="66" t="s">
        <v>237</v>
      </c>
      <c r="Q16" s="66" t="s">
        <v>238</v>
      </c>
      <c r="R16" s="66" t="s">
        <v>207</v>
      </c>
      <c r="S16" s="66" t="s">
        <v>204</v>
      </c>
    </row>
    <row r="17" spans="15:20" ht="15.75" thickBot="1" x14ac:dyDescent="0.3">
      <c r="O17" s="67">
        <v>1997</v>
      </c>
      <c r="P17" s="68">
        <v>2489287</v>
      </c>
      <c r="Q17" s="68">
        <v>1330057</v>
      </c>
      <c r="R17" s="68">
        <v>490905</v>
      </c>
      <c r="S17" s="68">
        <v>4310249</v>
      </c>
    </row>
    <row r="18" spans="15:20" ht="15.75" thickBot="1" x14ac:dyDescent="0.3">
      <c r="O18" s="67">
        <v>1998</v>
      </c>
      <c r="P18" s="68">
        <v>2996983</v>
      </c>
      <c r="Q18" s="69">
        <v>1443082</v>
      </c>
      <c r="R18" s="68">
        <v>825438</v>
      </c>
      <c r="S18" s="68">
        <v>5265503</v>
      </c>
      <c r="T18" s="64"/>
    </row>
    <row r="19" spans="15:20" ht="15.75" thickBot="1" x14ac:dyDescent="0.3">
      <c r="O19" s="67">
        <v>1999</v>
      </c>
      <c r="P19" s="68">
        <v>2395729</v>
      </c>
      <c r="Q19" s="68">
        <v>1318548</v>
      </c>
      <c r="R19" s="68">
        <v>565874</v>
      </c>
      <c r="S19" s="68">
        <v>4280151</v>
      </c>
      <c r="T19" s="64"/>
    </row>
    <row r="20" spans="15:20" ht="15.75" thickBot="1" x14ac:dyDescent="0.3">
      <c r="O20" s="67">
        <v>2000</v>
      </c>
      <c r="P20" s="68">
        <v>3748213</v>
      </c>
      <c r="Q20" s="68">
        <v>1956098</v>
      </c>
      <c r="R20" s="68">
        <v>715063</v>
      </c>
      <c r="S20" s="68">
        <v>6419374</v>
      </c>
      <c r="T20" s="64"/>
    </row>
    <row r="21" spans="15:20" ht="15.75" thickBot="1" x14ac:dyDescent="0.3">
      <c r="O21" s="67">
        <v>2001</v>
      </c>
      <c r="P21" s="68">
        <v>4460397</v>
      </c>
      <c r="Q21" s="68">
        <v>583290</v>
      </c>
      <c r="R21" s="68">
        <v>408098</v>
      </c>
      <c r="S21" s="68">
        <v>5451785</v>
      </c>
    </row>
    <row r="22" spans="15:20" ht="15.75" thickBot="1" x14ac:dyDescent="0.3">
      <c r="O22" s="67">
        <v>2002</v>
      </c>
      <c r="P22" s="68">
        <v>4430500</v>
      </c>
      <c r="Q22" s="68">
        <v>834463</v>
      </c>
      <c r="R22" s="68">
        <v>358267</v>
      </c>
      <c r="S22" s="68">
        <v>5623230</v>
      </c>
    </row>
    <row r="23" spans="15:20" ht="15.75" thickBot="1" x14ac:dyDescent="0.3">
      <c r="O23" s="67">
        <v>2003</v>
      </c>
      <c r="P23" s="68">
        <v>5460865</v>
      </c>
      <c r="Q23" s="68">
        <v>947611</v>
      </c>
      <c r="R23" s="68">
        <v>273745</v>
      </c>
      <c r="S23" s="68">
        <v>6682221</v>
      </c>
    </row>
    <row r="24" spans="15:20" ht="15.75" thickBot="1" x14ac:dyDescent="0.3">
      <c r="O24" s="67">
        <v>2004</v>
      </c>
      <c r="P24" s="68">
        <v>5474888</v>
      </c>
      <c r="Q24" s="68">
        <v>577173</v>
      </c>
      <c r="R24" s="68">
        <v>248675</v>
      </c>
      <c r="S24" s="68">
        <v>6300736</v>
      </c>
    </row>
    <row r="25" spans="15:20" ht="15.75" thickBot="1" x14ac:dyDescent="0.3">
      <c r="O25" s="67">
        <v>2005</v>
      </c>
      <c r="P25" s="68">
        <v>6303212</v>
      </c>
      <c r="Q25" s="68">
        <v>1047796</v>
      </c>
      <c r="R25" s="68">
        <v>534503</v>
      </c>
      <c r="S25" s="68">
        <v>7885511</v>
      </c>
    </row>
    <row r="26" spans="15:20" ht="15.75" thickBot="1" x14ac:dyDescent="0.3">
      <c r="O26" s="67">
        <v>2006</v>
      </c>
      <c r="P26" s="68">
        <v>7163043</v>
      </c>
      <c r="Q26" s="68">
        <v>861365</v>
      </c>
      <c r="R26" s="68">
        <v>424370</v>
      </c>
      <c r="S26" s="68">
        <v>8448778</v>
      </c>
    </row>
    <row r="27" spans="15:20" ht="15.75" thickBot="1" x14ac:dyDescent="0.3">
      <c r="O27" s="67">
        <v>2007</v>
      </c>
      <c r="P27" s="69">
        <v>7038874</v>
      </c>
      <c r="Q27" s="69">
        <v>879062</v>
      </c>
      <c r="R27" s="69">
        <v>359524</v>
      </c>
      <c r="S27" s="68">
        <v>8277460</v>
      </c>
    </row>
    <row r="28" spans="15:20" ht="15.75" thickBot="1" x14ac:dyDescent="0.3">
      <c r="O28" s="67">
        <v>2008</v>
      </c>
      <c r="P28" s="69">
        <v>6927908</v>
      </c>
      <c r="Q28" s="69">
        <v>1318511</v>
      </c>
      <c r="R28" s="69">
        <v>436551</v>
      </c>
      <c r="S28" s="68">
        <v>8682970</v>
      </c>
    </row>
    <row r="29" spans="15:20" ht="15.75" thickBot="1" x14ac:dyDescent="0.3">
      <c r="O29" s="67">
        <v>2009</v>
      </c>
      <c r="P29" s="69">
        <v>8665659</v>
      </c>
      <c r="Q29" s="69">
        <v>1152065</v>
      </c>
      <c r="R29" s="69">
        <v>275198</v>
      </c>
      <c r="S29" s="68">
        <v>10092922</v>
      </c>
    </row>
    <row r="30" spans="15:20" ht="15.75" thickBot="1" x14ac:dyDescent="0.3">
      <c r="O30" s="67">
        <v>2010</v>
      </c>
      <c r="P30" s="69">
        <v>7445528</v>
      </c>
      <c r="Q30" s="69">
        <v>1271633</v>
      </c>
      <c r="R30" s="69">
        <v>435221</v>
      </c>
      <c r="S30" s="68">
        <v>9152382</v>
      </c>
    </row>
    <row r="31" spans="15:20" ht="15.75" thickBot="1" x14ac:dyDescent="0.3">
      <c r="O31" s="67">
        <v>2011</v>
      </c>
      <c r="P31" s="69">
        <v>8286392</v>
      </c>
      <c r="Q31" s="69">
        <v>1180010</v>
      </c>
      <c r="R31" s="69">
        <v>997406</v>
      </c>
      <c r="S31" s="68">
        <v>10463808</v>
      </c>
    </row>
    <row r="32" spans="15:20" ht="15.75" thickBot="1" x14ac:dyDescent="0.3">
      <c r="O32" s="67">
        <v>2012</v>
      </c>
      <c r="P32" s="69">
        <v>10159853</v>
      </c>
      <c r="Q32" s="69">
        <v>1716869</v>
      </c>
      <c r="R32" s="69">
        <v>676985</v>
      </c>
      <c r="S32" s="68">
        <v>12553707</v>
      </c>
    </row>
    <row r="33" spans="15:19" ht="15.75" thickBot="1" x14ac:dyDescent="0.3">
      <c r="O33" s="67">
        <v>2013</v>
      </c>
      <c r="P33" s="69">
        <v>10746399.59</v>
      </c>
      <c r="Q33" s="69">
        <v>1361019.94</v>
      </c>
      <c r="R33" s="69">
        <v>713532.72</v>
      </c>
      <c r="S33" s="68">
        <v>12820952.25</v>
      </c>
    </row>
    <row r="34" spans="15:19" ht="15.75" thickBot="1" x14ac:dyDescent="0.3">
      <c r="O34" s="67">
        <v>2014</v>
      </c>
      <c r="P34" s="69">
        <v>8409649</v>
      </c>
      <c r="Q34" s="69">
        <v>1101227.26</v>
      </c>
      <c r="R34" s="69">
        <v>385395</v>
      </c>
      <c r="S34" s="68">
        <v>9896271.2599999998</v>
      </c>
    </row>
    <row r="35" spans="15:19" x14ac:dyDescent="0.25">
      <c r="O35" s="71">
        <v>2015</v>
      </c>
      <c r="P35" s="72">
        <v>10812866.810000001</v>
      </c>
      <c r="Q35" s="72">
        <v>1522542.81</v>
      </c>
      <c r="R35" s="72">
        <v>531451.97</v>
      </c>
      <c r="S35" s="73">
        <v>12866861.590000002</v>
      </c>
    </row>
    <row r="36" spans="15:19" x14ac:dyDescent="0.25">
      <c r="O36" s="71">
        <v>2016</v>
      </c>
      <c r="P36" s="72">
        <v>8524838.3000000007</v>
      </c>
      <c r="Q36" s="72">
        <v>1217747.5</v>
      </c>
      <c r="R36" s="72">
        <v>401034.54</v>
      </c>
      <c r="S36" s="73">
        <v>10143620.34</v>
      </c>
    </row>
    <row r="37" spans="15:19" x14ac:dyDescent="0.25">
      <c r="O37" s="71">
        <v>2017</v>
      </c>
      <c r="P37" s="72">
        <v>8050614.1399999997</v>
      </c>
      <c r="Q37" s="72">
        <v>1103298.02</v>
      </c>
      <c r="R37" s="72">
        <v>338145.85</v>
      </c>
      <c r="S37" s="73">
        <v>9492058.0099999998</v>
      </c>
    </row>
    <row r="38" spans="15:19" x14ac:dyDescent="0.25">
      <c r="O38" s="71">
        <v>2018</v>
      </c>
      <c r="P38" s="72">
        <v>10527819.439999999</v>
      </c>
      <c r="Q38" s="72">
        <v>1358918.94</v>
      </c>
      <c r="R38" s="72">
        <v>1012231.45</v>
      </c>
      <c r="S38" s="73">
        <v>12898969.829999998</v>
      </c>
    </row>
    <row r="39" spans="15:19" x14ac:dyDescent="0.25">
      <c r="O39" s="71">
        <v>2019</v>
      </c>
      <c r="P39" s="72">
        <v>10300475</v>
      </c>
      <c r="Q39" s="72">
        <v>1339894</v>
      </c>
      <c r="R39" s="72">
        <v>298388</v>
      </c>
      <c r="S39" s="73">
        <v>11938757</v>
      </c>
    </row>
    <row r="40" spans="15:19" x14ac:dyDescent="0.25">
      <c r="O40" s="71">
        <v>2020</v>
      </c>
      <c r="P40" s="72">
        <v>8882067</v>
      </c>
      <c r="Q40" s="72">
        <v>1219875</v>
      </c>
      <c r="R40" s="72">
        <v>235286</v>
      </c>
      <c r="S40" s="73">
        <v>10337228</v>
      </c>
    </row>
    <row r="41" spans="15:19" x14ac:dyDescent="0.25">
      <c r="O41" s="71">
        <v>2021</v>
      </c>
      <c r="P41" s="72">
        <v>10893578.529999999</v>
      </c>
      <c r="Q41" s="86">
        <v>1874779</v>
      </c>
      <c r="R41" s="72">
        <v>668928.74</v>
      </c>
      <c r="S41" s="73">
        <v>13436986</v>
      </c>
    </row>
    <row r="42" spans="15:19" x14ac:dyDescent="0.25">
      <c r="O42" s="71">
        <v>2022</v>
      </c>
      <c r="P42" s="72">
        <v>10354862</v>
      </c>
      <c r="Q42" s="72">
        <v>1905859</v>
      </c>
      <c r="R42" s="72">
        <v>182978</v>
      </c>
      <c r="S42" s="73">
        <v>12443699</v>
      </c>
    </row>
  </sheetData>
  <phoneticPr fontId="58" type="noConversion"/>
  <pageMargins left="0.7" right="0.7" top="0.75" bottom="0.75" header="0.3" footer="0.3"/>
  <pageSetup fitToWidth="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zoomScale="110" zoomScaleNormal="110" workbookViewId="0">
      <selection sqref="A1:M1"/>
    </sheetView>
  </sheetViews>
  <sheetFormatPr baseColWidth="10" defaultColWidth="11.42578125" defaultRowHeight="15" x14ac:dyDescent="0.25"/>
  <cols>
    <col min="1" max="1" width="11.5703125" customWidth="1"/>
    <col min="2" max="2" width="9.7109375"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420" t="s">
        <v>436</v>
      </c>
      <c r="B1" s="421"/>
      <c r="C1" s="421"/>
      <c r="D1" s="421"/>
      <c r="E1" s="421"/>
      <c r="F1" s="421"/>
      <c r="G1" s="421"/>
      <c r="H1" s="421"/>
      <c r="I1" s="421"/>
      <c r="J1" s="421"/>
      <c r="K1" s="421"/>
      <c r="L1" s="421"/>
      <c r="M1" s="422"/>
    </row>
    <row r="2" spans="1:22" x14ac:dyDescent="0.25">
      <c r="A2" s="424" t="s">
        <v>201</v>
      </c>
      <c r="B2" s="427" t="s">
        <v>202</v>
      </c>
      <c r="C2" s="428"/>
      <c r="D2" s="429"/>
      <c r="E2" s="417" t="s">
        <v>203</v>
      </c>
      <c r="F2" s="418"/>
      <c r="G2" s="418"/>
      <c r="H2" s="418"/>
      <c r="I2" s="418"/>
      <c r="J2" s="419"/>
      <c r="K2" s="427" t="s">
        <v>204</v>
      </c>
      <c r="L2" s="428"/>
      <c r="M2" s="429"/>
      <c r="R2" s="75" t="s">
        <v>205</v>
      </c>
      <c r="S2" s="75"/>
      <c r="T2" s="75"/>
      <c r="U2" s="75"/>
      <c r="V2" s="75"/>
    </row>
    <row r="3" spans="1:22" x14ac:dyDescent="0.25">
      <c r="A3" s="425"/>
      <c r="B3" s="413"/>
      <c r="C3" s="430"/>
      <c r="D3" s="431"/>
      <c r="E3" s="417" t="s">
        <v>206</v>
      </c>
      <c r="F3" s="418"/>
      <c r="G3" s="419"/>
      <c r="H3" s="417" t="s">
        <v>207</v>
      </c>
      <c r="I3" s="418"/>
      <c r="J3" s="419"/>
      <c r="K3" s="413"/>
      <c r="L3" s="430"/>
      <c r="M3" s="431"/>
      <c r="R3" s="75"/>
      <c r="S3" s="75" t="s">
        <v>208</v>
      </c>
      <c r="T3" s="75" t="s">
        <v>209</v>
      </c>
      <c r="U3" s="75" t="s">
        <v>210</v>
      </c>
      <c r="V3" s="75" t="s">
        <v>159</v>
      </c>
    </row>
    <row r="4" spans="1:22" x14ac:dyDescent="0.25">
      <c r="A4" s="426"/>
      <c r="B4" s="146">
        <v>2019</v>
      </c>
      <c r="C4" s="146">
        <v>2020</v>
      </c>
      <c r="D4" s="146">
        <v>2021</v>
      </c>
      <c r="E4" s="146">
        <v>2019</v>
      </c>
      <c r="F4" s="146">
        <v>2020</v>
      </c>
      <c r="G4" s="146">
        <v>2021</v>
      </c>
      <c r="H4" s="146">
        <v>2019</v>
      </c>
      <c r="I4" s="146">
        <v>2020</v>
      </c>
      <c r="J4" s="146">
        <v>2021</v>
      </c>
      <c r="K4" s="146">
        <v>2019</v>
      </c>
      <c r="L4" s="146">
        <v>2020</v>
      </c>
      <c r="M4" s="146">
        <v>2021</v>
      </c>
      <c r="R4" s="75">
        <v>1996</v>
      </c>
      <c r="S4" s="58">
        <v>135169804</v>
      </c>
      <c r="T4" s="58">
        <v>87519228</v>
      </c>
      <c r="U4" s="58">
        <v>19344140</v>
      </c>
      <c r="V4" s="58">
        <v>242033172</v>
      </c>
    </row>
    <row r="5" spans="1:22" x14ac:dyDescent="0.25">
      <c r="A5" s="111" t="s">
        <v>211</v>
      </c>
      <c r="B5" s="112"/>
      <c r="C5" s="112"/>
      <c r="D5" s="112"/>
      <c r="E5" s="112">
        <v>3.0960000000000001</v>
      </c>
      <c r="F5" s="112">
        <v>0.71699999999999997</v>
      </c>
      <c r="G5" s="112">
        <v>13.903</v>
      </c>
      <c r="H5" s="112"/>
      <c r="I5" s="112"/>
      <c r="J5" s="112"/>
      <c r="K5" s="112">
        <f t="shared" ref="K5:K16" si="0">B5+E5+H5</f>
        <v>3.0960000000000001</v>
      </c>
      <c r="L5" s="112">
        <f t="shared" ref="L5:L16" si="1">C5+F5+I5</f>
        <v>0.71699999999999997</v>
      </c>
      <c r="M5" s="112">
        <f t="shared" ref="M5:M16" si="2">D5+G5+J5</f>
        <v>13.903</v>
      </c>
      <c r="R5" s="75">
        <v>1997</v>
      </c>
      <c r="S5" s="58">
        <v>175671044</v>
      </c>
      <c r="T5" s="58">
        <v>99355647</v>
      </c>
      <c r="U5" s="58">
        <v>26687277</v>
      </c>
      <c r="V5" s="58">
        <v>301713968</v>
      </c>
    </row>
    <row r="6" spans="1:22" x14ac:dyDescent="0.25">
      <c r="A6" s="111" t="s">
        <v>212</v>
      </c>
      <c r="B6" s="112"/>
      <c r="C6" s="112"/>
      <c r="D6" s="112"/>
      <c r="E6" s="112">
        <v>5.1840000000000002</v>
      </c>
      <c r="F6" s="112">
        <v>8.3640000000000008</v>
      </c>
      <c r="G6" s="112"/>
      <c r="H6" s="112"/>
      <c r="I6" s="112"/>
      <c r="J6" s="112"/>
      <c r="K6" s="112">
        <f t="shared" si="0"/>
        <v>5.1840000000000002</v>
      </c>
      <c r="L6" s="112">
        <f t="shared" si="1"/>
        <v>8.3640000000000008</v>
      </c>
      <c r="M6" s="112">
        <f t="shared" si="2"/>
        <v>0</v>
      </c>
      <c r="Q6" s="77"/>
      <c r="R6" s="75">
        <v>1999</v>
      </c>
      <c r="S6" s="58">
        <v>186035029</v>
      </c>
      <c r="T6" s="58">
        <v>107976074</v>
      </c>
      <c r="U6" s="58">
        <v>33667102</v>
      </c>
      <c r="V6" s="58">
        <v>327678205</v>
      </c>
    </row>
    <row r="7" spans="1:22" x14ac:dyDescent="0.25">
      <c r="A7" s="111" t="s">
        <v>213</v>
      </c>
      <c r="B7" s="112">
        <v>13.329000000000001</v>
      </c>
      <c r="C7" s="112">
        <v>2.78</v>
      </c>
      <c r="D7" s="112">
        <v>131.00800000000001</v>
      </c>
      <c r="E7" s="112">
        <v>86.064999999999998</v>
      </c>
      <c r="F7" s="112">
        <v>85.302000000000007</v>
      </c>
      <c r="G7" s="112">
        <v>79.385999999999996</v>
      </c>
      <c r="H7" s="112"/>
      <c r="I7" s="112"/>
      <c r="J7" s="112"/>
      <c r="K7" s="112">
        <f t="shared" si="0"/>
        <v>99.394000000000005</v>
      </c>
      <c r="L7" s="112">
        <f t="shared" si="1"/>
        <v>88.082000000000008</v>
      </c>
      <c r="M7" s="112">
        <f t="shared" si="2"/>
        <v>210.39400000000001</v>
      </c>
      <c r="Q7" s="77"/>
      <c r="R7" s="75">
        <v>2000</v>
      </c>
      <c r="S7" s="58">
        <v>355207662</v>
      </c>
      <c r="T7" s="58">
        <v>120440370</v>
      </c>
      <c r="U7" s="58">
        <v>33393302</v>
      </c>
      <c r="V7" s="58">
        <v>509041334</v>
      </c>
    </row>
    <row r="8" spans="1:22" x14ac:dyDescent="0.25">
      <c r="A8" s="113" t="s">
        <v>214</v>
      </c>
      <c r="B8" s="112">
        <v>17149.091</v>
      </c>
      <c r="C8" s="112">
        <v>13901.294</v>
      </c>
      <c r="D8" s="112">
        <v>14675.013999999999</v>
      </c>
      <c r="E8" s="112">
        <v>5065.4549999999999</v>
      </c>
      <c r="F8" s="112">
        <v>6342.3130000000001</v>
      </c>
      <c r="G8" s="112">
        <v>2370.058</v>
      </c>
      <c r="H8" s="112">
        <v>140</v>
      </c>
      <c r="I8" s="112"/>
      <c r="J8" s="112"/>
      <c r="K8" s="112">
        <f t="shared" si="0"/>
        <v>22354.546000000002</v>
      </c>
      <c r="L8" s="112">
        <f t="shared" si="1"/>
        <v>20243.607</v>
      </c>
      <c r="M8" s="112">
        <f t="shared" si="2"/>
        <v>17045.072</v>
      </c>
      <c r="Q8" s="77"/>
      <c r="R8" s="75">
        <v>2001</v>
      </c>
      <c r="S8" s="58">
        <v>422117624</v>
      </c>
      <c r="T8" s="58">
        <v>121706615</v>
      </c>
      <c r="U8" s="58">
        <v>21364383</v>
      </c>
      <c r="V8" s="58">
        <v>565188622</v>
      </c>
    </row>
    <row r="9" spans="1:22" x14ac:dyDescent="0.25">
      <c r="A9" s="113" t="s">
        <v>215</v>
      </c>
      <c r="B9" s="112">
        <v>35298.684000000001</v>
      </c>
      <c r="C9" s="112">
        <v>40781.821000000004</v>
      </c>
      <c r="D9" s="112">
        <v>42122.012999999999</v>
      </c>
      <c r="E9" s="112">
        <v>1155.944</v>
      </c>
      <c r="F9" s="112">
        <v>2345.6750000000002</v>
      </c>
      <c r="G9" s="112">
        <v>1479.386</v>
      </c>
      <c r="H9" s="112">
        <v>8.1379999999999999</v>
      </c>
      <c r="I9" s="112">
        <v>5.2229999999999999</v>
      </c>
      <c r="J9" s="112"/>
      <c r="K9" s="112">
        <f t="shared" si="0"/>
        <v>36462.766000000003</v>
      </c>
      <c r="L9" s="112">
        <f t="shared" si="1"/>
        <v>43132.719000000005</v>
      </c>
      <c r="M9" s="112">
        <f t="shared" si="2"/>
        <v>43601.398999999998</v>
      </c>
      <c r="Q9" s="77"/>
      <c r="R9" s="75">
        <v>2002</v>
      </c>
      <c r="S9" s="58">
        <v>459598864</v>
      </c>
      <c r="T9" s="58">
        <v>95384544</v>
      </c>
      <c r="U9" s="58">
        <v>15798762</v>
      </c>
      <c r="V9" s="58">
        <v>570782170</v>
      </c>
    </row>
    <row r="10" spans="1:22" x14ac:dyDescent="0.25">
      <c r="A10" s="113" t="s">
        <v>216</v>
      </c>
      <c r="B10" s="112">
        <v>201003.61499999999</v>
      </c>
      <c r="C10" s="112">
        <v>191623.61799999999</v>
      </c>
      <c r="D10" s="112">
        <v>191378.60800000001</v>
      </c>
      <c r="E10" s="112">
        <v>17529.550999999999</v>
      </c>
      <c r="F10" s="112">
        <v>12591.217000000001</v>
      </c>
      <c r="G10" s="112">
        <v>13793.655000000001</v>
      </c>
      <c r="H10" s="112">
        <v>11905.141</v>
      </c>
      <c r="I10" s="112">
        <v>3099.797</v>
      </c>
      <c r="J10" s="112">
        <v>3089.498</v>
      </c>
      <c r="K10" s="112">
        <f t="shared" si="0"/>
        <v>230438.307</v>
      </c>
      <c r="L10" s="112">
        <f t="shared" si="1"/>
        <v>207314.63199999998</v>
      </c>
      <c r="M10" s="112">
        <f t="shared" si="2"/>
        <v>208261.761</v>
      </c>
      <c r="Q10" s="77"/>
      <c r="R10" s="75">
        <v>2003</v>
      </c>
      <c r="S10" s="58">
        <v>517275967</v>
      </c>
      <c r="T10" s="58">
        <v>70183358</v>
      </c>
      <c r="U10" s="58">
        <v>12671888</v>
      </c>
      <c r="V10" s="58">
        <v>600131213</v>
      </c>
    </row>
    <row r="11" spans="1:22" x14ac:dyDescent="0.25">
      <c r="A11" s="113" t="s">
        <v>217</v>
      </c>
      <c r="B11" s="112">
        <v>365484.42499999999</v>
      </c>
      <c r="C11" s="112">
        <v>317101.98599999998</v>
      </c>
      <c r="D11" s="112">
        <v>385818.43</v>
      </c>
      <c r="E11" s="112">
        <v>28887.866000000002</v>
      </c>
      <c r="F11" s="112">
        <v>33475.828000000001</v>
      </c>
      <c r="G11" s="112">
        <v>23685.636999999999</v>
      </c>
      <c r="H11" s="112">
        <v>8401.5030000000006</v>
      </c>
      <c r="I11" s="112">
        <v>8322.3860000000004</v>
      </c>
      <c r="J11" s="112">
        <v>8911.9110000000001</v>
      </c>
      <c r="K11" s="112">
        <f t="shared" si="0"/>
        <v>402773.79399999999</v>
      </c>
      <c r="L11" s="112">
        <f t="shared" si="1"/>
        <v>358900.19999999995</v>
      </c>
      <c r="M11" s="112">
        <f t="shared" si="2"/>
        <v>418415.978</v>
      </c>
      <c r="Q11" s="77"/>
      <c r="R11" s="75">
        <v>2004</v>
      </c>
      <c r="S11" s="58">
        <v>454557377</v>
      </c>
      <c r="T11" s="58">
        <v>62161175</v>
      </c>
      <c r="U11" s="58">
        <v>9399397</v>
      </c>
      <c r="V11" s="58">
        <v>526117949</v>
      </c>
    </row>
    <row r="12" spans="1:22" x14ac:dyDescent="0.25">
      <c r="A12" s="113" t="s">
        <v>218</v>
      </c>
      <c r="B12" s="112">
        <v>475112.614</v>
      </c>
      <c r="C12" s="112">
        <v>475470.79499999998</v>
      </c>
      <c r="D12" s="112">
        <v>501447.283</v>
      </c>
      <c r="E12" s="112">
        <v>101270.89</v>
      </c>
      <c r="F12" s="112">
        <v>82720.444000000003</v>
      </c>
      <c r="G12" s="112">
        <v>82445.133000000002</v>
      </c>
      <c r="H12" s="112">
        <v>7285.7629999999999</v>
      </c>
      <c r="I12" s="112">
        <v>2289.9180000000001</v>
      </c>
      <c r="J12" s="112">
        <v>8568.5149999999994</v>
      </c>
      <c r="K12" s="112">
        <f t="shared" si="0"/>
        <v>583669.26699999999</v>
      </c>
      <c r="L12" s="112">
        <f t="shared" si="1"/>
        <v>560481.15699999989</v>
      </c>
      <c r="M12" s="112">
        <f t="shared" si="2"/>
        <v>592460.93099999998</v>
      </c>
      <c r="Q12" s="77"/>
      <c r="R12" s="75">
        <v>2005</v>
      </c>
      <c r="S12" s="58">
        <v>528219123</v>
      </c>
      <c r="T12" s="58">
        <v>90100557</v>
      </c>
      <c r="U12" s="58">
        <v>31587725</v>
      </c>
      <c r="V12" s="58">
        <v>649907405</v>
      </c>
    </row>
    <row r="13" spans="1:22" x14ac:dyDescent="0.25">
      <c r="A13" s="113" t="s">
        <v>219</v>
      </c>
      <c r="B13" s="112">
        <v>7826.3190000000004</v>
      </c>
      <c r="C13" s="112">
        <v>2906.3739999999998</v>
      </c>
      <c r="D13" s="112">
        <v>2284.864</v>
      </c>
      <c r="E13" s="112">
        <v>12116.748</v>
      </c>
      <c r="F13" s="112">
        <v>7233.1549999999997</v>
      </c>
      <c r="G13" s="112">
        <v>4770.3969999999999</v>
      </c>
      <c r="H13" s="112">
        <v>17</v>
      </c>
      <c r="I13" s="112"/>
      <c r="J13" s="112"/>
      <c r="K13" s="112">
        <f t="shared" si="0"/>
        <v>19960.066999999999</v>
      </c>
      <c r="L13" s="112">
        <f t="shared" si="1"/>
        <v>10139.528999999999</v>
      </c>
      <c r="M13" s="112">
        <f t="shared" si="2"/>
        <v>7055.2610000000004</v>
      </c>
      <c r="Q13" s="77"/>
      <c r="R13" s="75">
        <v>2007</v>
      </c>
      <c r="S13" s="58">
        <v>645935956</v>
      </c>
      <c r="T13" s="58">
        <v>93428473</v>
      </c>
      <c r="U13" s="58">
        <v>8710391</v>
      </c>
      <c r="V13" s="58">
        <v>748074820</v>
      </c>
    </row>
    <row r="14" spans="1:22" x14ac:dyDescent="0.25">
      <c r="A14" s="113" t="s">
        <v>220</v>
      </c>
      <c r="B14" s="112">
        <v>150.91200000000001</v>
      </c>
      <c r="C14" s="112">
        <v>219.501</v>
      </c>
      <c r="D14" s="112">
        <v>270.37599999999998</v>
      </c>
      <c r="E14" s="112">
        <v>127.313</v>
      </c>
      <c r="F14" s="112">
        <v>82.709000000000003</v>
      </c>
      <c r="G14" s="112">
        <v>90.637</v>
      </c>
      <c r="H14" s="112"/>
      <c r="I14" s="112">
        <v>3.0750000000000002</v>
      </c>
      <c r="J14" s="112"/>
      <c r="K14" s="112">
        <f t="shared" si="0"/>
        <v>278.22500000000002</v>
      </c>
      <c r="L14" s="112">
        <f t="shared" si="1"/>
        <v>305.28500000000003</v>
      </c>
      <c r="M14" s="112">
        <f t="shared" si="2"/>
        <v>361.01299999999998</v>
      </c>
      <c r="Q14" s="77"/>
      <c r="R14" s="75">
        <v>2008</v>
      </c>
      <c r="S14" s="58">
        <v>669596858</v>
      </c>
      <c r="T14" s="58">
        <v>125498308</v>
      </c>
      <c r="U14" s="58">
        <v>13688181</v>
      </c>
      <c r="V14" s="58">
        <v>808783347</v>
      </c>
    </row>
    <row r="15" spans="1:22" x14ac:dyDescent="0.25">
      <c r="A15" s="113" t="s">
        <v>221</v>
      </c>
      <c r="B15" s="112">
        <v>7.1180000000000003</v>
      </c>
      <c r="C15" s="112">
        <v>22.393999999999998</v>
      </c>
      <c r="D15" s="112">
        <v>26.754999999999999</v>
      </c>
      <c r="E15" s="112"/>
      <c r="F15" s="112">
        <v>1.992</v>
      </c>
      <c r="G15" s="112">
        <v>0</v>
      </c>
      <c r="H15" s="112"/>
      <c r="I15" s="112"/>
      <c r="J15" s="112"/>
      <c r="K15" s="112">
        <f t="shared" si="0"/>
        <v>7.1180000000000003</v>
      </c>
      <c r="L15" s="112">
        <f t="shared" si="1"/>
        <v>24.385999999999999</v>
      </c>
      <c r="M15" s="112">
        <f t="shared" si="2"/>
        <v>26.754999999999999</v>
      </c>
      <c r="Q15" s="77"/>
      <c r="R15" s="75">
        <v>2010</v>
      </c>
      <c r="S15" s="58">
        <v>602142263</v>
      </c>
      <c r="T15" s="58">
        <v>75437320</v>
      </c>
      <c r="U15" s="58">
        <v>23542006</v>
      </c>
      <c r="V15" s="58">
        <v>701121589</v>
      </c>
    </row>
    <row r="16" spans="1:22" x14ac:dyDescent="0.25">
      <c r="A16" s="113" t="s">
        <v>222</v>
      </c>
      <c r="B16" s="112">
        <v>95.055000000000007</v>
      </c>
      <c r="C16" s="112">
        <v>140.34100000000001</v>
      </c>
      <c r="D16" s="112">
        <v>0</v>
      </c>
      <c r="E16" s="112">
        <v>6.3949999999999996</v>
      </c>
      <c r="F16" s="112">
        <v>7.5449999999999999</v>
      </c>
      <c r="G16" s="112">
        <v>0.7</v>
      </c>
      <c r="H16" s="112"/>
      <c r="I16" s="112"/>
      <c r="J16" s="112"/>
      <c r="K16" s="112">
        <f t="shared" si="0"/>
        <v>101.45</v>
      </c>
      <c r="L16" s="112">
        <f t="shared" si="1"/>
        <v>147.886</v>
      </c>
      <c r="M16" s="112">
        <f t="shared" si="2"/>
        <v>0.7</v>
      </c>
      <c r="Q16" s="77"/>
      <c r="R16" s="75">
        <v>2011</v>
      </c>
      <c r="S16" s="58">
        <v>681916797</v>
      </c>
      <c r="T16" s="58">
        <v>94052153</v>
      </c>
      <c r="U16" s="58">
        <v>40696383</v>
      </c>
      <c r="V16" s="58">
        <v>816665333</v>
      </c>
    </row>
    <row r="17" spans="1:22" x14ac:dyDescent="0.25">
      <c r="A17" s="113" t="s">
        <v>159</v>
      </c>
      <c r="B17" s="91">
        <f>SUM(B5:B16)</f>
        <v>1102141.1619999998</v>
      </c>
      <c r="C17" s="91">
        <f>SUM(C5:C16)</f>
        <v>1042170.904</v>
      </c>
      <c r="D17" s="91">
        <f>SUM(D5:D16)</f>
        <v>1138154.3509999998</v>
      </c>
      <c r="E17" s="91">
        <f>SUM(E5:E16)</f>
        <v>166254.50699999998</v>
      </c>
      <c r="F17" s="91">
        <f>SUM(F5:F16)</f>
        <v>144895.261</v>
      </c>
      <c r="G17" s="91">
        <v>128728.89200000001</v>
      </c>
      <c r="H17" s="91">
        <f t="shared" ref="H17:I17" si="3">SUM(H5:H16)</f>
        <v>27757.544999999998</v>
      </c>
      <c r="I17" s="91">
        <f t="shared" si="3"/>
        <v>13720.399000000001</v>
      </c>
      <c r="J17" s="91">
        <f t="shared" ref="J17" si="4">SUM(J5:J16)</f>
        <v>20569.923999999999</v>
      </c>
      <c r="K17" s="91">
        <f>SUM(K5:K16)</f>
        <v>1296153.2140000002</v>
      </c>
      <c r="L17" s="91">
        <f>SUM(L5:L16)</f>
        <v>1200786.5639999998</v>
      </c>
      <c r="M17" s="91">
        <f>SUM(M5:M16)</f>
        <v>1287453.1669999999</v>
      </c>
      <c r="N17" s="77"/>
      <c r="Q17" s="77"/>
      <c r="R17" s="75">
        <v>2012</v>
      </c>
      <c r="S17" s="58">
        <v>881764871</v>
      </c>
      <c r="T17" s="58">
        <v>114940176</v>
      </c>
      <c r="U17" s="58">
        <v>45930007</v>
      </c>
      <c r="V17" s="58">
        <v>1042635054</v>
      </c>
    </row>
    <row r="18" spans="1:22" x14ac:dyDescent="0.25">
      <c r="A18" s="423" t="s">
        <v>223</v>
      </c>
      <c r="B18" s="411"/>
      <c r="C18" s="411"/>
      <c r="D18" s="411"/>
      <c r="E18" s="411"/>
      <c r="F18" s="411"/>
      <c r="G18" s="411"/>
      <c r="H18" s="411"/>
      <c r="I18" s="411"/>
      <c r="J18" s="411"/>
      <c r="K18" s="411"/>
      <c r="L18" s="411"/>
      <c r="M18" s="411"/>
      <c r="N18" s="79"/>
      <c r="R18" s="75">
        <v>2013</v>
      </c>
      <c r="S18" s="58">
        <v>1031461850</v>
      </c>
      <c r="T18" s="58">
        <v>129767391</v>
      </c>
      <c r="U18" s="58">
        <v>20783176</v>
      </c>
      <c r="V18" s="58">
        <v>1182012417</v>
      </c>
    </row>
    <row r="19" spans="1:22" x14ac:dyDescent="0.25">
      <c r="A19" s="411" t="s">
        <v>224</v>
      </c>
      <c r="B19" s="411"/>
      <c r="C19" s="411"/>
      <c r="D19" s="411"/>
      <c r="E19" s="411"/>
      <c r="F19" s="411"/>
      <c r="G19" s="411"/>
      <c r="H19" s="411"/>
      <c r="I19" s="411"/>
      <c r="J19" s="411"/>
      <c r="K19" s="411"/>
      <c r="L19" s="411"/>
      <c r="M19" s="411"/>
      <c r="N19" s="79"/>
      <c r="R19" s="75">
        <v>2014</v>
      </c>
      <c r="S19" s="58">
        <v>909784707</v>
      </c>
      <c r="T19" s="58">
        <v>120607285</v>
      </c>
      <c r="U19" s="58">
        <v>29649575</v>
      </c>
      <c r="V19" s="58">
        <v>1060041567</v>
      </c>
    </row>
    <row r="20" spans="1:22" ht="3" customHeight="1" x14ac:dyDescent="0.25">
      <c r="A20" s="75"/>
      <c r="B20" s="75"/>
      <c r="C20" s="75"/>
      <c r="D20" s="75"/>
      <c r="E20" s="75"/>
      <c r="F20" s="75"/>
      <c r="G20" s="75"/>
      <c r="H20" s="75"/>
      <c r="I20" s="75"/>
      <c r="J20" s="75"/>
      <c r="K20" s="75"/>
      <c r="L20" s="75"/>
      <c r="M20" s="78"/>
      <c r="N20" s="79"/>
      <c r="R20" s="75">
        <v>2015</v>
      </c>
      <c r="S20" s="58">
        <v>1050473041</v>
      </c>
      <c r="T20" s="58">
        <v>145294410</v>
      </c>
      <c r="U20" s="58">
        <v>42291177</v>
      </c>
      <c r="V20" s="58">
        <v>1238058628</v>
      </c>
    </row>
    <row r="21" spans="1:22" x14ac:dyDescent="0.25">
      <c r="A21" s="75"/>
      <c r="B21" s="75"/>
      <c r="C21" s="75"/>
      <c r="D21" s="75"/>
      <c r="E21" s="411" t="s">
        <v>225</v>
      </c>
      <c r="F21" s="411"/>
      <c r="G21" s="411"/>
      <c r="H21" s="411"/>
      <c r="I21" s="411"/>
      <c r="J21" s="411"/>
      <c r="K21" s="197">
        <v>2444.578</v>
      </c>
      <c r="L21" s="197">
        <v>2754.8510000000001</v>
      </c>
      <c r="M21" s="197">
        <v>4034.277</v>
      </c>
      <c r="N21" s="79"/>
      <c r="R21" s="75">
        <v>2016</v>
      </c>
      <c r="S21" s="58">
        <v>957630543</v>
      </c>
      <c r="T21" s="58">
        <v>153155678</v>
      </c>
      <c r="U21" s="58">
        <v>20489291</v>
      </c>
      <c r="V21" s="58">
        <v>1131275512</v>
      </c>
    </row>
    <row r="22" spans="1:22" x14ac:dyDescent="0.25">
      <c r="A22" s="13"/>
      <c r="B22" s="13"/>
      <c r="C22" s="13"/>
      <c r="D22" s="13"/>
      <c r="E22" s="13"/>
      <c r="F22" s="13"/>
      <c r="G22" s="13"/>
      <c r="H22" s="13"/>
      <c r="I22" s="13"/>
      <c r="J22" s="13"/>
      <c r="K22" s="13"/>
      <c r="L22" s="13"/>
      <c r="M22" s="13"/>
      <c r="R22" s="75">
        <v>2017</v>
      </c>
      <c r="S22" s="75">
        <v>870555453</v>
      </c>
      <c r="T22" s="75">
        <v>113958000</v>
      </c>
      <c r="U22" s="75">
        <v>31442154</v>
      </c>
      <c r="V22" s="57">
        <v>1015955607</v>
      </c>
    </row>
    <row r="23" spans="1:22" x14ac:dyDescent="0.25">
      <c r="A23" s="13"/>
      <c r="B23" s="13"/>
      <c r="C23" s="13"/>
      <c r="D23" s="13"/>
      <c r="E23" s="13"/>
      <c r="F23" s="13"/>
      <c r="G23" s="13"/>
      <c r="H23" s="13"/>
      <c r="I23" s="13"/>
      <c r="J23" s="13"/>
      <c r="K23" s="13"/>
      <c r="L23" s="13"/>
      <c r="M23" s="13"/>
      <c r="R23" s="75">
        <v>2018</v>
      </c>
      <c r="S23" s="59">
        <v>1040338369</v>
      </c>
      <c r="T23" s="59">
        <v>160562174</v>
      </c>
      <c r="U23" s="59">
        <v>65811070</v>
      </c>
      <c r="V23" s="57">
        <v>1266711613</v>
      </c>
    </row>
    <row r="24" spans="1:22" x14ac:dyDescent="0.25">
      <c r="A24" s="13"/>
      <c r="B24" s="13"/>
      <c r="C24" s="13"/>
      <c r="D24" s="13"/>
      <c r="E24" s="13"/>
      <c r="F24" s="13"/>
      <c r="G24" s="13"/>
      <c r="H24" s="13"/>
      <c r="I24" s="13"/>
      <c r="J24" s="13"/>
      <c r="K24" s="13"/>
      <c r="L24" s="13"/>
      <c r="M24" s="13"/>
      <c r="R24" s="75">
        <v>2019</v>
      </c>
      <c r="S24" s="58">
        <v>1102141162</v>
      </c>
      <c r="T24" s="58">
        <v>166254507</v>
      </c>
      <c r="U24" s="58">
        <v>27757545</v>
      </c>
      <c r="V24" s="29">
        <f>U24+S24+T24</f>
        <v>1296153214</v>
      </c>
    </row>
    <row r="25" spans="1:22" x14ac:dyDescent="0.25">
      <c r="A25" s="13"/>
      <c r="B25" s="13"/>
      <c r="C25" s="13"/>
      <c r="D25" s="13"/>
      <c r="E25" s="13"/>
      <c r="F25" s="13"/>
      <c r="G25" s="13"/>
      <c r="H25" s="13"/>
      <c r="I25" s="13"/>
      <c r="J25" s="13"/>
      <c r="K25" s="13"/>
      <c r="L25" s="13"/>
      <c r="M25" s="13"/>
      <c r="R25" s="75">
        <v>2020</v>
      </c>
      <c r="S25" s="58">
        <v>1042170904</v>
      </c>
      <c r="T25" s="58">
        <v>144895261</v>
      </c>
      <c r="U25" s="58">
        <v>13720399</v>
      </c>
      <c r="V25" s="29">
        <f>S25+T25+U25</f>
        <v>1200786564</v>
      </c>
    </row>
    <row r="26" spans="1:22" x14ac:dyDescent="0.25">
      <c r="A26" s="13"/>
      <c r="B26" s="13"/>
      <c r="C26" s="13"/>
      <c r="D26" s="13"/>
      <c r="E26" s="13"/>
      <c r="F26" s="13"/>
      <c r="G26" s="13"/>
      <c r="H26" s="13"/>
      <c r="I26" s="13"/>
      <c r="J26" s="13"/>
      <c r="K26" s="13"/>
      <c r="L26" s="13"/>
      <c r="M26" s="13"/>
      <c r="R26" s="75">
        <v>2021</v>
      </c>
      <c r="S26" s="58">
        <v>1138154351</v>
      </c>
      <c r="T26" s="58">
        <v>128728892</v>
      </c>
      <c r="U26" s="58">
        <v>20569924</v>
      </c>
      <c r="V26" s="29">
        <f>S26+T26+U26</f>
        <v>1287453167</v>
      </c>
    </row>
    <row r="27" spans="1:22" x14ac:dyDescent="0.25">
      <c r="A27" s="13"/>
      <c r="B27" s="13"/>
      <c r="C27" s="13"/>
      <c r="D27" s="13"/>
      <c r="E27" s="13"/>
      <c r="F27" s="13"/>
      <c r="G27" s="13"/>
      <c r="H27" s="13"/>
      <c r="I27" s="13"/>
      <c r="J27" s="13"/>
      <c r="K27" s="13"/>
      <c r="L27" s="13"/>
      <c r="M27" s="13"/>
    </row>
    <row r="28" spans="1:22" x14ac:dyDescent="0.25">
      <c r="A28" s="13"/>
      <c r="B28" s="13"/>
      <c r="C28" s="13"/>
      <c r="D28" s="13"/>
      <c r="E28" s="13"/>
      <c r="F28" s="13"/>
      <c r="G28" s="13"/>
      <c r="H28" s="13"/>
      <c r="I28" s="13"/>
      <c r="J28" s="13"/>
      <c r="K28" s="13"/>
      <c r="L28" s="13"/>
      <c r="M28" s="13"/>
    </row>
    <row r="29" spans="1:22" x14ac:dyDescent="0.25">
      <c r="A29" s="13"/>
      <c r="B29" s="13"/>
      <c r="C29" s="13"/>
      <c r="D29" s="13"/>
      <c r="E29" s="13"/>
      <c r="F29" s="13"/>
      <c r="G29" s="13"/>
      <c r="H29" s="13"/>
      <c r="I29" s="13"/>
      <c r="J29" s="13"/>
      <c r="K29" s="13"/>
      <c r="L29" s="13"/>
      <c r="M29" s="13"/>
      <c r="R29" s="75"/>
      <c r="S29" s="58"/>
      <c r="T29" s="58"/>
      <c r="U29" s="58"/>
      <c r="V29" s="58"/>
    </row>
    <row r="30" spans="1:22" x14ac:dyDescent="0.25">
      <c r="A30" s="13"/>
      <c r="B30" s="13"/>
      <c r="C30" s="13"/>
      <c r="D30" s="13"/>
      <c r="E30" s="13"/>
      <c r="F30" s="13"/>
      <c r="G30" s="13"/>
      <c r="H30" s="13"/>
      <c r="I30" s="13"/>
      <c r="J30" s="13"/>
      <c r="K30" s="13"/>
      <c r="L30" s="13"/>
      <c r="M30" s="13"/>
      <c r="R30" s="75"/>
      <c r="S30" s="58"/>
      <c r="T30" s="58"/>
      <c r="U30" s="58"/>
      <c r="V30" s="58"/>
    </row>
    <row r="31" spans="1:22" x14ac:dyDescent="0.25">
      <c r="A31" s="13"/>
      <c r="B31" s="13"/>
      <c r="C31" s="13"/>
      <c r="D31" s="13"/>
      <c r="E31" s="13"/>
      <c r="F31" s="13"/>
      <c r="G31" s="13"/>
      <c r="H31" s="13"/>
      <c r="I31" s="13"/>
      <c r="J31" s="13"/>
      <c r="K31" s="13"/>
      <c r="L31" s="13"/>
      <c r="M31" s="13"/>
      <c r="R31" s="75"/>
      <c r="S31" s="58"/>
      <c r="T31" s="58"/>
      <c r="U31" s="58"/>
      <c r="V31" s="58"/>
    </row>
    <row r="32" spans="1:22" x14ac:dyDescent="0.25">
      <c r="A32" s="13"/>
      <c r="B32" s="13"/>
      <c r="C32" s="13"/>
      <c r="D32" s="13"/>
      <c r="E32" s="13"/>
      <c r="F32" s="13"/>
      <c r="G32" s="13"/>
      <c r="H32" s="13"/>
      <c r="I32" s="13"/>
      <c r="J32" s="13"/>
      <c r="K32" s="13"/>
      <c r="L32" s="13"/>
      <c r="M32" s="13"/>
      <c r="R32" s="75"/>
      <c r="S32" s="58"/>
      <c r="T32" s="58"/>
      <c r="U32" s="58"/>
      <c r="V32" s="58"/>
    </row>
    <row r="33" spans="1:22" x14ac:dyDescent="0.25">
      <c r="A33" s="13"/>
      <c r="B33" s="13"/>
      <c r="C33" s="13"/>
      <c r="D33" s="13"/>
      <c r="E33" s="13"/>
      <c r="F33" s="13"/>
      <c r="G33" s="13"/>
      <c r="H33" s="13"/>
      <c r="I33" s="13"/>
      <c r="J33" s="13"/>
      <c r="K33" s="13"/>
      <c r="L33" s="13"/>
      <c r="M33" s="13"/>
      <c r="R33" s="75"/>
      <c r="S33" s="58"/>
      <c r="T33" s="58"/>
      <c r="U33" s="58"/>
      <c r="V33" s="58"/>
    </row>
    <row r="34" spans="1:22" x14ac:dyDescent="0.25">
      <c r="A34" s="13"/>
      <c r="B34" s="13"/>
      <c r="C34" s="13"/>
      <c r="D34" s="13"/>
      <c r="E34" s="13"/>
      <c r="F34" s="13"/>
      <c r="G34" s="13"/>
      <c r="H34" s="13"/>
      <c r="I34" s="13"/>
      <c r="J34" s="13"/>
      <c r="K34" s="13"/>
      <c r="L34" s="13"/>
      <c r="M34" s="13"/>
      <c r="R34" s="75"/>
      <c r="S34" s="58"/>
      <c r="T34" s="58"/>
      <c r="U34" s="58"/>
      <c r="V34" s="58"/>
    </row>
    <row r="35" spans="1:22" x14ac:dyDescent="0.25">
      <c r="A35" s="13"/>
      <c r="B35" s="13"/>
      <c r="C35" s="13"/>
      <c r="D35" s="13"/>
      <c r="E35" s="13"/>
      <c r="F35" s="13"/>
      <c r="G35" s="13"/>
      <c r="H35" s="13"/>
      <c r="I35" s="13"/>
      <c r="J35" s="13"/>
      <c r="K35" s="13"/>
      <c r="L35" s="13"/>
      <c r="M35" s="13"/>
      <c r="R35" s="75"/>
      <c r="S35" s="58"/>
      <c r="T35" s="58"/>
      <c r="U35" s="58"/>
      <c r="V35" s="58"/>
    </row>
    <row r="36" spans="1:22" x14ac:dyDescent="0.25">
      <c r="A36" s="75"/>
      <c r="B36" s="75"/>
      <c r="C36" s="75"/>
      <c r="D36" s="75"/>
      <c r="E36" s="75"/>
      <c r="F36" s="75"/>
      <c r="G36" s="75"/>
      <c r="H36" s="75"/>
      <c r="I36" s="75"/>
      <c r="J36" s="75"/>
      <c r="K36" s="75"/>
      <c r="L36" s="75"/>
    </row>
    <row r="37" spans="1:22" x14ac:dyDescent="0.25">
      <c r="A37" s="408" t="s">
        <v>437</v>
      </c>
      <c r="B37" s="409"/>
      <c r="C37" s="409"/>
      <c r="D37" s="409"/>
      <c r="E37" s="409"/>
      <c r="F37" s="409"/>
      <c r="G37" s="409"/>
      <c r="H37" s="409"/>
      <c r="I37" s="409"/>
      <c r="J37" s="409"/>
      <c r="K37" s="409"/>
      <c r="L37" s="410"/>
    </row>
    <row r="38" spans="1:22" x14ac:dyDescent="0.25">
      <c r="A38" s="412" t="s">
        <v>226</v>
      </c>
      <c r="B38" s="414">
        <v>2018</v>
      </c>
      <c r="C38" s="415"/>
      <c r="D38" s="414">
        <v>2019</v>
      </c>
      <c r="E38" s="416"/>
      <c r="F38" s="415"/>
      <c r="G38" s="414">
        <v>2020</v>
      </c>
      <c r="H38" s="416"/>
      <c r="I38" s="415"/>
      <c r="J38" s="414">
        <v>2021</v>
      </c>
      <c r="K38" s="416"/>
      <c r="L38" s="415"/>
    </row>
    <row r="39" spans="1:22" ht="26.25" x14ac:dyDescent="0.25">
      <c r="A39" s="413"/>
      <c r="B39" s="83" t="s">
        <v>227</v>
      </c>
      <c r="C39" s="56" t="s">
        <v>228</v>
      </c>
      <c r="D39" s="83" t="s">
        <v>227</v>
      </c>
      <c r="E39" s="56" t="s">
        <v>228</v>
      </c>
      <c r="F39" s="56" t="s">
        <v>229</v>
      </c>
      <c r="G39" s="83" t="s">
        <v>227</v>
      </c>
      <c r="H39" s="56" t="s">
        <v>228</v>
      </c>
      <c r="I39" s="56" t="s">
        <v>229</v>
      </c>
      <c r="J39" s="83" t="s">
        <v>227</v>
      </c>
      <c r="K39" s="56" t="s">
        <v>228</v>
      </c>
      <c r="L39" s="56" t="s">
        <v>229</v>
      </c>
    </row>
    <row r="40" spans="1:22" x14ac:dyDescent="0.25">
      <c r="A40" s="84" t="s">
        <v>126</v>
      </c>
      <c r="B40" s="114">
        <v>384458.02600000001</v>
      </c>
      <c r="C40" s="115">
        <f t="shared" ref="C40:C50" si="5">B40/(SUM($D$40:$D$49))</f>
        <v>0.34882829827564321</v>
      </c>
      <c r="D40" s="114">
        <v>406059.21799999999</v>
      </c>
      <c r="E40" s="115">
        <f t="shared" ref="E40:E50" si="6">D40/(SUM($D$40:$D$49))</f>
        <v>0.36842759530289643</v>
      </c>
      <c r="F40" s="115">
        <f t="shared" ref="F40:F50" si="7">D40/B40-1</f>
        <v>5.6186086748517994E-2</v>
      </c>
      <c r="G40" s="114">
        <v>400824.92099999997</v>
      </c>
      <c r="H40" s="115">
        <f t="shared" ref="H40:H50" si="8">G40/SUM($G$40:$G$49)</f>
        <v>0.38460574888588522</v>
      </c>
      <c r="I40" s="115">
        <f t="shared" ref="I40:I50" si="9">G40/D40-1</f>
        <v>-1.289047697471557E-2</v>
      </c>
      <c r="J40" s="114">
        <v>417155.31800000003</v>
      </c>
      <c r="K40" s="115">
        <f>J40/SUM($J$40:$J$49)</f>
        <v>0.36651910844384233</v>
      </c>
      <c r="L40" s="115">
        <f t="shared" ref="L40:L50" si="10">J40/G40-1</f>
        <v>4.0741970232933911E-2</v>
      </c>
    </row>
    <row r="41" spans="1:22" x14ac:dyDescent="0.25">
      <c r="A41" s="85" t="s">
        <v>129</v>
      </c>
      <c r="B41" s="114">
        <v>122968.106</v>
      </c>
      <c r="C41" s="115">
        <f t="shared" si="5"/>
        <v>0.11157201113590202</v>
      </c>
      <c r="D41" s="114">
        <v>133548.16699999999</v>
      </c>
      <c r="E41" s="115">
        <f t="shared" si="6"/>
        <v>0.12117156277663821</v>
      </c>
      <c r="F41" s="115">
        <f t="shared" si="7"/>
        <v>8.6039066097350458E-2</v>
      </c>
      <c r="G41" s="114">
        <v>133266.44699999999</v>
      </c>
      <c r="H41" s="115">
        <f t="shared" si="8"/>
        <v>0.12787388948252579</v>
      </c>
      <c r="I41" s="115">
        <f t="shared" si="9"/>
        <v>-2.1095010611414944E-3</v>
      </c>
      <c r="J41" s="114">
        <v>148612.53099999999</v>
      </c>
      <c r="K41" s="115">
        <f t="shared" ref="K41:K50" si="11">J41/SUM($J$40:$J$49)</f>
        <v>0.13057326615623507</v>
      </c>
      <c r="L41" s="115">
        <f t="shared" si="10"/>
        <v>0.11515339641342726</v>
      </c>
    </row>
    <row r="42" spans="1:22" x14ac:dyDescent="0.25">
      <c r="A42" s="85" t="s">
        <v>127</v>
      </c>
      <c r="B42" s="114">
        <v>97025.343999999997</v>
      </c>
      <c r="C42" s="115">
        <f t="shared" si="5"/>
        <v>8.8033500013676103E-2</v>
      </c>
      <c r="D42" s="114">
        <v>105684.11199999999</v>
      </c>
      <c r="E42" s="115">
        <f t="shared" si="6"/>
        <v>9.5889814883803423E-2</v>
      </c>
      <c r="F42" s="115">
        <f t="shared" si="7"/>
        <v>8.9242332395131685E-2</v>
      </c>
      <c r="G42" s="114">
        <v>110727.07799999999</v>
      </c>
      <c r="H42" s="115">
        <f t="shared" si="8"/>
        <v>0.10624656433509488</v>
      </c>
      <c r="I42" s="115">
        <f t="shared" si="9"/>
        <v>4.7717352254424084E-2</v>
      </c>
      <c r="J42" s="114">
        <v>119644.412</v>
      </c>
      <c r="K42" s="115">
        <f t="shared" si="11"/>
        <v>0.10512142917599758</v>
      </c>
      <c r="L42" s="115">
        <f t="shared" si="10"/>
        <v>8.0534356736118307E-2</v>
      </c>
    </row>
    <row r="43" spans="1:22" x14ac:dyDescent="0.25">
      <c r="A43" s="85" t="s">
        <v>131</v>
      </c>
      <c r="B43" s="114">
        <v>83393.093999999997</v>
      </c>
      <c r="C43" s="115">
        <f t="shared" si="5"/>
        <v>7.566462162493845E-2</v>
      </c>
      <c r="D43" s="114">
        <v>84547.788</v>
      </c>
      <c r="E43" s="115">
        <f t="shared" si="6"/>
        <v>7.6712304117718816E-2</v>
      </c>
      <c r="F43" s="115">
        <f t="shared" si="7"/>
        <v>1.3846398360036982E-2</v>
      </c>
      <c r="G43" s="114">
        <v>74417.510999999999</v>
      </c>
      <c r="H43" s="115">
        <f t="shared" si="8"/>
        <v>7.1406245093175238E-2</v>
      </c>
      <c r="I43" s="115">
        <f t="shared" si="9"/>
        <v>-0.1198171736911674</v>
      </c>
      <c r="J43" s="114">
        <v>79337.036999999997</v>
      </c>
      <c r="K43" s="115">
        <f t="shared" si="11"/>
        <v>6.9706746655489427E-2</v>
      </c>
      <c r="L43" s="115">
        <f t="shared" si="10"/>
        <v>6.6107102130841255E-2</v>
      </c>
    </row>
    <row r="44" spans="1:22" x14ac:dyDescent="0.25">
      <c r="A44" s="85" t="s">
        <v>117</v>
      </c>
      <c r="B44" s="114">
        <v>78661.481</v>
      </c>
      <c r="C44" s="115">
        <f t="shared" si="5"/>
        <v>7.1371511846320096E-2</v>
      </c>
      <c r="D44" s="114">
        <v>81779.099000000002</v>
      </c>
      <c r="E44" s="115">
        <f t="shared" si="6"/>
        <v>7.4200203948103699E-2</v>
      </c>
      <c r="F44" s="115">
        <f t="shared" si="7"/>
        <v>3.9633349898408277E-2</v>
      </c>
      <c r="G44" s="114">
        <v>73804.240000000005</v>
      </c>
      <c r="H44" s="115">
        <f t="shared" si="8"/>
        <v>7.0817789785464977E-2</v>
      </c>
      <c r="I44" s="115">
        <f t="shared" si="9"/>
        <v>-9.7517080739664252E-2</v>
      </c>
      <c r="J44" s="114">
        <v>86095.747000000003</v>
      </c>
      <c r="K44" s="115">
        <f t="shared" si="11"/>
        <v>7.5645053699750789E-2</v>
      </c>
      <c r="L44" s="115">
        <f t="shared" si="10"/>
        <v>0.1665420170982046</v>
      </c>
    </row>
    <row r="45" spans="1:22" x14ac:dyDescent="0.25">
      <c r="A45" s="113" t="s">
        <v>122</v>
      </c>
      <c r="B45" s="114">
        <v>103973.776</v>
      </c>
      <c r="C45" s="115">
        <f t="shared" si="5"/>
        <v>9.4337984629232097E-2</v>
      </c>
      <c r="D45" s="114">
        <v>112227.531</v>
      </c>
      <c r="E45" s="115">
        <f t="shared" si="6"/>
        <v>0.10182682116358521</v>
      </c>
      <c r="F45" s="115">
        <f t="shared" si="7"/>
        <v>7.9383045586417955E-2</v>
      </c>
      <c r="G45" s="114">
        <v>94232.731</v>
      </c>
      <c r="H45" s="115">
        <f t="shared" si="8"/>
        <v>9.0419652514113949E-2</v>
      </c>
      <c r="I45" s="115">
        <f t="shared" si="9"/>
        <v>-0.16034211783559604</v>
      </c>
      <c r="J45" s="114">
        <v>100444.927</v>
      </c>
      <c r="K45" s="115">
        <f t="shared" si="11"/>
        <v>8.8252464976958114E-2</v>
      </c>
      <c r="L45" s="115">
        <f t="shared" si="10"/>
        <v>6.592397284973095E-2</v>
      </c>
    </row>
    <row r="46" spans="1:22" x14ac:dyDescent="0.25">
      <c r="A46" s="85" t="s">
        <v>130</v>
      </c>
      <c r="B46" s="114">
        <v>35631.534</v>
      </c>
      <c r="C46" s="115">
        <f t="shared" si="5"/>
        <v>3.2329374156883181E-2</v>
      </c>
      <c r="D46" s="114">
        <v>37487.209000000003</v>
      </c>
      <c r="E46" s="115">
        <f t="shared" si="6"/>
        <v>3.4013074089324323E-2</v>
      </c>
      <c r="F46" s="115">
        <f t="shared" si="7"/>
        <v>5.2079570865514846E-2</v>
      </c>
      <c r="G46" s="114">
        <v>33326.845999999998</v>
      </c>
      <c r="H46" s="115">
        <f t="shared" si="8"/>
        <v>3.1978292497024073E-2</v>
      </c>
      <c r="I46" s="115">
        <f t="shared" si="9"/>
        <v>-0.11098086816759301</v>
      </c>
      <c r="J46" s="114">
        <v>34967.332999999999</v>
      </c>
      <c r="K46" s="115">
        <f t="shared" si="11"/>
        <v>3.072283910286611E-2</v>
      </c>
      <c r="L46" s="115">
        <f t="shared" si="10"/>
        <v>4.9224190011860181E-2</v>
      </c>
    </row>
    <row r="47" spans="1:22" x14ac:dyDescent="0.25">
      <c r="A47" s="85" t="s">
        <v>128</v>
      </c>
      <c r="B47" s="114">
        <v>27663.800999999999</v>
      </c>
      <c r="C47" s="115">
        <f t="shared" si="5"/>
        <v>2.5100052474040527E-2</v>
      </c>
      <c r="D47" s="114">
        <v>26958.100999999999</v>
      </c>
      <c r="E47" s="115">
        <f t="shared" si="6"/>
        <v>2.4459753368688719E-2</v>
      </c>
      <c r="F47" s="115">
        <f t="shared" si="7"/>
        <v>-2.5509871185091293E-2</v>
      </c>
      <c r="G47" s="114">
        <v>24589.567999999999</v>
      </c>
      <c r="H47" s="115">
        <f t="shared" si="8"/>
        <v>2.3594563910412144E-2</v>
      </c>
      <c r="I47" s="115">
        <f t="shared" si="9"/>
        <v>-8.7859786562859088E-2</v>
      </c>
      <c r="J47" s="114">
        <v>31152.395</v>
      </c>
      <c r="K47" s="115">
        <f t="shared" si="11"/>
        <v>2.737097562613456E-2</v>
      </c>
      <c r="L47" s="115">
        <f t="shared" si="10"/>
        <v>0.26689476610569174</v>
      </c>
    </row>
    <row r="48" spans="1:22" x14ac:dyDescent="0.25">
      <c r="A48" s="85" t="s">
        <v>125</v>
      </c>
      <c r="B48" s="114">
        <v>11731.859</v>
      </c>
      <c r="C48" s="115">
        <f t="shared" si="5"/>
        <v>1.0644606520920412E-2</v>
      </c>
      <c r="D48" s="114">
        <v>12700.198</v>
      </c>
      <c r="E48" s="115">
        <f t="shared" si="6"/>
        <v>1.152320450218336E-2</v>
      </c>
      <c r="F48" s="115">
        <f t="shared" si="7"/>
        <v>8.2539263385282835E-2</v>
      </c>
      <c r="G48" s="114">
        <v>13423.159</v>
      </c>
      <c r="H48" s="115">
        <f t="shared" si="8"/>
        <v>1.287999784726287E-2</v>
      </c>
      <c r="I48" s="115">
        <f t="shared" si="9"/>
        <v>5.6925175497263947E-2</v>
      </c>
      <c r="J48" s="114">
        <v>15671.518</v>
      </c>
      <c r="K48" s="115">
        <f t="shared" si="11"/>
        <v>1.3769237877297365E-2</v>
      </c>
      <c r="L48" s="115">
        <f t="shared" si="10"/>
        <v>0.16749850016676415</v>
      </c>
    </row>
    <row r="49" spans="1:12" x14ac:dyDescent="0.25">
      <c r="A49" s="85" t="s">
        <v>230</v>
      </c>
      <c r="B49" s="114">
        <v>94841.347999999998</v>
      </c>
      <c r="C49" s="115">
        <f t="shared" si="5"/>
        <v>8.6051906298369424E-2</v>
      </c>
      <c r="D49" s="114">
        <f>45345.872+25288.563+13008.299+9944.281+7562.724</f>
        <v>101149.739</v>
      </c>
      <c r="E49" s="115">
        <f t="shared" si="6"/>
        <v>9.1775665847057805E-2</v>
      </c>
      <c r="F49" s="115">
        <f t="shared" si="7"/>
        <v>6.6515197569735118E-2</v>
      </c>
      <c r="G49" s="114">
        <v>83558.403000000006</v>
      </c>
      <c r="H49" s="115">
        <f t="shared" si="8"/>
        <v>8.0177255649040852E-2</v>
      </c>
      <c r="I49" s="115">
        <f t="shared" si="9"/>
        <v>-0.1739138051557404</v>
      </c>
      <c r="J49" s="114">
        <f>81475.674+23597.459</f>
        <v>105073.133</v>
      </c>
      <c r="K49" s="115">
        <f t="shared" si="11"/>
        <v>9.2318878285428618E-2</v>
      </c>
      <c r="L49" s="115">
        <f t="shared" si="10"/>
        <v>0.25748134511378828</v>
      </c>
    </row>
    <row r="50" spans="1:12" x14ac:dyDescent="0.25">
      <c r="A50" s="85" t="s">
        <v>204</v>
      </c>
      <c r="B50" s="114">
        <v>1040348.3690000001</v>
      </c>
      <c r="C50" s="115">
        <f t="shared" si="5"/>
        <v>0.94393386697592563</v>
      </c>
      <c r="D50" s="114">
        <f>SUM(D40:D49)</f>
        <v>1102141.162</v>
      </c>
      <c r="E50" s="115">
        <f t="shared" si="6"/>
        <v>1</v>
      </c>
      <c r="F50" s="115">
        <f t="shared" si="7"/>
        <v>5.9396251141717205E-2</v>
      </c>
      <c r="G50" s="114">
        <f>SUM(G40:G49)</f>
        <v>1042170.904</v>
      </c>
      <c r="H50" s="115">
        <f t="shared" si="8"/>
        <v>1</v>
      </c>
      <c r="I50" s="115">
        <f t="shared" si="9"/>
        <v>-5.441250183522317E-2</v>
      </c>
      <c r="J50" s="114">
        <f>SUM(J40:J49)</f>
        <v>1138154.351</v>
      </c>
      <c r="K50" s="115">
        <f t="shared" si="11"/>
        <v>1</v>
      </c>
      <c r="L50" s="115">
        <f t="shared" si="10"/>
        <v>9.2099526701044931E-2</v>
      </c>
    </row>
    <row r="51" spans="1:12" x14ac:dyDescent="0.25">
      <c r="A51" s="405" t="s">
        <v>223</v>
      </c>
      <c r="B51" s="406"/>
      <c r="C51" s="406"/>
      <c r="D51" s="406"/>
      <c r="E51" s="406"/>
      <c r="F51" s="406"/>
      <c r="G51" s="406"/>
      <c r="H51" s="406"/>
      <c r="I51" s="406"/>
      <c r="J51" s="406"/>
      <c r="K51" s="406"/>
      <c r="L51" s="407"/>
    </row>
  </sheetData>
  <mergeCells count="17">
    <mergeCell ref="E3:G3"/>
    <mergeCell ref="H3:J3"/>
    <mergeCell ref="A1:M1"/>
    <mergeCell ref="A18:M18"/>
    <mergeCell ref="A19:M19"/>
    <mergeCell ref="A2:A4"/>
    <mergeCell ref="B2:D3"/>
    <mergeCell ref="E2:J2"/>
    <mergeCell ref="K2:M3"/>
    <mergeCell ref="A51:L51"/>
    <mergeCell ref="A37:L37"/>
    <mergeCell ref="E21:J21"/>
    <mergeCell ref="A38:A39"/>
    <mergeCell ref="B38:C38"/>
    <mergeCell ref="D38:F38"/>
    <mergeCell ref="G38:I38"/>
    <mergeCell ref="J38:L38"/>
  </mergeCells>
  <phoneticPr fontId="58" type="noConversion"/>
  <pageMargins left="0.7" right="0.7" top="0.75" bottom="0.75" header="0.3" footer="0.3"/>
  <pageSetup fitToHeight="0" orientation="landscape" r:id="rId1"/>
  <ignoredErrors>
    <ignoredError sqref="J17" formulaRang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6"/>
  <sheetViews>
    <sheetView zoomScaleNormal="100" workbookViewId="0">
      <selection sqref="A1:O1"/>
    </sheetView>
  </sheetViews>
  <sheetFormatPr baseColWidth="10" defaultColWidth="11.42578125" defaultRowHeight="15" x14ac:dyDescent="0.25"/>
  <cols>
    <col min="1" max="1" width="9.7109375" customWidth="1"/>
    <col min="2" max="2" width="7.28515625" customWidth="1"/>
    <col min="3" max="3" width="8.28515625" customWidth="1"/>
    <col min="4" max="4" width="7.7109375" customWidth="1"/>
    <col min="5" max="5" width="8.85546875" customWidth="1"/>
    <col min="6" max="6" width="7.7109375" customWidth="1"/>
    <col min="7" max="7" width="7.85546875" customWidth="1"/>
    <col min="8" max="8" width="8.85546875" customWidth="1"/>
    <col min="9" max="9" width="7.85546875" bestFit="1" customWidth="1"/>
    <col min="10" max="11" width="8.85546875" bestFit="1" customWidth="1"/>
    <col min="12" max="12" width="7.85546875" bestFit="1" customWidth="1"/>
    <col min="13" max="14" width="8.85546875" bestFit="1" customWidth="1"/>
    <col min="15" max="15" width="9.42578125" customWidth="1"/>
    <col min="18" max="18" width="13.28515625" customWidth="1"/>
    <col min="19" max="19" width="15.28515625" customWidth="1"/>
  </cols>
  <sheetData>
    <row r="1" spans="1:19" x14ac:dyDescent="0.25">
      <c r="A1" s="432" t="s">
        <v>567</v>
      </c>
      <c r="B1" s="432"/>
      <c r="C1" s="432"/>
      <c r="D1" s="432"/>
      <c r="E1" s="432"/>
      <c r="F1" s="432"/>
      <c r="G1" s="432"/>
      <c r="H1" s="432"/>
      <c r="I1" s="432"/>
      <c r="J1" s="432"/>
      <c r="K1" s="432"/>
      <c r="L1" s="432"/>
      <c r="M1" s="432"/>
      <c r="N1" s="432"/>
      <c r="O1" s="432"/>
    </row>
    <row r="2" spans="1:19" x14ac:dyDescent="0.25">
      <c r="A2" s="433" t="s">
        <v>247</v>
      </c>
      <c r="B2" s="433"/>
      <c r="C2" s="433"/>
      <c r="D2" s="433"/>
      <c r="E2" s="433"/>
      <c r="F2" s="433"/>
      <c r="G2" s="433"/>
      <c r="H2" s="433"/>
      <c r="I2" s="433"/>
      <c r="J2" s="433"/>
      <c r="K2" s="433"/>
      <c r="L2" s="433"/>
      <c r="M2" s="433"/>
      <c r="N2" s="433"/>
      <c r="O2" s="433"/>
    </row>
    <row r="3" spans="1:19" x14ac:dyDescent="0.25">
      <c r="A3" s="126" t="s">
        <v>248</v>
      </c>
      <c r="B3" s="126">
        <v>2009</v>
      </c>
      <c r="C3" s="126">
        <v>2010</v>
      </c>
      <c r="D3" s="126" t="s">
        <v>249</v>
      </c>
      <c r="E3" s="126" t="s">
        <v>250</v>
      </c>
      <c r="F3" s="126">
        <v>2012</v>
      </c>
      <c r="G3" s="126">
        <v>2013</v>
      </c>
      <c r="H3" s="126">
        <v>2014</v>
      </c>
      <c r="I3" s="126">
        <v>2015</v>
      </c>
      <c r="J3" s="126">
        <v>2016</v>
      </c>
      <c r="K3" s="126">
        <v>2017</v>
      </c>
      <c r="L3" s="126">
        <v>2018</v>
      </c>
      <c r="M3" s="126">
        <v>2019</v>
      </c>
      <c r="N3" s="126">
        <v>2020</v>
      </c>
      <c r="O3" s="126">
        <v>2021</v>
      </c>
    </row>
    <row r="4" spans="1:19" x14ac:dyDescent="0.25">
      <c r="A4" s="113" t="s">
        <v>251</v>
      </c>
      <c r="B4" s="114">
        <v>111524.96</v>
      </c>
      <c r="C4" s="114">
        <v>116830.78</v>
      </c>
      <c r="D4" s="114">
        <v>125946.23000000001</v>
      </c>
      <c r="E4" s="114">
        <v>125946.23000000001</v>
      </c>
      <c r="F4" s="114">
        <v>128638</v>
      </c>
      <c r="G4" s="114">
        <v>130361.7</v>
      </c>
      <c r="H4" s="114">
        <v>137592.44</v>
      </c>
      <c r="I4" s="114">
        <v>141918.12399999998</v>
      </c>
      <c r="J4" s="114">
        <v>137374.93</v>
      </c>
      <c r="K4" s="114">
        <v>135907.75</v>
      </c>
      <c r="L4" s="114">
        <v>137191.12</v>
      </c>
      <c r="M4" s="114">
        <v>136288.79</v>
      </c>
      <c r="N4" s="114">
        <v>136166.23999999993</v>
      </c>
      <c r="O4" s="114">
        <v>130086.17</v>
      </c>
      <c r="P4" s="79"/>
      <c r="Q4" s="79"/>
    </row>
    <row r="5" spans="1:19" x14ac:dyDescent="0.25">
      <c r="A5" s="113" t="s">
        <v>252</v>
      </c>
      <c r="B5" s="114">
        <v>53340.070009197589</v>
      </c>
      <c r="C5" s="114">
        <v>52656.510009197591</v>
      </c>
      <c r="D5" s="114">
        <v>53869.560009197579</v>
      </c>
      <c r="E5" s="114">
        <v>53869.560009197579</v>
      </c>
      <c r="F5" s="114">
        <v>53868.710009197581</v>
      </c>
      <c r="G5" s="114">
        <v>53745.990009197587</v>
      </c>
      <c r="H5" s="114">
        <v>52234.06</v>
      </c>
      <c r="I5" s="114">
        <v>48593.24</v>
      </c>
      <c r="J5" s="114">
        <v>48582.18</v>
      </c>
      <c r="K5" s="114">
        <v>48202.19000000001</v>
      </c>
      <c r="L5" s="114">
        <v>47799.800000000047</v>
      </c>
      <c r="M5" s="114">
        <v>47834.2</v>
      </c>
      <c r="N5" s="114">
        <v>45489.5</v>
      </c>
      <c r="O5" s="114">
        <v>43104.1</v>
      </c>
    </row>
    <row r="6" spans="1:19" x14ac:dyDescent="0.25">
      <c r="A6" s="113" t="s">
        <v>253</v>
      </c>
      <c r="B6" s="114">
        <v>10001</v>
      </c>
      <c r="C6" s="114">
        <v>6929.87</v>
      </c>
      <c r="D6" s="114">
        <v>10000</v>
      </c>
      <c r="E6" s="127">
        <v>7462.63</v>
      </c>
      <c r="F6" s="114">
        <v>7721.4</v>
      </c>
      <c r="G6" s="114">
        <v>7993.65</v>
      </c>
      <c r="H6" s="114">
        <v>8202.07</v>
      </c>
      <c r="I6" s="114">
        <v>8515.92</v>
      </c>
      <c r="J6" s="114">
        <v>8712.7199999999993</v>
      </c>
      <c r="K6" s="114">
        <v>8711.24</v>
      </c>
      <c r="L6" s="114">
        <v>9150.01</v>
      </c>
      <c r="M6" s="114">
        <v>9172.56</v>
      </c>
      <c r="N6" s="114">
        <v>9154.24</v>
      </c>
      <c r="O6" s="114">
        <v>9093.7099999999991</v>
      </c>
      <c r="Q6" s="170"/>
      <c r="R6" s="170"/>
      <c r="S6" s="170"/>
    </row>
    <row r="7" spans="1:19" x14ac:dyDescent="0.25">
      <c r="A7" s="113" t="s">
        <v>204</v>
      </c>
      <c r="B7" s="114">
        <f t="shared" ref="B7" si="0">SUM(B4:B6)</f>
        <v>174866.0300091976</v>
      </c>
      <c r="C7" s="114">
        <f>SUM(C4:C6)</f>
        <v>176417.1600091976</v>
      </c>
      <c r="D7" s="114">
        <f t="shared" ref="D7:J7" si="1">SUM(D4:D6)</f>
        <v>189815.7900091976</v>
      </c>
      <c r="E7" s="127">
        <f t="shared" si="1"/>
        <v>187278.42000919761</v>
      </c>
      <c r="F7" s="114">
        <f t="shared" si="1"/>
        <v>190228.11000919758</v>
      </c>
      <c r="G7" s="114">
        <f t="shared" si="1"/>
        <v>192101.34000919756</v>
      </c>
      <c r="H7" s="114">
        <f t="shared" si="1"/>
        <v>198028.57</v>
      </c>
      <c r="I7" s="114">
        <f t="shared" si="1"/>
        <v>199027.28399999999</v>
      </c>
      <c r="J7" s="114">
        <f t="shared" si="1"/>
        <v>194669.83</v>
      </c>
      <c r="K7" s="114">
        <f>SUM(K4:K6)</f>
        <v>192821.18</v>
      </c>
      <c r="L7" s="114">
        <f>SUM(L4:L6)</f>
        <v>194140.93000000005</v>
      </c>
      <c r="M7" s="114">
        <f>SUM(M4:M6)</f>
        <v>193295.55</v>
      </c>
      <c r="N7" s="114">
        <f>SUM(N4:N6)</f>
        <v>190809.97999999992</v>
      </c>
      <c r="O7" s="114">
        <f>SUM(O4:O6)</f>
        <v>182283.97999999998</v>
      </c>
    </row>
    <row r="8" spans="1:19" ht="15" customHeight="1" x14ac:dyDescent="0.25">
      <c r="A8" s="434" t="s">
        <v>254</v>
      </c>
      <c r="B8" s="434"/>
      <c r="C8" s="434"/>
      <c r="D8" s="434"/>
      <c r="E8" s="434"/>
      <c r="F8" s="434"/>
      <c r="G8" s="434"/>
      <c r="H8" s="434"/>
      <c r="I8" s="434"/>
      <c r="J8" s="434"/>
      <c r="K8" s="434"/>
      <c r="L8" s="434"/>
      <c r="M8" s="434"/>
      <c r="N8" s="434"/>
      <c r="O8" s="434"/>
    </row>
    <row r="9" spans="1:19" ht="27.6" customHeight="1" x14ac:dyDescent="0.25">
      <c r="A9" s="434" t="s">
        <v>255</v>
      </c>
      <c r="B9" s="434"/>
      <c r="C9" s="434"/>
      <c r="D9" s="434"/>
      <c r="E9" s="434"/>
      <c r="F9" s="434"/>
      <c r="G9" s="434"/>
      <c r="H9" s="434"/>
      <c r="I9" s="434"/>
      <c r="J9" s="434"/>
      <c r="K9" s="434"/>
      <c r="L9" s="434"/>
      <c r="M9" s="434"/>
      <c r="N9" s="434"/>
      <c r="O9" s="434"/>
    </row>
    <row r="10" spans="1:19" ht="24" customHeight="1" x14ac:dyDescent="0.25">
      <c r="A10" s="434" t="s">
        <v>256</v>
      </c>
      <c r="B10" s="434"/>
      <c r="C10" s="434"/>
      <c r="D10" s="434"/>
      <c r="E10" s="434"/>
      <c r="F10" s="434"/>
      <c r="G10" s="434"/>
      <c r="H10" s="434"/>
      <c r="I10" s="434"/>
      <c r="J10" s="434"/>
      <c r="K10" s="434"/>
      <c r="L10" s="434"/>
      <c r="M10" s="434"/>
      <c r="N10" s="434"/>
      <c r="O10" s="434"/>
    </row>
    <row r="11" spans="1:19" ht="25.9" customHeight="1" x14ac:dyDescent="0.25">
      <c r="A11" s="434" t="s">
        <v>286</v>
      </c>
      <c r="B11" s="434"/>
      <c r="C11" s="434"/>
      <c r="D11" s="434"/>
      <c r="E11" s="434"/>
      <c r="F11" s="434"/>
      <c r="G11" s="434"/>
      <c r="H11" s="434"/>
      <c r="I11" s="434"/>
      <c r="J11" s="434"/>
      <c r="K11" s="434"/>
      <c r="L11" s="434"/>
      <c r="M11" s="434"/>
      <c r="N11" s="434"/>
      <c r="O11" s="434"/>
    </row>
    <row r="12" spans="1:19" ht="14.45" customHeight="1" x14ac:dyDescent="0.25">
      <c r="A12" s="434" t="s">
        <v>257</v>
      </c>
      <c r="B12" s="434"/>
      <c r="C12" s="434"/>
      <c r="D12" s="434"/>
      <c r="E12" s="434"/>
      <c r="F12" s="434"/>
      <c r="G12" s="434"/>
      <c r="H12" s="434"/>
      <c r="I12" s="434"/>
      <c r="J12" s="434"/>
      <c r="K12" s="434"/>
      <c r="L12" s="434"/>
      <c r="M12" s="434"/>
      <c r="N12" s="434"/>
      <c r="O12" s="434"/>
    </row>
    <row r="13" spans="1:19" ht="14.45" customHeight="1" x14ac:dyDescent="0.25">
      <c r="A13" s="55"/>
      <c r="B13" s="55"/>
      <c r="C13" s="55"/>
      <c r="D13" s="55"/>
      <c r="E13" s="55"/>
      <c r="F13" s="55"/>
      <c r="G13" s="55"/>
      <c r="H13" s="55"/>
      <c r="I13" s="55"/>
      <c r="J13" s="55"/>
      <c r="K13" s="55"/>
      <c r="L13" s="55"/>
      <c r="M13" s="55"/>
      <c r="N13" s="55"/>
      <c r="O13" s="55"/>
    </row>
    <row r="14" spans="1:19" ht="14.45" customHeight="1" x14ac:dyDescent="0.25">
      <c r="A14" s="55"/>
      <c r="B14" s="55"/>
      <c r="C14" s="55"/>
      <c r="D14" s="55"/>
      <c r="E14" s="55"/>
      <c r="F14" s="55"/>
      <c r="G14" s="55"/>
      <c r="H14" s="55"/>
      <c r="I14" s="55"/>
      <c r="J14" s="55"/>
      <c r="K14" s="55"/>
      <c r="L14" s="55"/>
      <c r="M14" s="55"/>
      <c r="N14" s="55"/>
      <c r="O14" s="55"/>
    </row>
    <row r="15" spans="1:19" ht="14.45" customHeight="1" x14ac:dyDescent="0.25">
      <c r="A15" s="55"/>
      <c r="B15" s="55"/>
      <c r="C15" s="55"/>
      <c r="D15" s="55"/>
      <c r="E15" s="55"/>
      <c r="F15" s="55"/>
      <c r="G15" s="55"/>
      <c r="H15" s="55"/>
      <c r="I15" s="55"/>
      <c r="J15" s="55"/>
      <c r="K15" s="55"/>
      <c r="L15" s="55"/>
      <c r="M15" s="55"/>
      <c r="N15" s="55"/>
      <c r="O15" s="55"/>
    </row>
    <row r="16" spans="1:19" x14ac:dyDescent="0.25">
      <c r="A16" s="55"/>
      <c r="B16" s="55"/>
      <c r="C16" s="55"/>
      <c r="D16" s="55"/>
      <c r="E16" s="55"/>
      <c r="F16" s="55"/>
      <c r="G16" s="55"/>
      <c r="H16" s="55"/>
      <c r="I16" s="55"/>
      <c r="J16" s="55"/>
      <c r="K16" s="55"/>
      <c r="L16" s="55"/>
      <c r="M16" s="55"/>
      <c r="N16" s="55"/>
    </row>
    <row r="17" spans="1:17" x14ac:dyDescent="0.25">
      <c r="A17" s="446" t="s">
        <v>568</v>
      </c>
      <c r="B17" s="446"/>
      <c r="C17" s="446"/>
      <c r="D17" s="446"/>
      <c r="E17" s="446"/>
      <c r="F17" s="446"/>
      <c r="G17" s="446"/>
      <c r="H17" s="446"/>
      <c r="I17" s="446"/>
      <c r="J17" s="446"/>
      <c r="K17" s="446"/>
      <c r="L17" s="446"/>
      <c r="M17" s="446"/>
      <c r="N17" s="446"/>
    </row>
    <row r="18" spans="1:17" ht="15" customHeight="1" x14ac:dyDescent="0.25">
      <c r="A18" s="447" t="s">
        <v>236</v>
      </c>
      <c r="B18" s="447"/>
      <c r="C18" s="436" t="s">
        <v>258</v>
      </c>
      <c r="D18" s="437"/>
      <c r="E18" s="438"/>
      <c r="F18" s="435" t="s">
        <v>259</v>
      </c>
      <c r="G18" s="435"/>
      <c r="H18" s="435"/>
      <c r="I18" s="436" t="s">
        <v>285</v>
      </c>
      <c r="J18" s="437"/>
      <c r="K18" s="438"/>
      <c r="L18" s="436" t="s">
        <v>602</v>
      </c>
      <c r="M18" s="437"/>
      <c r="N18" s="438"/>
    </row>
    <row r="19" spans="1:17" x14ac:dyDescent="0.25">
      <c r="A19" s="447"/>
      <c r="B19" s="447"/>
      <c r="C19" s="128" t="s">
        <v>260</v>
      </c>
      <c r="D19" s="128" t="s">
        <v>261</v>
      </c>
      <c r="E19" s="128" t="s">
        <v>204</v>
      </c>
      <c r="F19" s="128" t="s">
        <v>260</v>
      </c>
      <c r="G19" s="128" t="s">
        <v>261</v>
      </c>
      <c r="H19" s="128" t="s">
        <v>204</v>
      </c>
      <c r="I19" s="128" t="s">
        <v>260</v>
      </c>
      <c r="J19" s="128" t="s">
        <v>261</v>
      </c>
      <c r="K19" s="128" t="s">
        <v>204</v>
      </c>
      <c r="L19" s="128" t="s">
        <v>260</v>
      </c>
      <c r="M19" s="128" t="s">
        <v>261</v>
      </c>
      <c r="N19" s="128" t="s">
        <v>204</v>
      </c>
    </row>
    <row r="20" spans="1:17" x14ac:dyDescent="0.25">
      <c r="A20" s="439" t="s">
        <v>262</v>
      </c>
      <c r="B20" s="439"/>
      <c r="C20" s="129"/>
      <c r="D20" s="129">
        <v>15</v>
      </c>
      <c r="E20" s="129">
        <f>D20+C20</f>
        <v>15</v>
      </c>
      <c r="F20" s="129"/>
      <c r="G20" s="129">
        <v>15</v>
      </c>
      <c r="H20" s="129">
        <f>G20+F20</f>
        <v>15</v>
      </c>
      <c r="I20" s="129"/>
      <c r="J20" s="129">
        <v>15</v>
      </c>
      <c r="K20" s="129">
        <f t="shared" ref="K20:K27" si="2">J20+I20</f>
        <v>15</v>
      </c>
      <c r="L20" s="129"/>
      <c r="M20" s="129">
        <v>15</v>
      </c>
      <c r="N20" s="129">
        <f t="shared" ref="N20:N25" si="3">M20+L20</f>
        <v>15</v>
      </c>
      <c r="O20" s="238"/>
    </row>
    <row r="21" spans="1:17" x14ac:dyDescent="0.25">
      <c r="A21" s="439" t="s">
        <v>263</v>
      </c>
      <c r="B21" s="439"/>
      <c r="C21" s="129">
        <v>1.3</v>
      </c>
      <c r="D21" s="129">
        <v>1.8</v>
      </c>
      <c r="E21" s="129">
        <f t="shared" ref="E21:E33" si="4">D21+C21</f>
        <v>3.1</v>
      </c>
      <c r="F21" s="129">
        <v>1.3</v>
      </c>
      <c r="G21" s="129">
        <v>1.8</v>
      </c>
      <c r="H21" s="129">
        <f t="shared" ref="H21:H22" si="5">G21+F21</f>
        <v>3.1</v>
      </c>
      <c r="I21" s="129">
        <v>1.4</v>
      </c>
      <c r="J21" s="129">
        <v>2.0499999999999998</v>
      </c>
      <c r="K21" s="129">
        <f t="shared" si="2"/>
        <v>3.4499999999999997</v>
      </c>
      <c r="L21" s="129">
        <v>1.9</v>
      </c>
      <c r="M21" s="129">
        <v>2.0499999999999998</v>
      </c>
      <c r="N21" s="129">
        <f t="shared" si="3"/>
        <v>3.9499999999999997</v>
      </c>
      <c r="O21" s="238"/>
    </row>
    <row r="22" spans="1:17" x14ac:dyDescent="0.25">
      <c r="A22" s="439" t="s">
        <v>212</v>
      </c>
      <c r="B22" s="439"/>
      <c r="C22" s="129">
        <v>1.06</v>
      </c>
      <c r="D22" s="129">
        <v>3.91</v>
      </c>
      <c r="E22" s="129">
        <f t="shared" si="4"/>
        <v>4.9700000000000006</v>
      </c>
      <c r="F22" s="129">
        <v>1.06</v>
      </c>
      <c r="G22" s="129">
        <v>3.91</v>
      </c>
      <c r="H22" s="129">
        <f t="shared" si="5"/>
        <v>4.9700000000000006</v>
      </c>
      <c r="I22" s="129">
        <v>1.06</v>
      </c>
      <c r="J22" s="129">
        <v>3.91</v>
      </c>
      <c r="K22" s="129">
        <f t="shared" si="2"/>
        <v>4.9700000000000006</v>
      </c>
      <c r="L22" s="129">
        <v>1.06</v>
      </c>
      <c r="M22" s="129">
        <v>3.91</v>
      </c>
      <c r="N22" s="129">
        <f t="shared" si="3"/>
        <v>4.9700000000000006</v>
      </c>
      <c r="O22" s="238"/>
    </row>
    <row r="23" spans="1:17" x14ac:dyDescent="0.25">
      <c r="A23" s="439" t="s">
        <v>213</v>
      </c>
      <c r="B23" s="439"/>
      <c r="C23" s="129">
        <v>21.43</v>
      </c>
      <c r="D23" s="129">
        <v>25.54</v>
      </c>
      <c r="E23" s="129">
        <f t="shared" si="4"/>
        <v>46.97</v>
      </c>
      <c r="F23" s="129">
        <v>21.43</v>
      </c>
      <c r="G23" s="129">
        <v>27.19</v>
      </c>
      <c r="H23" s="129">
        <f>G23+F23</f>
        <v>48.620000000000005</v>
      </c>
      <c r="I23" s="129">
        <v>21.43</v>
      </c>
      <c r="J23" s="129">
        <v>28.19</v>
      </c>
      <c r="K23" s="129">
        <f t="shared" si="2"/>
        <v>49.620000000000005</v>
      </c>
      <c r="L23" s="129">
        <v>23.84</v>
      </c>
      <c r="M23" s="129">
        <v>31.47</v>
      </c>
      <c r="N23" s="129">
        <f t="shared" si="3"/>
        <v>55.31</v>
      </c>
      <c r="O23" s="238"/>
    </row>
    <row r="24" spans="1:17" x14ac:dyDescent="0.25">
      <c r="A24" s="439" t="s">
        <v>214</v>
      </c>
      <c r="B24" s="439"/>
      <c r="C24" s="129">
        <v>1783.55</v>
      </c>
      <c r="D24" s="129">
        <v>1395.67</v>
      </c>
      <c r="E24" s="129">
        <f t="shared" si="4"/>
        <v>3179.2200000000003</v>
      </c>
      <c r="F24" s="129">
        <v>1784.28</v>
      </c>
      <c r="G24" s="129">
        <v>1363.27</v>
      </c>
      <c r="H24" s="129">
        <f t="shared" ref="H24" si="6">G24+F24</f>
        <v>3147.55</v>
      </c>
      <c r="I24" s="129">
        <v>1826.35</v>
      </c>
      <c r="J24" s="129">
        <v>1298.8800000000001</v>
      </c>
      <c r="K24" s="129">
        <f t="shared" si="2"/>
        <v>3125.23</v>
      </c>
      <c r="L24" s="129">
        <v>1863.7899999999997</v>
      </c>
      <c r="M24" s="129">
        <v>1251.04</v>
      </c>
      <c r="N24" s="129">
        <f t="shared" si="3"/>
        <v>3114.83</v>
      </c>
      <c r="O24" s="238"/>
    </row>
    <row r="25" spans="1:17" x14ac:dyDescent="0.25">
      <c r="A25" s="439" t="s">
        <v>215</v>
      </c>
      <c r="B25" s="439"/>
      <c r="C25" s="129">
        <v>6313.82</v>
      </c>
      <c r="D25" s="129">
        <v>3560.65</v>
      </c>
      <c r="E25" s="129">
        <f t="shared" si="4"/>
        <v>9874.4699999999993</v>
      </c>
      <c r="F25" s="129">
        <v>6251.63</v>
      </c>
      <c r="G25" s="129">
        <v>3405.57</v>
      </c>
      <c r="H25" s="129">
        <f>G25+F25</f>
        <v>9657.2000000000007</v>
      </c>
      <c r="I25" s="129">
        <v>6347.72</v>
      </c>
      <c r="J25" s="129">
        <v>3379.47</v>
      </c>
      <c r="K25" s="129">
        <f t="shared" si="2"/>
        <v>9727.19</v>
      </c>
      <c r="L25" s="129">
        <v>5579.5800000000027</v>
      </c>
      <c r="M25" s="129">
        <v>3078.179999999998</v>
      </c>
      <c r="N25" s="129">
        <f t="shared" si="3"/>
        <v>8657.76</v>
      </c>
      <c r="O25" s="238"/>
    </row>
    <row r="26" spans="1:17" x14ac:dyDescent="0.25">
      <c r="A26" s="439" t="s">
        <v>216</v>
      </c>
      <c r="B26" s="439"/>
      <c r="C26" s="129">
        <v>1474.4</v>
      </c>
      <c r="D26" s="129">
        <v>10473.98</v>
      </c>
      <c r="E26" s="129">
        <f t="shared" si="4"/>
        <v>11948.38</v>
      </c>
      <c r="F26" s="129">
        <v>1428.8</v>
      </c>
      <c r="G26" s="129">
        <v>10156.07</v>
      </c>
      <c r="H26" s="129">
        <f t="shared" ref="H26:H33" si="7">G26+F26</f>
        <v>11584.869999999999</v>
      </c>
      <c r="I26" s="129">
        <v>1379.1299999999999</v>
      </c>
      <c r="J26" s="129">
        <v>9903.03999999999</v>
      </c>
      <c r="K26" s="129">
        <f t="shared" si="2"/>
        <v>11282.169999999989</v>
      </c>
      <c r="L26" s="129">
        <v>1300.1399999999999</v>
      </c>
      <c r="M26" s="129">
        <v>9259.23</v>
      </c>
      <c r="N26" s="129">
        <f t="shared" ref="N26:N34" si="8">M26+L26</f>
        <v>10559.369999999999</v>
      </c>
      <c r="O26" s="238"/>
    </row>
    <row r="27" spans="1:17" x14ac:dyDescent="0.25">
      <c r="A27" s="439" t="s">
        <v>217</v>
      </c>
      <c r="B27" s="439"/>
      <c r="C27" s="129">
        <v>6618.37</v>
      </c>
      <c r="D27" s="129">
        <v>39163.85</v>
      </c>
      <c r="E27" s="129">
        <f t="shared" si="4"/>
        <v>45782.22</v>
      </c>
      <c r="F27" s="129">
        <v>6545.8</v>
      </c>
      <c r="G27" s="129">
        <v>38596.620000000003</v>
      </c>
      <c r="H27" s="129">
        <f t="shared" si="7"/>
        <v>45142.420000000006</v>
      </c>
      <c r="I27" s="129">
        <v>6357.9100000000117</v>
      </c>
      <c r="J27" s="129">
        <v>38723.009999999915</v>
      </c>
      <c r="K27" s="129">
        <f t="shared" si="2"/>
        <v>45080.919999999925</v>
      </c>
      <c r="L27" s="129">
        <v>5818.8500000000049</v>
      </c>
      <c r="M27" s="129">
        <v>35720.510000000024</v>
      </c>
      <c r="N27" s="129">
        <f t="shared" si="8"/>
        <v>41539.36000000003</v>
      </c>
      <c r="O27" s="238"/>
    </row>
    <row r="28" spans="1:17" x14ac:dyDescent="0.25">
      <c r="A28" s="439" t="s">
        <v>264</v>
      </c>
      <c r="B28" s="439"/>
      <c r="C28" s="129">
        <v>14501.68</v>
      </c>
      <c r="D28" s="129">
        <v>39184.99</v>
      </c>
      <c r="E28" s="129">
        <f t="shared" si="4"/>
        <v>53686.67</v>
      </c>
      <c r="F28" s="129">
        <v>14290.95</v>
      </c>
      <c r="G28" s="129">
        <v>39527.730000000003</v>
      </c>
      <c r="H28" s="129">
        <f t="shared" si="7"/>
        <v>53818.680000000008</v>
      </c>
      <c r="I28" s="129">
        <v>14076.74</v>
      </c>
      <c r="J28" s="129">
        <v>39469.379999999997</v>
      </c>
      <c r="K28" s="129">
        <f>J28+I28</f>
        <v>53546.119999999995</v>
      </c>
      <c r="L28" s="129">
        <v>13746.330000000009</v>
      </c>
      <c r="M28" s="129">
        <v>39076.229999999807</v>
      </c>
      <c r="N28" s="129">
        <f>M28+L28</f>
        <v>52822.559999999816</v>
      </c>
      <c r="O28" s="238"/>
      <c r="P28" s="79"/>
    </row>
    <row r="29" spans="1:17" x14ac:dyDescent="0.25">
      <c r="A29" s="444" t="s">
        <v>219</v>
      </c>
      <c r="B29" s="445"/>
      <c r="C29" s="129">
        <v>4192.71</v>
      </c>
      <c r="D29" s="129">
        <v>5821.42</v>
      </c>
      <c r="E29" s="129">
        <f t="shared" si="4"/>
        <v>10014.130000000001</v>
      </c>
      <c r="F29" s="129">
        <v>4244.13</v>
      </c>
      <c r="G29" s="129">
        <v>5928.08</v>
      </c>
      <c r="H29" s="129">
        <f t="shared" si="7"/>
        <v>10172.209999999999</v>
      </c>
      <c r="I29" s="129">
        <v>4274.6500000000051</v>
      </c>
      <c r="J29" s="129">
        <v>6148.2400000000107</v>
      </c>
      <c r="K29" s="129">
        <f t="shared" ref="K29:K33" si="9">J29+I29</f>
        <v>10422.890000000016</v>
      </c>
      <c r="L29" s="129">
        <v>4282.7799999999861</v>
      </c>
      <c r="M29" s="129">
        <v>6086.9000000000196</v>
      </c>
      <c r="N29" s="129">
        <f t="shared" si="8"/>
        <v>10369.680000000006</v>
      </c>
      <c r="O29" s="238"/>
      <c r="P29" s="79"/>
      <c r="Q29" s="239"/>
    </row>
    <row r="30" spans="1:17" x14ac:dyDescent="0.25">
      <c r="A30" s="444" t="s">
        <v>265</v>
      </c>
      <c r="B30" s="445"/>
      <c r="C30" s="129">
        <v>1267.71</v>
      </c>
      <c r="D30" s="129">
        <v>1255.98</v>
      </c>
      <c r="E30" s="129">
        <f t="shared" si="4"/>
        <v>2523.69</v>
      </c>
      <c r="F30" s="129">
        <v>1300.45</v>
      </c>
      <c r="G30" s="129">
        <v>1281.42</v>
      </c>
      <c r="H30" s="129">
        <f t="shared" si="7"/>
        <v>2581.87</v>
      </c>
      <c r="I30" s="129">
        <v>1367.9199999999994</v>
      </c>
      <c r="J30" s="129">
        <v>1403.1399999999999</v>
      </c>
      <c r="K30" s="129">
        <f t="shared" si="9"/>
        <v>2771.0599999999995</v>
      </c>
      <c r="L30" s="129">
        <v>1366.04</v>
      </c>
      <c r="M30" s="129">
        <v>1430.2199999999989</v>
      </c>
      <c r="N30" s="129">
        <f t="shared" si="8"/>
        <v>2796.2599999999989</v>
      </c>
      <c r="O30" s="238"/>
    </row>
    <row r="31" spans="1:17" x14ac:dyDescent="0.25">
      <c r="A31" s="439" t="s">
        <v>266</v>
      </c>
      <c r="B31" s="439"/>
      <c r="C31" s="129">
        <v>38.69</v>
      </c>
      <c r="D31" s="129">
        <v>45.86</v>
      </c>
      <c r="E31" s="129">
        <f t="shared" si="4"/>
        <v>84.55</v>
      </c>
      <c r="F31" s="129">
        <v>38.69</v>
      </c>
      <c r="G31" s="129">
        <v>45.86</v>
      </c>
      <c r="H31" s="129">
        <f t="shared" si="7"/>
        <v>84.55</v>
      </c>
      <c r="I31" s="129">
        <v>43.73</v>
      </c>
      <c r="J31" s="129">
        <v>61.54</v>
      </c>
      <c r="K31" s="129">
        <f t="shared" si="9"/>
        <v>105.27</v>
      </c>
      <c r="L31" s="129">
        <v>45.039999999999985</v>
      </c>
      <c r="M31" s="129">
        <v>62.209999999999994</v>
      </c>
      <c r="N31" s="129">
        <f t="shared" si="8"/>
        <v>107.24999999999997</v>
      </c>
      <c r="O31" s="238"/>
    </row>
    <row r="32" spans="1:17" x14ac:dyDescent="0.25">
      <c r="A32" s="439" t="s">
        <v>240</v>
      </c>
      <c r="B32" s="439"/>
      <c r="C32" s="129">
        <v>13.7</v>
      </c>
      <c r="D32" s="129">
        <v>4.8</v>
      </c>
      <c r="E32" s="129">
        <f t="shared" si="4"/>
        <v>18.5</v>
      </c>
      <c r="F32" s="129">
        <v>13.7</v>
      </c>
      <c r="G32" s="129">
        <v>4.8</v>
      </c>
      <c r="H32" s="129">
        <f t="shared" si="7"/>
        <v>18.5</v>
      </c>
      <c r="I32" s="129">
        <v>13.7</v>
      </c>
      <c r="J32" s="129">
        <v>4.8</v>
      </c>
      <c r="K32" s="129">
        <f t="shared" si="9"/>
        <v>18.5</v>
      </c>
      <c r="L32" s="129">
        <v>13.7</v>
      </c>
      <c r="M32" s="129">
        <v>5.2</v>
      </c>
      <c r="N32" s="129">
        <f t="shared" si="8"/>
        <v>18.899999999999999</v>
      </c>
      <c r="O32" s="238"/>
    </row>
    <row r="33" spans="1:15" x14ac:dyDescent="0.25">
      <c r="A33" s="444" t="s">
        <v>222</v>
      </c>
      <c r="B33" s="445"/>
      <c r="C33" s="129">
        <v>2.59</v>
      </c>
      <c r="D33" s="129">
        <v>6.66</v>
      </c>
      <c r="E33" s="129">
        <f t="shared" si="4"/>
        <v>9.25</v>
      </c>
      <c r="F33" s="129">
        <v>2.59</v>
      </c>
      <c r="G33" s="129">
        <v>6.66</v>
      </c>
      <c r="H33" s="129">
        <f t="shared" si="7"/>
        <v>9.25</v>
      </c>
      <c r="I33" s="129">
        <v>5.39</v>
      </c>
      <c r="J33" s="129">
        <v>8.4599999999999991</v>
      </c>
      <c r="K33" s="129">
        <f t="shared" si="9"/>
        <v>13.849999999999998</v>
      </c>
      <c r="L33" s="129">
        <v>9.33</v>
      </c>
      <c r="M33" s="129">
        <v>9.6999999999999993</v>
      </c>
      <c r="N33" s="129">
        <f t="shared" si="8"/>
        <v>19.03</v>
      </c>
      <c r="O33" s="238"/>
    </row>
    <row r="34" spans="1:15" x14ac:dyDescent="0.25">
      <c r="A34" s="441" t="s">
        <v>603</v>
      </c>
      <c r="B34" s="442"/>
      <c r="C34" s="315"/>
      <c r="D34" s="315"/>
      <c r="E34" s="315"/>
      <c r="F34" s="315"/>
      <c r="G34" s="315"/>
      <c r="H34" s="315"/>
      <c r="I34" s="315"/>
      <c r="J34" s="315"/>
      <c r="K34" s="315"/>
      <c r="L34" s="315">
        <v>1.29</v>
      </c>
      <c r="M34" s="315">
        <v>0.65</v>
      </c>
      <c r="N34" s="129">
        <f t="shared" si="8"/>
        <v>1.94</v>
      </c>
      <c r="O34" s="238"/>
    </row>
    <row r="35" spans="1:15" x14ac:dyDescent="0.25">
      <c r="A35" s="440" t="s">
        <v>267</v>
      </c>
      <c r="B35" s="440"/>
      <c r="C35" s="130">
        <f t="shared" ref="C35:K35" si="10">SUM(C20:C33)</f>
        <v>36231.009999999995</v>
      </c>
      <c r="D35" s="130">
        <f t="shared" si="10"/>
        <v>100960.10999999999</v>
      </c>
      <c r="E35" s="130">
        <f t="shared" si="10"/>
        <v>137191.12</v>
      </c>
      <c r="F35" s="130">
        <f t="shared" si="10"/>
        <v>35924.80999999999</v>
      </c>
      <c r="G35" s="130">
        <f t="shared" si="10"/>
        <v>100363.98000000001</v>
      </c>
      <c r="H35" s="130">
        <f t="shared" si="10"/>
        <v>136288.79</v>
      </c>
      <c r="I35" s="130">
        <f t="shared" si="10"/>
        <v>35717.130000000012</v>
      </c>
      <c r="J35" s="130">
        <f t="shared" si="10"/>
        <v>100449.10999999991</v>
      </c>
      <c r="K35" s="130">
        <f t="shared" si="10"/>
        <v>136166.23999999993</v>
      </c>
      <c r="L35" s="130">
        <f>SUM(L20:L34)</f>
        <v>34053.670000000006</v>
      </c>
      <c r="M35" s="130">
        <f>SUM(M20:M34)</f>
        <v>96032.49999999984</v>
      </c>
      <c r="N35" s="130">
        <f>SUM(N20:N34)</f>
        <v>130086.16999999984</v>
      </c>
      <c r="O35" s="238"/>
    </row>
    <row r="36" spans="1:15" x14ac:dyDescent="0.25">
      <c r="A36" s="443" t="s">
        <v>268</v>
      </c>
      <c r="B36" s="443"/>
      <c r="C36" s="443"/>
      <c r="D36" s="443"/>
      <c r="E36" s="443"/>
      <c r="F36" s="443"/>
      <c r="G36" s="443"/>
      <c r="H36" s="443"/>
      <c r="I36" s="443"/>
      <c r="J36" s="443"/>
      <c r="K36" s="443"/>
      <c r="L36" s="443"/>
      <c r="M36" s="443"/>
      <c r="N36" s="443"/>
    </row>
  </sheetData>
  <mergeCells count="30">
    <mergeCell ref="A11:O11"/>
    <mergeCell ref="A12:O12"/>
    <mergeCell ref="A36:N36"/>
    <mergeCell ref="A33:B33"/>
    <mergeCell ref="A22:B22"/>
    <mergeCell ref="A23:B23"/>
    <mergeCell ref="A17:N17"/>
    <mergeCell ref="A18:B19"/>
    <mergeCell ref="A21:B21"/>
    <mergeCell ref="A20:B20"/>
    <mergeCell ref="L18:N18"/>
    <mergeCell ref="A30:B30"/>
    <mergeCell ref="A29:B29"/>
    <mergeCell ref="A25:B25"/>
    <mergeCell ref="C18:E18"/>
    <mergeCell ref="A26:B26"/>
    <mergeCell ref="F18:H18"/>
    <mergeCell ref="I18:K18"/>
    <mergeCell ref="A24:B24"/>
    <mergeCell ref="A35:B35"/>
    <mergeCell ref="A27:B27"/>
    <mergeCell ref="A28:B28"/>
    <mergeCell ref="A31:B31"/>
    <mergeCell ref="A32:B32"/>
    <mergeCell ref="A34:B34"/>
    <mergeCell ref="A1:O1"/>
    <mergeCell ref="A2:O2"/>
    <mergeCell ref="A8:O8"/>
    <mergeCell ref="A9:O9"/>
    <mergeCell ref="A10:O10"/>
  </mergeCells>
  <phoneticPr fontId="58" type="noConversion"/>
  <pageMargins left="1" right="1" top="1" bottom="1" header="0.5" footer="0.5"/>
  <pageSetup scale="90" fitToHeight="0" orientation="landscape" r:id="rId1"/>
  <rowBreaks count="1" manualBreakCount="1">
    <brk id="1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23"/>
  <sheetViews>
    <sheetView zoomScaleNormal="100" workbookViewId="0">
      <selection sqref="A1:P1"/>
    </sheetView>
  </sheetViews>
  <sheetFormatPr baseColWidth="10" defaultColWidth="11.42578125" defaultRowHeight="15" x14ac:dyDescent="0.25"/>
  <cols>
    <col min="1" max="1" width="12.7109375" bestFit="1" customWidth="1"/>
    <col min="2" max="12" width="7.5703125" bestFit="1" customWidth="1"/>
    <col min="13" max="15" width="8.42578125" bestFit="1" customWidth="1"/>
    <col min="16" max="16" width="8.28515625" customWidth="1"/>
  </cols>
  <sheetData>
    <row r="1" spans="1:17" x14ac:dyDescent="0.25">
      <c r="A1" s="401" t="s">
        <v>569</v>
      </c>
      <c r="B1" s="401"/>
      <c r="C1" s="401"/>
      <c r="D1" s="401"/>
      <c r="E1" s="401"/>
      <c r="F1" s="401"/>
      <c r="G1" s="401"/>
      <c r="H1" s="401"/>
      <c r="I1" s="401"/>
      <c r="J1" s="401"/>
      <c r="K1" s="401"/>
      <c r="L1" s="401"/>
      <c r="M1" s="401"/>
      <c r="N1" s="401"/>
      <c r="O1" s="401"/>
      <c r="P1" s="401"/>
    </row>
    <row r="2" spans="1:17" x14ac:dyDescent="0.25">
      <c r="A2" s="448" t="s">
        <v>269</v>
      </c>
      <c r="B2" s="402" t="s">
        <v>270</v>
      </c>
      <c r="C2" s="402"/>
      <c r="D2" s="402"/>
      <c r="E2" s="402"/>
      <c r="F2" s="402"/>
      <c r="G2" s="402"/>
      <c r="H2" s="402"/>
      <c r="I2" s="402"/>
      <c r="J2" s="402"/>
      <c r="K2" s="402"/>
      <c r="L2" s="402"/>
      <c r="M2" s="402"/>
      <c r="N2" s="402"/>
      <c r="O2" s="402"/>
      <c r="P2" s="402"/>
    </row>
    <row r="3" spans="1:17" x14ac:dyDescent="0.25">
      <c r="A3" s="448"/>
      <c r="B3" s="148">
        <v>2007</v>
      </c>
      <c r="C3" s="148">
        <v>2008</v>
      </c>
      <c r="D3" s="148">
        <v>2009</v>
      </c>
      <c r="E3" s="148">
        <v>2010</v>
      </c>
      <c r="F3" s="148">
        <v>2011</v>
      </c>
      <c r="G3" s="148">
        <v>2012</v>
      </c>
      <c r="H3" s="148">
        <v>2013</v>
      </c>
      <c r="I3" s="148">
        <v>2014</v>
      </c>
      <c r="J3" s="148">
        <v>2015</v>
      </c>
      <c r="K3" s="149">
        <v>2016</v>
      </c>
      <c r="L3" s="149">
        <v>2017</v>
      </c>
      <c r="M3" s="149">
        <v>2018</v>
      </c>
      <c r="N3" s="149">
        <v>2019</v>
      </c>
      <c r="O3" s="149">
        <v>2020</v>
      </c>
      <c r="P3" s="149">
        <v>2021</v>
      </c>
    </row>
    <row r="4" spans="1:17" x14ac:dyDescent="0.25">
      <c r="A4" s="104" t="s">
        <v>271</v>
      </c>
      <c r="B4" s="131">
        <v>40765.9</v>
      </c>
      <c r="C4" s="131">
        <v>38806.269999999997</v>
      </c>
      <c r="D4" s="131">
        <v>40727.949999999997</v>
      </c>
      <c r="E4" s="131">
        <v>38425.67</v>
      </c>
      <c r="F4" s="131">
        <v>40836.949999999997</v>
      </c>
      <c r="G4" s="131">
        <v>41521.930000000008</v>
      </c>
      <c r="H4" s="131">
        <v>42195.360000000001</v>
      </c>
      <c r="I4" s="131">
        <v>44176.37</v>
      </c>
      <c r="J4" s="131">
        <v>43211.01</v>
      </c>
      <c r="K4" s="121">
        <v>42408.65</v>
      </c>
      <c r="L4" s="121">
        <v>41155.97</v>
      </c>
      <c r="M4" s="121">
        <v>41098.58</v>
      </c>
      <c r="N4" s="121">
        <v>40204.730000000003</v>
      </c>
      <c r="O4" s="121">
        <v>40053.480000000032</v>
      </c>
      <c r="P4" s="121">
        <v>37754.089999999982</v>
      </c>
      <c r="Q4" s="172"/>
    </row>
    <row r="5" spans="1:17" x14ac:dyDescent="0.25">
      <c r="A5" s="104" t="s">
        <v>272</v>
      </c>
      <c r="B5" s="131">
        <v>8862.2999999999993</v>
      </c>
      <c r="C5" s="131">
        <v>11243.56</v>
      </c>
      <c r="D5" s="131">
        <v>12159.06</v>
      </c>
      <c r="E5" s="131">
        <v>13277.82</v>
      </c>
      <c r="F5" s="131">
        <v>13922.32</v>
      </c>
      <c r="G5" s="131">
        <v>14131.97</v>
      </c>
      <c r="H5" s="131">
        <v>14392.98</v>
      </c>
      <c r="I5" s="131">
        <v>15142.33</v>
      </c>
      <c r="J5" s="131">
        <v>15172.99</v>
      </c>
      <c r="K5" s="121">
        <v>14999.23</v>
      </c>
      <c r="L5" s="121">
        <v>15161.98</v>
      </c>
      <c r="M5" s="121">
        <v>15383.48</v>
      </c>
      <c r="N5" s="121">
        <v>15222.18</v>
      </c>
      <c r="O5" s="121">
        <v>15224.260000000009</v>
      </c>
      <c r="P5" s="121">
        <v>14316.490000000005</v>
      </c>
      <c r="Q5" s="172"/>
    </row>
    <row r="6" spans="1:17" x14ac:dyDescent="0.25">
      <c r="A6" s="104" t="s">
        <v>129</v>
      </c>
      <c r="B6" s="131">
        <v>13283</v>
      </c>
      <c r="C6" s="131">
        <v>9656.2000000000007</v>
      </c>
      <c r="D6" s="131">
        <v>10040.5</v>
      </c>
      <c r="E6" s="131">
        <v>10640.15</v>
      </c>
      <c r="F6" s="131">
        <v>11431.95</v>
      </c>
      <c r="G6" s="131">
        <v>11649.07</v>
      </c>
      <c r="H6" s="131">
        <v>11925.19</v>
      </c>
      <c r="I6" s="131">
        <v>12480.13</v>
      </c>
      <c r="J6" s="131">
        <v>12242.78</v>
      </c>
      <c r="K6" s="121">
        <v>12056.67</v>
      </c>
      <c r="L6" s="121">
        <v>11702.929999999998</v>
      </c>
      <c r="M6" s="121">
        <v>11843.75</v>
      </c>
      <c r="N6" s="121">
        <v>11757.17</v>
      </c>
      <c r="O6" s="121">
        <v>11366.2</v>
      </c>
      <c r="P6" s="121">
        <v>10819.090000000007</v>
      </c>
      <c r="Q6" s="79"/>
    </row>
    <row r="7" spans="1:17" x14ac:dyDescent="0.25">
      <c r="A7" s="104" t="s">
        <v>117</v>
      </c>
      <c r="B7" s="131">
        <v>8733.4</v>
      </c>
      <c r="C7" s="131">
        <v>12739.27</v>
      </c>
      <c r="D7" s="131">
        <v>13082.29</v>
      </c>
      <c r="E7" s="131">
        <v>10834.02</v>
      </c>
      <c r="F7" s="131">
        <v>10970.36</v>
      </c>
      <c r="G7" s="131">
        <v>10570.910000000002</v>
      </c>
      <c r="H7" s="131">
        <v>10693.92</v>
      </c>
      <c r="I7" s="131">
        <v>11633.83</v>
      </c>
      <c r="J7" s="131">
        <v>11698.3</v>
      </c>
      <c r="K7" s="121">
        <v>11434.73</v>
      </c>
      <c r="L7" s="121">
        <v>11297.15</v>
      </c>
      <c r="M7" s="121">
        <v>11241.53</v>
      </c>
      <c r="N7" s="121">
        <v>11124.33</v>
      </c>
      <c r="O7" s="121">
        <v>10919.79</v>
      </c>
      <c r="P7" s="121">
        <v>10345.259999999998</v>
      </c>
    </row>
    <row r="8" spans="1:17" x14ac:dyDescent="0.25">
      <c r="A8" s="104" t="s">
        <v>273</v>
      </c>
      <c r="B8" s="131">
        <v>7283.7</v>
      </c>
      <c r="C8" s="131">
        <v>8248.83</v>
      </c>
      <c r="D8" s="131">
        <v>8826.7000000000007</v>
      </c>
      <c r="E8" s="131">
        <v>9501.99</v>
      </c>
      <c r="F8" s="131">
        <v>10040</v>
      </c>
      <c r="G8" s="131">
        <v>10418.06</v>
      </c>
      <c r="H8" s="131">
        <v>10732.48</v>
      </c>
      <c r="I8" s="131">
        <v>11319.49</v>
      </c>
      <c r="J8" s="131">
        <v>10860.86</v>
      </c>
      <c r="K8" s="121">
        <v>10503.29</v>
      </c>
      <c r="L8" s="121">
        <v>10249.56</v>
      </c>
      <c r="M8" s="121">
        <v>10646.77</v>
      </c>
      <c r="N8" s="121">
        <v>10732.12</v>
      </c>
      <c r="O8" s="121">
        <v>10836.809999999994</v>
      </c>
      <c r="P8" s="121">
        <v>10318.800000000003</v>
      </c>
    </row>
    <row r="9" spans="1:17" x14ac:dyDescent="0.25">
      <c r="A9" s="104" t="s">
        <v>145</v>
      </c>
      <c r="B9" s="131">
        <v>15042</v>
      </c>
      <c r="C9" s="131">
        <v>3374.27</v>
      </c>
      <c r="D9" s="131">
        <v>3868.29</v>
      </c>
      <c r="E9" s="131">
        <v>5855.13</v>
      </c>
      <c r="F9" s="131">
        <v>7079.16</v>
      </c>
      <c r="G9" s="131">
        <v>7247.52</v>
      </c>
      <c r="H9" s="131">
        <v>7338.68</v>
      </c>
      <c r="I9" s="131">
        <v>7652.58</v>
      </c>
      <c r="J9" s="131">
        <v>12520.57</v>
      </c>
      <c r="K9" s="121">
        <v>9684.2000000000007</v>
      </c>
      <c r="L9" s="121">
        <v>10056.119999999999</v>
      </c>
      <c r="M9" s="121">
        <v>10236.540000000001</v>
      </c>
      <c r="N9" s="121">
        <v>10319.379999999999</v>
      </c>
      <c r="O9" s="121">
        <v>10442.589999999984</v>
      </c>
      <c r="P9" s="121">
        <v>10464.719999999981</v>
      </c>
    </row>
    <row r="10" spans="1:17" x14ac:dyDescent="0.25">
      <c r="A10" s="104" t="s">
        <v>131</v>
      </c>
      <c r="B10" s="131">
        <v>3513</v>
      </c>
      <c r="C10" s="131">
        <v>5390.71</v>
      </c>
      <c r="D10" s="131">
        <v>6027.01</v>
      </c>
      <c r="E10" s="131">
        <v>6886.77</v>
      </c>
      <c r="F10" s="131">
        <v>7393.45</v>
      </c>
      <c r="G10" s="131">
        <v>7744.63</v>
      </c>
      <c r="H10" s="131">
        <v>7933.12</v>
      </c>
      <c r="I10" s="131">
        <v>8432.24</v>
      </c>
      <c r="J10" s="131">
        <v>8232.68</v>
      </c>
      <c r="K10" s="121">
        <v>7994.35</v>
      </c>
      <c r="L10" s="121">
        <v>7737.7099999999982</v>
      </c>
      <c r="M10" s="121">
        <v>7668.49</v>
      </c>
      <c r="N10" s="121">
        <v>7528.54</v>
      </c>
      <c r="O10" s="121">
        <v>7399.92</v>
      </c>
      <c r="P10" s="121">
        <v>6755.4699999999984</v>
      </c>
    </row>
    <row r="11" spans="1:17" x14ac:dyDescent="0.25">
      <c r="A11" s="104" t="s">
        <v>274</v>
      </c>
      <c r="B11" s="131">
        <v>6035.4</v>
      </c>
      <c r="C11" s="131">
        <v>1054.29</v>
      </c>
      <c r="D11" s="131">
        <v>1090.33</v>
      </c>
      <c r="E11" s="131">
        <v>3117.54</v>
      </c>
      <c r="F11" s="131">
        <v>3266.01</v>
      </c>
      <c r="G11" s="131">
        <v>3320.6999999999994</v>
      </c>
      <c r="H11" s="131">
        <v>3344.42</v>
      </c>
      <c r="I11" s="131">
        <v>3574.28</v>
      </c>
      <c r="J11" s="131">
        <v>4031.5</v>
      </c>
      <c r="K11" s="121">
        <v>4274.8</v>
      </c>
      <c r="L11" s="121">
        <v>4327.8100000000004</v>
      </c>
      <c r="M11" s="121">
        <v>4285.3599999999997</v>
      </c>
      <c r="N11" s="121">
        <v>4368.7700000000004</v>
      </c>
      <c r="O11" s="121">
        <v>4298.3199999999879</v>
      </c>
      <c r="P11" s="121">
        <v>4317.51</v>
      </c>
    </row>
    <row r="12" spans="1:17" x14ac:dyDescent="0.25">
      <c r="A12" s="104" t="s">
        <v>130</v>
      </c>
      <c r="B12" s="131">
        <v>1412.8</v>
      </c>
      <c r="C12" s="131">
        <v>2597.9899999999998</v>
      </c>
      <c r="D12" s="131">
        <v>2884.04</v>
      </c>
      <c r="E12" s="131">
        <v>3306.82</v>
      </c>
      <c r="F12" s="131">
        <v>3729.32</v>
      </c>
      <c r="G12" s="131">
        <v>4012.4500000000003</v>
      </c>
      <c r="H12" s="131">
        <v>4059.89</v>
      </c>
      <c r="I12" s="131">
        <v>4195.8500000000004</v>
      </c>
      <c r="J12" s="131">
        <v>4148.55</v>
      </c>
      <c r="K12" s="121">
        <v>4090.53</v>
      </c>
      <c r="L12" s="121">
        <v>4041.0400000000004</v>
      </c>
      <c r="M12" s="121">
        <v>4143.6099999999997</v>
      </c>
      <c r="N12" s="121">
        <v>4045.01</v>
      </c>
      <c r="O12" s="121">
        <v>4178.7800000000007</v>
      </c>
      <c r="P12" s="121">
        <v>3909.8900000000003</v>
      </c>
    </row>
    <row r="13" spans="1:17" x14ac:dyDescent="0.25">
      <c r="A13" s="104" t="s">
        <v>243</v>
      </c>
      <c r="B13" s="131">
        <v>1050</v>
      </c>
      <c r="C13" s="131">
        <v>1148.28</v>
      </c>
      <c r="D13" s="131">
        <v>1263.78</v>
      </c>
      <c r="E13" s="131">
        <v>1489.39</v>
      </c>
      <c r="F13" s="131">
        <v>1827.86</v>
      </c>
      <c r="G13" s="131">
        <v>1980.61</v>
      </c>
      <c r="H13" s="131">
        <v>2103.85</v>
      </c>
      <c r="I13" s="131">
        <v>2309.5100000000002</v>
      </c>
      <c r="J13" s="131">
        <v>2312.94</v>
      </c>
      <c r="K13" s="121">
        <v>2292.8200000000002</v>
      </c>
      <c r="L13" s="121">
        <v>2248.6999999999998</v>
      </c>
      <c r="M13" s="121">
        <v>2340.2399999999998</v>
      </c>
      <c r="N13" s="121">
        <v>2336.54</v>
      </c>
      <c r="O13" s="121">
        <v>2361.5399999999995</v>
      </c>
      <c r="P13" s="121">
        <v>2468.5099999999993</v>
      </c>
    </row>
    <row r="14" spans="1:17" x14ac:dyDescent="0.25">
      <c r="A14" s="104" t="s">
        <v>275</v>
      </c>
      <c r="B14" s="131">
        <v>1177.3</v>
      </c>
      <c r="C14" s="131">
        <v>1226.1600000000001</v>
      </c>
      <c r="D14" s="131">
        <v>1320.77</v>
      </c>
      <c r="E14" s="131">
        <v>1345.01</v>
      </c>
      <c r="F14" s="131">
        <v>1450.96</v>
      </c>
      <c r="G14" s="131">
        <v>1533.2800000000002</v>
      </c>
      <c r="H14" s="131">
        <v>1591.26</v>
      </c>
      <c r="I14" s="131">
        <v>1661.46</v>
      </c>
      <c r="J14" s="131">
        <v>1671.84</v>
      </c>
      <c r="K14" s="121">
        <v>1578.39</v>
      </c>
      <c r="L14" s="121">
        <v>1578.34</v>
      </c>
      <c r="M14" s="121">
        <v>1646.29</v>
      </c>
      <c r="N14" s="121">
        <v>1684.55</v>
      </c>
      <c r="O14" s="121">
        <v>1691.9899999999998</v>
      </c>
      <c r="P14" s="121">
        <v>1626.7799999999995</v>
      </c>
    </row>
    <row r="15" spans="1:17" x14ac:dyDescent="0.25">
      <c r="A15" s="104" t="s">
        <v>142</v>
      </c>
      <c r="B15" s="131">
        <f>5175.5+4916.3+308.3</f>
        <v>10400.099999999999</v>
      </c>
      <c r="C15" s="131">
        <f>3188.37+5358+684.81</f>
        <v>9231.1799999999985</v>
      </c>
      <c r="D15" s="131">
        <f>3507.24+5974+753.03</f>
        <v>10234.27</v>
      </c>
      <c r="E15" s="131">
        <f>4189.53+7175.63+785.31</f>
        <v>12150.47</v>
      </c>
      <c r="F15" s="131">
        <f>4578.73+8501.09+918.07</f>
        <v>13997.89</v>
      </c>
      <c r="G15" s="131">
        <f>13605.09+901.65</f>
        <v>14506.74</v>
      </c>
      <c r="H15" s="131">
        <f>4491.07+8726.95+832.53</f>
        <v>14050.550000000001</v>
      </c>
      <c r="I15" s="131">
        <f>4611.88+9524.09+878.4</f>
        <v>15014.37</v>
      </c>
      <c r="J15" s="131">
        <f>4606.83+10342.32+864.96</f>
        <v>15814.11</v>
      </c>
      <c r="K15" s="121">
        <f>4556.91+10660.9+839.46</f>
        <v>16057.27</v>
      </c>
      <c r="L15" s="121">
        <f>4542.72+11002.3+805.42</f>
        <v>16350.44</v>
      </c>
      <c r="M15" s="121">
        <f>4511.77+11335.84+808.34</f>
        <v>16655.95</v>
      </c>
      <c r="N15" s="121">
        <f>4415.92+11755.69+793.61</f>
        <v>16965.22</v>
      </c>
      <c r="O15" s="121">
        <v>17392.560000000005</v>
      </c>
      <c r="P15" s="121">
        <f>5074.41+11915.15</f>
        <v>16989.559999999998</v>
      </c>
    </row>
    <row r="16" spans="1:17" x14ac:dyDescent="0.25">
      <c r="A16" s="132" t="s">
        <v>276</v>
      </c>
      <c r="B16" s="133">
        <f t="shared" ref="B16:M16" si="0">SUM(B4:B15)</f>
        <v>117558.9</v>
      </c>
      <c r="C16" s="133">
        <f t="shared" si="0"/>
        <v>104717.01000000001</v>
      </c>
      <c r="D16" s="133">
        <f t="shared" si="0"/>
        <v>111524.98999999998</v>
      </c>
      <c r="E16" s="133">
        <f t="shared" si="0"/>
        <v>116830.78000000001</v>
      </c>
      <c r="F16" s="133">
        <f t="shared" si="0"/>
        <v>125946.23000000001</v>
      </c>
      <c r="G16" s="133">
        <f t="shared" si="0"/>
        <v>128637.87000000001</v>
      </c>
      <c r="H16" s="133">
        <f t="shared" si="0"/>
        <v>130361.69999999998</v>
      </c>
      <c r="I16" s="133">
        <f t="shared" si="0"/>
        <v>137592.44000000003</v>
      </c>
      <c r="J16" s="133">
        <f t="shared" si="0"/>
        <v>141918.13</v>
      </c>
      <c r="K16" s="133">
        <f t="shared" si="0"/>
        <v>137374.93000000002</v>
      </c>
      <c r="L16" s="133">
        <f t="shared" si="0"/>
        <v>135907.74999999994</v>
      </c>
      <c r="M16" s="121">
        <f t="shared" si="0"/>
        <v>137190.59</v>
      </c>
      <c r="N16" s="121">
        <f>SUM(N4:N15)</f>
        <v>136288.53999999998</v>
      </c>
      <c r="O16" s="121">
        <f>SUM(O4:O15)</f>
        <v>136166.24000000002</v>
      </c>
      <c r="P16" s="121">
        <f>SUM(P4:P15)</f>
        <v>130086.16999999997</v>
      </c>
    </row>
    <row r="17" spans="1:16" x14ac:dyDescent="0.25">
      <c r="A17" s="403" t="s">
        <v>277</v>
      </c>
      <c r="B17" s="403"/>
      <c r="C17" s="403"/>
      <c r="D17" s="403"/>
      <c r="E17" s="403"/>
      <c r="F17" s="403"/>
      <c r="G17" s="403"/>
      <c r="H17" s="403"/>
      <c r="I17" s="403"/>
      <c r="J17" s="403"/>
      <c r="K17" s="403"/>
      <c r="L17" s="403"/>
      <c r="M17" s="403"/>
      <c r="N17" s="403"/>
      <c r="O17" s="403"/>
      <c r="P17" s="403"/>
    </row>
    <row r="18" spans="1:16" ht="14.45" customHeight="1" x14ac:dyDescent="0.25">
      <c r="A18" s="434" t="s">
        <v>278</v>
      </c>
      <c r="B18" s="434"/>
      <c r="C18" s="434"/>
      <c r="D18" s="434"/>
      <c r="E18" s="434"/>
      <c r="F18" s="434"/>
      <c r="G18" s="434"/>
      <c r="H18" s="434"/>
      <c r="I18" s="434"/>
      <c r="J18" s="434"/>
      <c r="K18" s="434"/>
      <c r="L18" s="434"/>
      <c r="M18" s="434"/>
      <c r="N18" s="434"/>
      <c r="O18" s="434"/>
      <c r="P18" s="434"/>
    </row>
    <row r="19" spans="1:16" ht="21.75" customHeight="1" x14ac:dyDescent="0.25">
      <c r="A19" s="434"/>
      <c r="B19" s="434"/>
      <c r="C19" s="434"/>
      <c r="D19" s="434"/>
      <c r="E19" s="434"/>
      <c r="F19" s="434"/>
      <c r="G19" s="434"/>
      <c r="H19" s="434"/>
      <c r="I19" s="434"/>
      <c r="J19" s="434"/>
      <c r="K19" s="434"/>
      <c r="L19" s="434"/>
      <c r="M19" s="434"/>
      <c r="N19" s="434"/>
      <c r="O19" s="434"/>
      <c r="P19" s="434"/>
    </row>
    <row r="20" spans="1:16" x14ac:dyDescent="0.25">
      <c r="D20" s="55"/>
      <c r="E20" s="55"/>
      <c r="F20" s="55"/>
    </row>
    <row r="21" spans="1:16" x14ac:dyDescent="0.25">
      <c r="D21" s="29"/>
      <c r="E21" s="29"/>
      <c r="F21" s="29"/>
      <c r="G21" s="29"/>
      <c r="H21" s="29"/>
      <c r="I21" s="29"/>
      <c r="J21" s="29"/>
      <c r="K21" s="29"/>
      <c r="L21" s="29"/>
      <c r="M21" s="29"/>
      <c r="N21" s="29"/>
      <c r="O21" s="29"/>
    </row>
    <row r="22" spans="1:16" x14ac:dyDescent="0.25">
      <c r="B22" s="87"/>
      <c r="C22" s="87"/>
      <c r="D22" s="87"/>
      <c r="E22" s="87"/>
      <c r="F22" s="87"/>
      <c r="G22" s="87"/>
      <c r="H22" s="87"/>
      <c r="I22" s="87"/>
      <c r="J22" s="87"/>
      <c r="K22" s="87"/>
      <c r="L22" s="87"/>
      <c r="M22" s="87"/>
      <c r="N22" s="87"/>
      <c r="O22" s="87"/>
    </row>
    <row r="23" spans="1:16" x14ac:dyDescent="0.25">
      <c r="B23" s="87"/>
      <c r="C23" s="87"/>
      <c r="D23" s="87"/>
      <c r="E23" s="87"/>
      <c r="F23" s="87"/>
      <c r="G23" s="87"/>
      <c r="H23" s="87"/>
      <c r="I23" s="87"/>
      <c r="J23" s="87"/>
      <c r="K23" s="87"/>
      <c r="L23" s="87"/>
      <c r="M23" s="87"/>
      <c r="N23" s="87"/>
      <c r="O23" s="87"/>
    </row>
  </sheetData>
  <mergeCells count="5">
    <mergeCell ref="A2:A3"/>
    <mergeCell ref="A1:P1"/>
    <mergeCell ref="B2:P2"/>
    <mergeCell ref="A17:P17"/>
    <mergeCell ref="A18:P19"/>
  </mergeCells>
  <phoneticPr fontId="58" type="noConversion"/>
  <pageMargins left="1" right="1" top="1" bottom="1" header="0.5" footer="0.5"/>
  <pageSetup scale="88" fitToHeight="0" orientation="landscape"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18"/>
  <sheetViews>
    <sheetView workbookViewId="0">
      <selection sqref="A1:M1"/>
    </sheetView>
  </sheetViews>
  <sheetFormatPr baseColWidth="10" defaultColWidth="11.42578125" defaultRowHeight="15" x14ac:dyDescent="0.25"/>
  <cols>
    <col min="1" max="1" width="26.28515625" customWidth="1"/>
    <col min="2" max="12" width="6.7109375" customWidth="1"/>
    <col min="13" max="13" width="5.5703125" bestFit="1" customWidth="1"/>
  </cols>
  <sheetData>
    <row r="1" spans="1:13" ht="22.9" customHeight="1" x14ac:dyDescent="0.25">
      <c r="A1" s="449" t="s">
        <v>570</v>
      </c>
      <c r="B1" s="450"/>
      <c r="C1" s="450"/>
      <c r="D1" s="450"/>
      <c r="E1" s="450"/>
      <c r="F1" s="450"/>
      <c r="G1" s="450"/>
      <c r="H1" s="450"/>
      <c r="I1" s="450"/>
      <c r="J1" s="450"/>
      <c r="K1" s="450"/>
      <c r="L1" s="450"/>
      <c r="M1" s="451"/>
    </row>
    <row r="2" spans="1:13" x14ac:dyDescent="0.25">
      <c r="A2" s="151" t="s">
        <v>185</v>
      </c>
      <c r="B2" s="145">
        <v>2011</v>
      </c>
      <c r="C2" s="145">
        <v>2012</v>
      </c>
      <c r="D2" s="145">
        <v>2013</v>
      </c>
      <c r="E2" s="145">
        <v>2014</v>
      </c>
      <c r="F2" s="145">
        <v>2015</v>
      </c>
      <c r="G2" s="145">
        <v>2016</v>
      </c>
      <c r="H2" s="145">
        <v>2017</v>
      </c>
      <c r="I2" s="150">
        <v>2018</v>
      </c>
      <c r="J2" s="150">
        <v>2019</v>
      </c>
      <c r="K2" s="150">
        <v>2020</v>
      </c>
      <c r="L2" s="150">
        <v>2021</v>
      </c>
      <c r="M2" s="150">
        <v>2022</v>
      </c>
    </row>
    <row r="3" spans="1:13" x14ac:dyDescent="0.25">
      <c r="A3" s="103" t="s">
        <v>186</v>
      </c>
      <c r="B3" s="152">
        <v>701.12158899999997</v>
      </c>
      <c r="C3" s="152">
        <v>816.66533300000003</v>
      </c>
      <c r="D3" s="152">
        <f>C14</f>
        <v>1042.6350540000001</v>
      </c>
      <c r="E3" s="152">
        <f t="shared" ref="E3" si="0">D14</f>
        <v>1182.0124169999999</v>
      </c>
      <c r="F3" s="152">
        <f t="shared" ref="F3" si="1">E14</f>
        <v>1060.041567</v>
      </c>
      <c r="G3" s="152">
        <f t="shared" ref="G3" si="2">F14</f>
        <v>1238.058628</v>
      </c>
      <c r="H3" s="152">
        <f t="shared" ref="H3" si="3">G14</f>
        <v>1131.275347</v>
      </c>
      <c r="I3" s="152">
        <f t="shared" ref="I3" si="4">H14</f>
        <v>1015.955607</v>
      </c>
      <c r="J3" s="152">
        <f t="shared" ref="J3" si="5">I14</f>
        <v>1266.7116129999999</v>
      </c>
      <c r="K3" s="152">
        <f t="shared" ref="K3" si="6">J14</f>
        <v>1296.1532139999999</v>
      </c>
      <c r="L3" s="152">
        <f t="shared" ref="L3" si="7">K14</f>
        <v>1200.786564</v>
      </c>
      <c r="M3" s="152">
        <f t="shared" ref="M3" si="8">L14</f>
        <v>1287.4531669999999</v>
      </c>
    </row>
    <row r="4" spans="1:13" x14ac:dyDescent="0.25">
      <c r="A4" s="104" t="s">
        <v>187</v>
      </c>
      <c r="B4" s="152">
        <f>B3-B5+B8+B9+B13-B14</f>
        <v>304.25558174899982</v>
      </c>
      <c r="C4" s="152">
        <f t="shared" ref="C4:L4" si="9">C3-C5+C8+C9+C13-C14</f>
        <v>317.21047561899991</v>
      </c>
      <c r="D4" s="152">
        <f t="shared" si="9"/>
        <v>291.88708251399999</v>
      </c>
      <c r="E4" s="152">
        <f t="shared" si="9"/>
        <v>337.29168465329985</v>
      </c>
      <c r="F4" s="152">
        <f t="shared" si="9"/>
        <v>259.79149316129997</v>
      </c>
      <c r="G4" s="152">
        <f t="shared" si="9"/>
        <v>244.05284022670025</v>
      </c>
      <c r="H4" s="152">
        <f t="shared" si="9"/>
        <v>126.57356132300004</v>
      </c>
      <c r="I4" s="152">
        <f t="shared" si="9"/>
        <v>197.15935936460005</v>
      </c>
      <c r="J4" s="152">
        <f t="shared" si="9"/>
        <v>298.96690992899994</v>
      </c>
      <c r="K4" s="152">
        <f t="shared" si="9"/>
        <v>283.74978814699989</v>
      </c>
      <c r="L4" s="152">
        <f t="shared" si="9"/>
        <v>400.44003109799996</v>
      </c>
      <c r="M4" s="152">
        <f t="shared" ref="M4" si="10">M3-M5+M8+M9+M13-M14</f>
        <v>1706.3121595099997</v>
      </c>
    </row>
    <row r="5" spans="1:13" x14ac:dyDescent="0.25">
      <c r="A5" s="104" t="s">
        <v>188</v>
      </c>
      <c r="B5" s="152">
        <f t="shared" ref="B5:L5" si="11">B6+B7</f>
        <v>660</v>
      </c>
      <c r="C5" s="152">
        <f t="shared" si="11"/>
        <v>744</v>
      </c>
      <c r="D5" s="152">
        <f t="shared" si="11"/>
        <v>873</v>
      </c>
      <c r="E5" s="152">
        <f t="shared" si="11"/>
        <v>796</v>
      </c>
      <c r="F5" s="152">
        <f t="shared" si="11"/>
        <v>875</v>
      </c>
      <c r="G5" s="152">
        <f t="shared" si="11"/>
        <v>906</v>
      </c>
      <c r="H5" s="152">
        <f t="shared" si="11"/>
        <v>940</v>
      </c>
      <c r="I5" s="152">
        <f t="shared" si="11"/>
        <v>845</v>
      </c>
      <c r="J5" s="152">
        <f t="shared" si="11"/>
        <v>868</v>
      </c>
      <c r="K5" s="152">
        <f t="shared" si="11"/>
        <v>849</v>
      </c>
      <c r="L5" s="152">
        <f t="shared" si="11"/>
        <v>865</v>
      </c>
      <c r="M5" s="152">
        <f t="shared" ref="M5" si="12">M6+M7</f>
        <v>829.2</v>
      </c>
    </row>
    <row r="6" spans="1:13" x14ac:dyDescent="0.25">
      <c r="A6" s="104" t="s">
        <v>189</v>
      </c>
      <c r="B6" s="152">
        <v>450</v>
      </c>
      <c r="C6" s="152">
        <v>453</v>
      </c>
      <c r="D6" s="152">
        <v>463</v>
      </c>
      <c r="E6" s="152">
        <v>467</v>
      </c>
      <c r="F6" s="152">
        <v>490</v>
      </c>
      <c r="G6" s="152">
        <v>504</v>
      </c>
      <c r="H6" s="152">
        <v>526</v>
      </c>
      <c r="I6" s="152">
        <v>505</v>
      </c>
      <c r="J6" s="152">
        <v>490</v>
      </c>
      <c r="K6" s="152">
        <v>487</v>
      </c>
      <c r="L6" s="152">
        <v>491</v>
      </c>
      <c r="M6" s="152">
        <v>487.9</v>
      </c>
    </row>
    <row r="7" spans="1:13" x14ac:dyDescent="0.25">
      <c r="A7" s="105" t="s">
        <v>545</v>
      </c>
      <c r="B7" s="152">
        <v>210</v>
      </c>
      <c r="C7" s="152">
        <v>291</v>
      </c>
      <c r="D7" s="152">
        <v>410</v>
      </c>
      <c r="E7" s="152">
        <v>329</v>
      </c>
      <c r="F7" s="152">
        <v>385</v>
      </c>
      <c r="G7" s="152">
        <v>402</v>
      </c>
      <c r="H7" s="152">
        <v>414</v>
      </c>
      <c r="I7" s="152">
        <v>340</v>
      </c>
      <c r="J7" s="152">
        <v>378</v>
      </c>
      <c r="K7" s="152">
        <v>362</v>
      </c>
      <c r="L7" s="152">
        <v>374</v>
      </c>
      <c r="M7" s="152">
        <v>341.3</v>
      </c>
    </row>
    <row r="8" spans="1:13" x14ac:dyDescent="0.25">
      <c r="A8" s="104" t="s">
        <v>190</v>
      </c>
      <c r="B8" s="240">
        <v>0.5252157489999999</v>
      </c>
      <c r="C8" s="240">
        <v>1.2414186189999996</v>
      </c>
      <c r="D8" s="240">
        <v>2.169445514</v>
      </c>
      <c r="E8" s="240">
        <v>1.6937086533000001</v>
      </c>
      <c r="F8" s="240">
        <v>2.4241731612999997</v>
      </c>
      <c r="G8" s="240">
        <v>2.3117072266999998</v>
      </c>
      <c r="H8" s="240">
        <v>2.0480203229999994</v>
      </c>
      <c r="I8" s="240">
        <v>3.0183823646000003</v>
      </c>
      <c r="J8" s="240">
        <v>2.5328109290000005</v>
      </c>
      <c r="K8" s="240">
        <v>3.6603381470000005</v>
      </c>
      <c r="L8" s="240">
        <v>8.3779470979999999</v>
      </c>
      <c r="M8" s="240">
        <v>3.6589925100000009</v>
      </c>
    </row>
    <row r="9" spans="1:13" x14ac:dyDescent="0.25">
      <c r="A9" s="104" t="s">
        <v>191</v>
      </c>
      <c r="B9" s="152">
        <f t="shared" ref="B9:M9" si="13">B10+B11+B12</f>
        <v>1046.3807999999999</v>
      </c>
      <c r="C9" s="152">
        <f t="shared" si="13"/>
        <v>1255.37104</v>
      </c>
      <c r="D9" s="152">
        <f t="shared" si="13"/>
        <v>1282.0949999999998</v>
      </c>
      <c r="E9" s="152">
        <f t="shared" si="13"/>
        <v>989.62712599999998</v>
      </c>
      <c r="F9" s="152">
        <f t="shared" si="13"/>
        <v>1286.6861590000001</v>
      </c>
      <c r="G9" s="152">
        <f t="shared" si="13"/>
        <v>1014.3620340000002</v>
      </c>
      <c r="H9" s="152">
        <f t="shared" si="13"/>
        <v>949.20580099999995</v>
      </c>
      <c r="I9" s="152">
        <f t="shared" si="13"/>
        <v>1289.8969830000001</v>
      </c>
      <c r="J9" s="152">
        <f t="shared" si="13"/>
        <v>1193.8756999999998</v>
      </c>
      <c r="K9" s="152">
        <f t="shared" si="13"/>
        <v>1033.7228</v>
      </c>
      <c r="L9" s="152">
        <f t="shared" si="13"/>
        <v>1343.7286869999998</v>
      </c>
      <c r="M9" s="152">
        <f t="shared" si="13"/>
        <v>1244.3999999999999</v>
      </c>
    </row>
    <row r="10" spans="1:13" x14ac:dyDescent="0.25">
      <c r="A10" s="104" t="s">
        <v>192</v>
      </c>
      <c r="B10" s="152">
        <v>828.63919999999996</v>
      </c>
      <c r="C10" s="152">
        <v>1015.985533</v>
      </c>
      <c r="D10" s="152">
        <v>1074.6398999999999</v>
      </c>
      <c r="E10" s="152">
        <v>840.96489999999994</v>
      </c>
      <c r="F10" s="152">
        <v>1081.286681</v>
      </c>
      <c r="G10" s="152">
        <v>852.48383000000013</v>
      </c>
      <c r="H10" s="152">
        <v>805.06141400000001</v>
      </c>
      <c r="I10" s="152">
        <v>1052.7819440000001</v>
      </c>
      <c r="J10" s="152">
        <v>1030.0474999999999</v>
      </c>
      <c r="K10" s="152">
        <v>888.20669999999996</v>
      </c>
      <c r="L10" s="152">
        <v>1089.357853</v>
      </c>
      <c r="M10" s="152">
        <v>1035.5</v>
      </c>
    </row>
    <row r="11" spans="1:13" x14ac:dyDescent="0.25">
      <c r="A11" s="104" t="s">
        <v>193</v>
      </c>
      <c r="B11" s="152">
        <v>118.001</v>
      </c>
      <c r="C11" s="152">
        <v>171.68693099999999</v>
      </c>
      <c r="D11" s="152">
        <v>136.1019</v>
      </c>
      <c r="E11" s="152">
        <v>110.122726</v>
      </c>
      <c r="F11" s="152">
        <v>152.25428099999999</v>
      </c>
      <c r="G11" s="152">
        <v>121.77475</v>
      </c>
      <c r="H11" s="152">
        <v>110.329802</v>
      </c>
      <c r="I11" s="152">
        <v>135.89189400000001</v>
      </c>
      <c r="J11" s="152">
        <v>133.98939999999999</v>
      </c>
      <c r="K11" s="152">
        <v>121.9875</v>
      </c>
      <c r="L11" s="152">
        <v>187.47796</v>
      </c>
      <c r="M11" s="152">
        <v>190.6</v>
      </c>
    </row>
    <row r="12" spans="1:13" x14ac:dyDescent="0.25">
      <c r="A12" s="104" t="s">
        <v>194</v>
      </c>
      <c r="B12" s="152">
        <v>99.740600000000001</v>
      </c>
      <c r="C12" s="152">
        <v>67.698576000000003</v>
      </c>
      <c r="D12" s="152">
        <v>71.353200000000001</v>
      </c>
      <c r="E12" s="152">
        <v>38.539499999999997</v>
      </c>
      <c r="F12" s="152">
        <v>53.145197000000003</v>
      </c>
      <c r="G12" s="152">
        <v>40.103453999999999</v>
      </c>
      <c r="H12" s="152">
        <v>33.814585000000001</v>
      </c>
      <c r="I12" s="152">
        <v>101.223145</v>
      </c>
      <c r="J12" s="152">
        <v>29.838799999999999</v>
      </c>
      <c r="K12" s="152">
        <v>23.528600000000001</v>
      </c>
      <c r="L12" s="152">
        <v>66.892874000000006</v>
      </c>
      <c r="M12" s="152">
        <v>18.3</v>
      </c>
    </row>
    <row r="13" spans="1:13" x14ac:dyDescent="0.25">
      <c r="A13" s="104" t="s">
        <v>195</v>
      </c>
      <c r="B13" s="152">
        <v>32.89331</v>
      </c>
      <c r="C13" s="152">
        <v>30.567737999999999</v>
      </c>
      <c r="D13" s="152">
        <v>20</v>
      </c>
      <c r="E13" s="152">
        <v>20</v>
      </c>
      <c r="F13" s="152">
        <v>23.698222000000001</v>
      </c>
      <c r="G13" s="152">
        <v>26.595818000000001</v>
      </c>
      <c r="H13" s="152"/>
      <c r="I13" s="152"/>
      <c r="J13" s="152"/>
      <c r="K13" s="152"/>
      <c r="L13" s="152"/>
      <c r="M13" s="152"/>
    </row>
    <row r="14" spans="1:13" x14ac:dyDescent="0.25">
      <c r="A14" s="106" t="s">
        <v>196</v>
      </c>
      <c r="B14" s="152">
        <v>816.66533300000003</v>
      </c>
      <c r="C14" s="152">
        <v>1042.6350540000001</v>
      </c>
      <c r="D14" s="152">
        <v>1182.0124169999999</v>
      </c>
      <c r="E14" s="152">
        <v>1060.041567</v>
      </c>
      <c r="F14" s="152">
        <v>1238.058628</v>
      </c>
      <c r="G14" s="152">
        <v>1131.275347</v>
      </c>
      <c r="H14" s="152">
        <v>1015.955607</v>
      </c>
      <c r="I14" s="152">
        <v>1266.7116129999999</v>
      </c>
      <c r="J14" s="152">
        <v>1296.1532139999999</v>
      </c>
      <c r="K14" s="152">
        <v>1200.786564</v>
      </c>
      <c r="L14" s="152">
        <v>1287.4531669999999</v>
      </c>
      <c r="M14" s="152"/>
    </row>
    <row r="15" spans="1:13" x14ac:dyDescent="0.25">
      <c r="A15" s="107" t="s">
        <v>197</v>
      </c>
      <c r="B15" s="108">
        <v>0.7804666647170897</v>
      </c>
      <c r="C15" s="108">
        <v>0.830539355121654</v>
      </c>
      <c r="D15" s="108">
        <v>0.92191651326413915</v>
      </c>
      <c r="E15" s="109">
        <v>1.0566499831569494</v>
      </c>
      <c r="F15" s="108">
        <v>0.96304540987465292</v>
      </c>
      <c r="G15" s="109">
        <v>1.1152579740578106</v>
      </c>
      <c r="H15" s="110">
        <f t="shared" ref="H15:M15" si="14">H14/H9</f>
        <v>1.0703217425869904</v>
      </c>
      <c r="I15" s="110">
        <f t="shared" si="14"/>
        <v>0.98202540954388751</v>
      </c>
      <c r="J15" s="110">
        <f t="shared" si="14"/>
        <v>1.0856684778825803</v>
      </c>
      <c r="K15" s="110">
        <f t="shared" si="14"/>
        <v>1.1616136975986211</v>
      </c>
      <c r="L15" s="110">
        <f t="shared" si="14"/>
        <v>0.95811987900203255</v>
      </c>
      <c r="M15" s="110">
        <f t="shared" si="14"/>
        <v>0</v>
      </c>
    </row>
    <row r="16" spans="1:13" x14ac:dyDescent="0.25">
      <c r="A16" s="455" t="s">
        <v>198</v>
      </c>
      <c r="B16" s="456"/>
      <c r="C16" s="456"/>
      <c r="D16" s="456"/>
      <c r="E16" s="456"/>
      <c r="F16" s="456"/>
      <c r="G16" s="456"/>
      <c r="H16" s="456"/>
      <c r="I16" s="456"/>
      <c r="J16" s="456"/>
      <c r="K16" s="456"/>
      <c r="L16" s="456"/>
      <c r="M16" s="457"/>
    </row>
    <row r="17" spans="1:13" ht="30" customHeight="1" x14ac:dyDescent="0.25">
      <c r="A17" s="458" t="s">
        <v>199</v>
      </c>
      <c r="B17" s="459"/>
      <c r="C17" s="459"/>
      <c r="D17" s="459"/>
      <c r="E17" s="459"/>
      <c r="F17" s="459"/>
      <c r="G17" s="459"/>
      <c r="H17" s="459"/>
      <c r="I17" s="459"/>
      <c r="J17" s="459"/>
      <c r="K17" s="459"/>
      <c r="L17" s="459"/>
      <c r="M17" s="460"/>
    </row>
    <row r="18" spans="1:13" x14ac:dyDescent="0.25">
      <c r="A18" s="452" t="s">
        <v>200</v>
      </c>
      <c r="B18" s="453"/>
      <c r="C18" s="453"/>
      <c r="D18" s="453"/>
      <c r="E18" s="453"/>
      <c r="F18" s="453"/>
      <c r="G18" s="453"/>
      <c r="H18" s="453"/>
      <c r="I18" s="453"/>
      <c r="J18" s="453"/>
      <c r="K18" s="453"/>
      <c r="L18" s="453"/>
      <c r="M18" s="454"/>
    </row>
  </sheetData>
  <mergeCells count="4">
    <mergeCell ref="A1:M1"/>
    <mergeCell ref="A18:M18"/>
    <mergeCell ref="A16:M16"/>
    <mergeCell ref="A17:M17"/>
  </mergeCells>
  <phoneticPr fontId="58" type="noConversion"/>
  <pageMargins left="1" right="1" top="1" bottom="1" header="0.5" footer="0.5"/>
  <pageSetup orientation="landscape"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9"/>
  <sheetViews>
    <sheetView zoomScaleNormal="100" workbookViewId="0">
      <selection sqref="A1:J1"/>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10" x14ac:dyDescent="0.25">
      <c r="A1" s="404" t="s">
        <v>571</v>
      </c>
      <c r="B1" s="404"/>
      <c r="C1" s="404"/>
      <c r="D1" s="404"/>
      <c r="E1" s="404"/>
      <c r="F1" s="404"/>
      <c r="G1" s="404"/>
      <c r="H1" s="404"/>
      <c r="I1" s="404"/>
      <c r="J1" s="404"/>
    </row>
    <row r="2" spans="1:10" x14ac:dyDescent="0.25">
      <c r="A2" s="367" t="s">
        <v>145</v>
      </c>
      <c r="B2" s="363" t="s">
        <v>231</v>
      </c>
      <c r="C2" s="363"/>
      <c r="D2" s="363"/>
      <c r="E2" s="363"/>
      <c r="F2" s="364" t="s">
        <v>232</v>
      </c>
      <c r="G2" s="363"/>
      <c r="H2" s="363"/>
      <c r="I2" s="363"/>
      <c r="J2" s="365"/>
    </row>
    <row r="3" spans="1:10" ht="15.75" customHeight="1" x14ac:dyDescent="0.25">
      <c r="A3" s="368"/>
      <c r="B3" s="361">
        <v>2020</v>
      </c>
      <c r="C3" s="359">
        <v>2021</v>
      </c>
      <c r="D3" s="359">
        <v>2022</v>
      </c>
      <c r="E3" s="359" t="s">
        <v>292</v>
      </c>
      <c r="F3" s="359">
        <v>2020</v>
      </c>
      <c r="G3" s="359">
        <f>C3</f>
        <v>2021</v>
      </c>
      <c r="H3" s="359">
        <v>2022</v>
      </c>
      <c r="I3" s="359" t="s">
        <v>292</v>
      </c>
      <c r="J3" s="359" t="s">
        <v>293</v>
      </c>
    </row>
    <row r="4" spans="1:10" x14ac:dyDescent="0.25">
      <c r="A4" s="369"/>
      <c r="B4" s="362"/>
      <c r="C4" s="359"/>
      <c r="D4" s="359"/>
      <c r="E4" s="359"/>
      <c r="F4" s="359"/>
      <c r="G4" s="359"/>
      <c r="H4" s="359"/>
      <c r="I4" s="359"/>
      <c r="J4" s="359"/>
    </row>
    <row r="5" spans="1:10" x14ac:dyDescent="0.25">
      <c r="A5" s="117" t="s">
        <v>152</v>
      </c>
      <c r="B5" s="116">
        <v>74833.350000000006</v>
      </c>
      <c r="C5" s="116">
        <v>135355.5</v>
      </c>
      <c r="D5" s="116">
        <v>103686</v>
      </c>
      <c r="E5" s="143">
        <f t="shared" ref="E5:E17" si="0">D5/C5-1</f>
        <v>-0.2339727606192582</v>
      </c>
      <c r="F5" s="116">
        <v>492397.95</v>
      </c>
      <c r="G5" s="116">
        <v>628556.65</v>
      </c>
      <c r="H5" s="116">
        <v>622601.6</v>
      </c>
      <c r="I5" s="143">
        <f t="shared" ref="I5:I9" si="1">H5/G5-1</f>
        <v>-9.4741659323785976E-3</v>
      </c>
      <c r="J5" s="144">
        <f>H5/$H$17</f>
        <v>0.24575396869239058</v>
      </c>
    </row>
    <row r="6" spans="1:10" x14ac:dyDescent="0.25">
      <c r="A6" s="117" t="s">
        <v>162</v>
      </c>
      <c r="B6" s="116">
        <v>41466</v>
      </c>
      <c r="C6" s="116">
        <v>82137.5</v>
      </c>
      <c r="D6" s="116">
        <v>106463.7</v>
      </c>
      <c r="E6" s="143">
        <f t="shared" si="0"/>
        <v>0.29616435854512257</v>
      </c>
      <c r="F6" s="116">
        <v>223974.38</v>
      </c>
      <c r="G6" s="116">
        <v>478710.85</v>
      </c>
      <c r="H6" s="116">
        <v>571153.25</v>
      </c>
      <c r="I6" s="143">
        <f t="shared" si="1"/>
        <v>0.19310696634513302</v>
      </c>
      <c r="J6" s="144">
        <f>H6/$H$17</f>
        <v>0.2254462210168704</v>
      </c>
    </row>
    <row r="7" spans="1:10" x14ac:dyDescent="0.25">
      <c r="A7" s="117" t="s">
        <v>294</v>
      </c>
      <c r="B7" s="116">
        <v>25380</v>
      </c>
      <c r="C7" s="116">
        <v>294</v>
      </c>
      <c r="D7" s="116">
        <v>84312</v>
      </c>
      <c r="E7" s="143">
        <f t="shared" si="0"/>
        <v>285.77551020408163</v>
      </c>
      <c r="F7" s="116">
        <v>142128</v>
      </c>
      <c r="G7" s="116">
        <v>6300</v>
      </c>
      <c r="H7" s="116">
        <v>382645</v>
      </c>
      <c r="I7" s="143">
        <f t="shared" si="1"/>
        <v>59.737301587301587</v>
      </c>
      <c r="J7" s="144">
        <f>H7/$H$17</f>
        <v>0.15103804318893463</v>
      </c>
    </row>
    <row r="8" spans="1:10" x14ac:dyDescent="0.25">
      <c r="A8" s="117" t="s">
        <v>164</v>
      </c>
      <c r="B8" s="116">
        <v>6300</v>
      </c>
      <c r="C8" s="116">
        <v>11688.6</v>
      </c>
      <c r="D8" s="116">
        <v>16641</v>
      </c>
      <c r="E8" s="143">
        <f t="shared" si="0"/>
        <v>0.42369488219290585</v>
      </c>
      <c r="F8" s="116">
        <v>125707.21</v>
      </c>
      <c r="G8" s="116">
        <v>157710.96</v>
      </c>
      <c r="H8" s="116">
        <v>206860.79</v>
      </c>
      <c r="I8" s="143">
        <f t="shared" si="1"/>
        <v>0.31164498649935313</v>
      </c>
      <c r="J8" s="144">
        <f>H8/$H$17</f>
        <v>8.1652312023199405E-2</v>
      </c>
    </row>
    <row r="9" spans="1:10" x14ac:dyDescent="0.25">
      <c r="A9" s="118" t="s">
        <v>148</v>
      </c>
      <c r="B9" s="116">
        <v>27401.9</v>
      </c>
      <c r="C9" s="116">
        <v>33588.68</v>
      </c>
      <c r="D9" s="116">
        <v>15646.8</v>
      </c>
      <c r="E9" s="143">
        <f t="shared" si="0"/>
        <v>-0.5341644863686219</v>
      </c>
      <c r="F9" s="116">
        <v>149695.99</v>
      </c>
      <c r="G9" s="116">
        <v>343352.07</v>
      </c>
      <c r="H9" s="116">
        <v>126961.33</v>
      </c>
      <c r="I9" s="143">
        <f t="shared" si="1"/>
        <v>-0.63022989784217698</v>
      </c>
      <c r="J9" s="144">
        <f>H9/$H$17</f>
        <v>5.0114311813468308E-2</v>
      </c>
    </row>
    <row r="10" spans="1:10" x14ac:dyDescent="0.25">
      <c r="A10" s="117" t="s">
        <v>149</v>
      </c>
      <c r="B10" s="116">
        <v>16.8</v>
      </c>
      <c r="C10" s="116">
        <v>6960</v>
      </c>
      <c r="D10" s="116">
        <v>19080</v>
      </c>
      <c r="E10" s="143">
        <f t="shared" si="0"/>
        <v>1.7413793103448274</v>
      </c>
      <c r="F10" s="116">
        <v>200</v>
      </c>
      <c r="G10" s="116">
        <v>38200</v>
      </c>
      <c r="H10" s="116">
        <v>104100</v>
      </c>
      <c r="I10" s="143">
        <f t="shared" ref="I10:I17" si="2">H10/G10-1</f>
        <v>1.7251308900523559</v>
      </c>
      <c r="J10" s="144">
        <f>H10/$H$17</f>
        <v>4.1090463212554967E-2</v>
      </c>
    </row>
    <row r="11" spans="1:10" x14ac:dyDescent="0.25">
      <c r="A11" s="117" t="s">
        <v>155</v>
      </c>
      <c r="B11" s="116">
        <v>31443</v>
      </c>
      <c r="C11" s="116">
        <v>38666.400000000001</v>
      </c>
      <c r="D11" s="116">
        <v>16734</v>
      </c>
      <c r="E11" s="143">
        <f t="shared" si="0"/>
        <v>-0.56722115324933275</v>
      </c>
      <c r="F11" s="116">
        <v>238661.11</v>
      </c>
      <c r="G11" s="116">
        <v>280510.44999999995</v>
      </c>
      <c r="H11" s="116">
        <v>83632.2</v>
      </c>
      <c r="I11" s="143">
        <f t="shared" si="2"/>
        <v>-0.70185709658944972</v>
      </c>
      <c r="J11" s="144">
        <f>H11/$H$17</f>
        <v>3.3011391330307775E-2</v>
      </c>
    </row>
    <row r="12" spans="1:10" x14ac:dyDescent="0.25">
      <c r="A12" s="117" t="s">
        <v>607</v>
      </c>
      <c r="B12" s="116">
        <v>7190.55</v>
      </c>
      <c r="C12" s="116">
        <v>6376</v>
      </c>
      <c r="D12" s="116">
        <v>10827</v>
      </c>
      <c r="E12" s="143">
        <f t="shared" si="0"/>
        <v>0.69808657465495605</v>
      </c>
      <c r="F12" s="116">
        <v>49266.25</v>
      </c>
      <c r="G12" s="116">
        <v>42599</v>
      </c>
      <c r="H12" s="116">
        <v>60683</v>
      </c>
      <c r="I12" s="143">
        <f t="shared" si="2"/>
        <v>0.42451700744148924</v>
      </c>
      <c r="J12" s="144">
        <f>H12/$H$17</f>
        <v>2.3952858589120777E-2</v>
      </c>
    </row>
    <row r="13" spans="1:10" x14ac:dyDescent="0.25">
      <c r="A13" s="117" t="s">
        <v>608</v>
      </c>
      <c r="B13" s="116">
        <v>1342.8</v>
      </c>
      <c r="C13" s="116">
        <v>3458.8</v>
      </c>
      <c r="D13" s="116">
        <v>8788.7999999999993</v>
      </c>
      <c r="E13" s="143">
        <f t="shared" si="0"/>
        <v>1.5409968775297789</v>
      </c>
      <c r="F13" s="116">
        <v>7293.15</v>
      </c>
      <c r="G13" s="116">
        <v>24263.919999999998</v>
      </c>
      <c r="H13" s="116">
        <v>46797.52</v>
      </c>
      <c r="I13" s="143">
        <f t="shared" si="2"/>
        <v>0.92868753276469751</v>
      </c>
      <c r="J13" s="144">
        <f>H13/$H$17</f>
        <v>1.8471967089325698E-2</v>
      </c>
    </row>
    <row r="14" spans="1:10" x14ac:dyDescent="0.25">
      <c r="A14" s="117" t="s">
        <v>150</v>
      </c>
      <c r="B14" s="116">
        <v>11880</v>
      </c>
      <c r="C14" s="116">
        <v>7200</v>
      </c>
      <c r="D14" s="116">
        <v>2618</v>
      </c>
      <c r="E14" s="143">
        <f t="shared" si="0"/>
        <v>-0.63638888888888889</v>
      </c>
      <c r="F14" s="116">
        <v>65304.85</v>
      </c>
      <c r="G14" s="116">
        <v>60310.86</v>
      </c>
      <c r="H14" s="116">
        <v>42031.869999999995</v>
      </c>
      <c r="I14" s="143">
        <f t="shared" si="2"/>
        <v>-0.30307957803951069</v>
      </c>
      <c r="J14" s="144">
        <f>H14/$H$17</f>
        <v>1.6590864630066211E-2</v>
      </c>
    </row>
    <row r="15" spans="1:10" x14ac:dyDescent="0.25">
      <c r="A15" s="119" t="s">
        <v>157</v>
      </c>
      <c r="B15" s="120">
        <f t="shared" ref="B15:C15" si="3">SUM(B5:B14)</f>
        <v>227254.39999999997</v>
      </c>
      <c r="C15" s="120">
        <f t="shared" si="3"/>
        <v>325725.48000000004</v>
      </c>
      <c r="D15" s="120">
        <f>SUM(D5:D14)</f>
        <v>384797.3</v>
      </c>
      <c r="E15" s="143">
        <f t="shared" si="0"/>
        <v>0.18135461800532138</v>
      </c>
      <c r="F15" s="120">
        <f>SUM(F5:F14)</f>
        <v>1494628.8900000001</v>
      </c>
      <c r="G15" s="120">
        <f t="shared" ref="G15:H15" si="4">SUM(G5:G14)</f>
        <v>2060514.76</v>
      </c>
      <c r="H15" s="120">
        <f t="shared" si="4"/>
        <v>2247466.5600000005</v>
      </c>
      <c r="I15" s="143">
        <f t="shared" si="2"/>
        <v>9.0730628884211795E-2</v>
      </c>
      <c r="J15" s="144">
        <f>H15/$H$17</f>
        <v>0.88712240158623901</v>
      </c>
    </row>
    <row r="16" spans="1:10" x14ac:dyDescent="0.25">
      <c r="A16" s="121" t="s">
        <v>158</v>
      </c>
      <c r="B16" s="116">
        <f t="shared" ref="B16:C16" si="5">B17-B15</f>
        <v>74278.94</v>
      </c>
      <c r="C16" s="116">
        <f t="shared" si="5"/>
        <v>98135.889999999839</v>
      </c>
      <c r="D16" s="116">
        <f>D17-D15</f>
        <v>40526.399999999965</v>
      </c>
      <c r="E16" s="143">
        <f t="shared" si="0"/>
        <v>-0.58703793280929095</v>
      </c>
      <c r="F16" s="116">
        <f t="shared" ref="F16:G16" si="6">F17-F15</f>
        <v>585568.03000000026</v>
      </c>
      <c r="G16" s="116">
        <f t="shared" si="6"/>
        <v>702072.05999999936</v>
      </c>
      <c r="H16" s="116">
        <f>H17-H15</f>
        <v>285968.00999999931</v>
      </c>
      <c r="I16" s="143">
        <f t="shared" si="2"/>
        <v>-0.59267997361980251</v>
      </c>
      <c r="J16" s="144">
        <f>H16/$H$17</f>
        <v>0.11287759841376102</v>
      </c>
    </row>
    <row r="17" spans="1:10" x14ac:dyDescent="0.25">
      <c r="A17" s="122" t="s">
        <v>159</v>
      </c>
      <c r="B17" s="120">
        <v>301533.33999999997</v>
      </c>
      <c r="C17" s="120">
        <v>423861.36999999988</v>
      </c>
      <c r="D17" s="120">
        <v>425323.69999999995</v>
      </c>
      <c r="E17" s="144">
        <f t="shared" si="0"/>
        <v>3.4500195193538641E-3</v>
      </c>
      <c r="F17" s="120">
        <v>2080196.9200000004</v>
      </c>
      <c r="G17" s="120">
        <v>2762586.8199999994</v>
      </c>
      <c r="H17" s="120">
        <v>2533434.5699999998</v>
      </c>
      <c r="I17" s="143">
        <f t="shared" si="2"/>
        <v>-8.2948433816099842E-2</v>
      </c>
      <c r="J17" s="144">
        <f>H17/$H$17</f>
        <v>1</v>
      </c>
    </row>
    <row r="18" spans="1:10" x14ac:dyDescent="0.25">
      <c r="A18" s="461" t="s">
        <v>234</v>
      </c>
      <c r="B18" s="461"/>
      <c r="C18" s="461"/>
      <c r="D18" s="461"/>
      <c r="E18" s="461"/>
      <c r="F18" s="461"/>
      <c r="G18" s="461"/>
      <c r="H18" s="461"/>
      <c r="I18" s="461"/>
      <c r="J18" s="461"/>
    </row>
    <row r="19" spans="1:10" ht="76.5" customHeight="1" x14ac:dyDescent="0.25">
      <c r="A19" s="462" t="s">
        <v>235</v>
      </c>
      <c r="B19" s="462"/>
      <c r="C19" s="462"/>
      <c r="D19" s="462"/>
      <c r="E19" s="462"/>
      <c r="F19" s="462"/>
      <c r="G19" s="462"/>
      <c r="H19" s="462"/>
      <c r="I19" s="462"/>
      <c r="J19" s="462"/>
    </row>
  </sheetData>
  <mergeCells count="15">
    <mergeCell ref="J3:J4"/>
    <mergeCell ref="A18:J18"/>
    <mergeCell ref="A19:J19"/>
    <mergeCell ref="B2:E2"/>
    <mergeCell ref="A1:J1"/>
    <mergeCell ref="A2:A4"/>
    <mergeCell ref="F2:J2"/>
    <mergeCell ref="B3:B4"/>
    <mergeCell ref="F3:F4"/>
    <mergeCell ref="C3:C4"/>
    <mergeCell ref="D3:D4"/>
    <mergeCell ref="E3:E4"/>
    <mergeCell ref="G3:G4"/>
    <mergeCell ref="H3:H4"/>
    <mergeCell ref="I3:I4"/>
  </mergeCells>
  <phoneticPr fontId="58" type="noConversion"/>
  <pageMargins left="1" right="1" top="1" bottom="1" header="0.5" footer="0.5"/>
  <pageSetup fitToHeight="0" orientation="landscape" r:id="rId1"/>
  <ignoredErrors>
    <ignoredError sqref="F15:H15 B15:D1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97"/>
  <sheetViews>
    <sheetView workbookViewId="0"/>
  </sheetViews>
  <sheetFormatPr baseColWidth="10" defaultColWidth="11.42578125" defaultRowHeight="15" x14ac:dyDescent="0.25"/>
  <cols>
    <col min="1" max="1" width="14.7109375" customWidth="1"/>
    <col min="6" max="6" width="10.140625" customWidth="1"/>
  </cols>
  <sheetData>
    <row r="2" spans="1:7" x14ac:dyDescent="0.25">
      <c r="D2" s="3" t="s">
        <v>10</v>
      </c>
    </row>
    <row r="4" spans="1:7" x14ac:dyDescent="0.25">
      <c r="A4" s="81" t="s">
        <v>11</v>
      </c>
      <c r="B4" s="81" t="s">
        <v>12</v>
      </c>
      <c r="C4" s="81"/>
      <c r="D4" s="81"/>
      <c r="E4" s="81"/>
      <c r="F4" s="81"/>
      <c r="G4" s="81" t="s">
        <v>13</v>
      </c>
    </row>
    <row r="5" spans="1:7" x14ac:dyDescent="0.25">
      <c r="B5" s="13" t="s">
        <v>14</v>
      </c>
      <c r="G5" s="3">
        <v>5</v>
      </c>
    </row>
    <row r="7" spans="1:7" x14ac:dyDescent="0.25">
      <c r="A7" s="81" t="s">
        <v>15</v>
      </c>
      <c r="B7" s="81" t="s">
        <v>12</v>
      </c>
      <c r="C7" s="81"/>
      <c r="D7" s="81"/>
      <c r="E7" s="81"/>
      <c r="F7" s="81"/>
      <c r="G7" s="81" t="s">
        <v>13</v>
      </c>
    </row>
    <row r="8" spans="1:7" x14ac:dyDescent="0.25">
      <c r="A8" s="12"/>
      <c r="B8" s="12"/>
      <c r="C8" s="12"/>
      <c r="D8" s="12"/>
      <c r="E8" s="12"/>
      <c r="F8" s="12"/>
      <c r="G8" s="12"/>
    </row>
    <row r="9" spans="1:7" x14ac:dyDescent="0.25">
      <c r="A9" s="3">
        <v>1</v>
      </c>
      <c r="B9" s="10" t="s">
        <v>297</v>
      </c>
      <c r="G9" s="243">
        <v>6</v>
      </c>
    </row>
    <row r="10" spans="1:7" x14ac:dyDescent="0.25">
      <c r="A10" s="3">
        <v>2</v>
      </c>
      <c r="B10" s="10" t="s">
        <v>16</v>
      </c>
      <c r="G10" s="243">
        <v>10</v>
      </c>
    </row>
    <row r="11" spans="1:7" x14ac:dyDescent="0.25">
      <c r="A11" s="3">
        <v>3</v>
      </c>
      <c r="B11" s="10" t="s">
        <v>17</v>
      </c>
      <c r="G11" s="243">
        <v>11</v>
      </c>
    </row>
    <row r="12" spans="1:7" x14ac:dyDescent="0.25">
      <c r="A12" s="3">
        <v>4</v>
      </c>
      <c r="B12" s="10" t="s">
        <v>18</v>
      </c>
      <c r="G12" s="243">
        <v>12</v>
      </c>
    </row>
    <row r="13" spans="1:7" x14ac:dyDescent="0.25">
      <c r="A13" s="3">
        <v>5</v>
      </c>
      <c r="B13" s="10" t="s">
        <v>19</v>
      </c>
      <c r="G13" s="243">
        <v>20</v>
      </c>
    </row>
    <row r="14" spans="1:7" x14ac:dyDescent="0.25">
      <c r="A14" s="3">
        <v>6</v>
      </c>
      <c r="B14" s="10" t="s">
        <v>20</v>
      </c>
      <c r="G14" s="243">
        <v>21</v>
      </c>
    </row>
    <row r="15" spans="1:7" x14ac:dyDescent="0.25">
      <c r="A15" s="3">
        <v>7</v>
      </c>
      <c r="B15" s="10" t="s">
        <v>21</v>
      </c>
      <c r="G15" s="243">
        <v>22</v>
      </c>
    </row>
    <row r="16" spans="1:7" x14ac:dyDescent="0.25">
      <c r="A16" s="3">
        <v>8</v>
      </c>
      <c r="B16" s="10" t="s">
        <v>22</v>
      </c>
      <c r="G16" s="243">
        <v>23</v>
      </c>
    </row>
    <row r="17" spans="1:7" x14ac:dyDescent="0.25">
      <c r="A17" s="3">
        <v>9</v>
      </c>
      <c r="B17" s="10" t="s">
        <v>430</v>
      </c>
      <c r="G17" s="243">
        <v>25</v>
      </c>
    </row>
    <row r="18" spans="1:7" x14ac:dyDescent="0.25">
      <c r="A18" s="3">
        <v>10</v>
      </c>
      <c r="B18" s="10" t="s">
        <v>431</v>
      </c>
      <c r="G18" s="243" t="s">
        <v>587</v>
      </c>
    </row>
    <row r="19" spans="1:7" x14ac:dyDescent="0.25">
      <c r="A19" s="3">
        <v>11</v>
      </c>
      <c r="B19" s="10" t="s">
        <v>432</v>
      </c>
      <c r="G19" s="243" t="s">
        <v>588</v>
      </c>
    </row>
    <row r="20" spans="1:7" x14ac:dyDescent="0.25">
      <c r="A20" s="3">
        <v>12</v>
      </c>
      <c r="B20" s="10" t="s">
        <v>433</v>
      </c>
      <c r="G20" s="243" t="s">
        <v>589</v>
      </c>
    </row>
    <row r="21" spans="1:7" x14ac:dyDescent="0.25">
      <c r="A21" s="3">
        <v>13</v>
      </c>
      <c r="B21" s="10" t="s">
        <v>434</v>
      </c>
      <c r="G21" s="243" t="s">
        <v>590</v>
      </c>
    </row>
    <row r="22" spans="1:7" x14ac:dyDescent="0.25">
      <c r="A22" s="3">
        <v>14</v>
      </c>
      <c r="B22" s="10" t="s">
        <v>435</v>
      </c>
      <c r="G22" s="244" t="s">
        <v>591</v>
      </c>
    </row>
    <row r="23" spans="1:7" x14ac:dyDescent="0.25">
      <c r="A23" s="3">
        <v>15</v>
      </c>
      <c r="B23" s="10" t="s">
        <v>426</v>
      </c>
      <c r="G23" s="243">
        <v>38</v>
      </c>
    </row>
    <row r="24" spans="1:7" x14ac:dyDescent="0.25">
      <c r="A24" s="3">
        <v>16</v>
      </c>
      <c r="B24" s="10" t="s">
        <v>427</v>
      </c>
      <c r="G24" s="243">
        <v>38</v>
      </c>
    </row>
    <row r="25" spans="1:7" x14ac:dyDescent="0.25">
      <c r="A25" s="3">
        <v>17</v>
      </c>
      <c r="B25" s="10" t="s">
        <v>428</v>
      </c>
      <c r="G25" s="243">
        <v>39</v>
      </c>
    </row>
    <row r="26" spans="1:7" x14ac:dyDescent="0.25">
      <c r="A26" s="3">
        <v>18</v>
      </c>
      <c r="B26" s="10" t="s">
        <v>429</v>
      </c>
      <c r="G26" s="243">
        <v>39</v>
      </c>
    </row>
    <row r="27" spans="1:7" x14ac:dyDescent="0.25">
      <c r="A27" s="3">
        <v>19</v>
      </c>
      <c r="B27" s="11" t="s">
        <v>27</v>
      </c>
      <c r="G27" s="243">
        <v>40</v>
      </c>
    </row>
    <row r="28" spans="1:7" x14ac:dyDescent="0.25">
      <c r="A28" s="3">
        <v>20</v>
      </c>
      <c r="B28" s="11" t="s">
        <v>282</v>
      </c>
      <c r="G28" s="243">
        <v>41</v>
      </c>
    </row>
    <row r="29" spans="1:7" x14ac:dyDescent="0.25">
      <c r="A29" s="3">
        <v>21</v>
      </c>
      <c r="B29" s="11" t="s">
        <v>24</v>
      </c>
      <c r="G29" s="243">
        <v>43</v>
      </c>
    </row>
    <row r="30" spans="1:7" x14ac:dyDescent="0.25">
      <c r="A30" s="3">
        <v>22</v>
      </c>
      <c r="B30" s="11" t="s">
        <v>25</v>
      </c>
      <c r="G30" s="243">
        <v>44</v>
      </c>
    </row>
    <row r="31" spans="1:7" x14ac:dyDescent="0.25">
      <c r="A31" s="3">
        <v>23</v>
      </c>
      <c r="B31" s="11" t="s">
        <v>28</v>
      </c>
      <c r="G31" s="243">
        <v>45</v>
      </c>
    </row>
    <row r="32" spans="1:7" x14ac:dyDescent="0.25">
      <c r="A32" s="3">
        <v>24</v>
      </c>
      <c r="B32" s="11" t="s">
        <v>29</v>
      </c>
      <c r="G32" s="243">
        <v>46</v>
      </c>
    </row>
    <row r="33" spans="1:7" x14ac:dyDescent="0.25">
      <c r="A33" s="3">
        <v>25</v>
      </c>
      <c r="B33" s="11" t="s">
        <v>30</v>
      </c>
      <c r="G33" s="243">
        <v>47</v>
      </c>
    </row>
    <row r="34" spans="1:7" x14ac:dyDescent="0.25">
      <c r="A34" s="3">
        <v>26</v>
      </c>
      <c r="B34" s="10" t="s">
        <v>23</v>
      </c>
      <c r="G34" s="243">
        <v>48</v>
      </c>
    </row>
    <row r="35" spans="1:7" x14ac:dyDescent="0.25">
      <c r="A35" s="3">
        <v>27</v>
      </c>
      <c r="B35" s="10" t="s">
        <v>26</v>
      </c>
      <c r="G35" s="243">
        <v>49</v>
      </c>
    </row>
    <row r="56" spans="1:7" x14ac:dyDescent="0.25">
      <c r="D56" s="3" t="s">
        <v>10</v>
      </c>
    </row>
    <row r="58" spans="1:7" x14ac:dyDescent="0.25">
      <c r="A58" s="81" t="s">
        <v>31</v>
      </c>
      <c r="B58" s="82" t="s">
        <v>12</v>
      </c>
      <c r="C58" s="81"/>
      <c r="D58" s="81"/>
      <c r="E58" s="81"/>
      <c r="F58" s="81"/>
      <c r="G58" s="81" t="s">
        <v>13</v>
      </c>
    </row>
    <row r="59" spans="1:7" x14ac:dyDescent="0.25">
      <c r="A59" s="12"/>
      <c r="B59" s="14"/>
      <c r="C59" s="12"/>
      <c r="D59" s="12"/>
      <c r="E59" s="12"/>
      <c r="F59" s="12"/>
      <c r="G59" s="12"/>
    </row>
    <row r="60" spans="1:7" x14ac:dyDescent="0.25">
      <c r="A60" s="3">
        <v>1</v>
      </c>
      <c r="B60" s="10" t="s">
        <v>32</v>
      </c>
      <c r="G60" s="243">
        <v>7</v>
      </c>
    </row>
    <row r="61" spans="1:7" x14ac:dyDescent="0.25">
      <c r="A61" s="3">
        <v>2</v>
      </c>
      <c r="B61" s="10" t="s">
        <v>33</v>
      </c>
      <c r="G61" s="243">
        <v>7</v>
      </c>
    </row>
    <row r="62" spans="1:7" x14ac:dyDescent="0.25">
      <c r="A62" s="3">
        <v>3</v>
      </c>
      <c r="B62" s="10" t="s">
        <v>34</v>
      </c>
      <c r="G62" s="243">
        <v>7</v>
      </c>
    </row>
    <row r="63" spans="1:7" x14ac:dyDescent="0.25">
      <c r="A63" s="3">
        <v>4</v>
      </c>
      <c r="B63" s="10" t="s">
        <v>35</v>
      </c>
      <c r="G63" s="243">
        <v>8</v>
      </c>
    </row>
    <row r="64" spans="1:7" x14ac:dyDescent="0.25">
      <c r="A64" s="3">
        <v>5</v>
      </c>
      <c r="B64" s="10" t="s">
        <v>36</v>
      </c>
      <c r="G64" s="243">
        <v>8</v>
      </c>
    </row>
    <row r="65" spans="1:7" x14ac:dyDescent="0.25">
      <c r="A65" s="3">
        <v>6</v>
      </c>
      <c r="B65" s="10" t="s">
        <v>37</v>
      </c>
      <c r="G65" s="243">
        <v>8</v>
      </c>
    </row>
    <row r="66" spans="1:7" x14ac:dyDescent="0.25">
      <c r="A66" s="3">
        <v>7</v>
      </c>
      <c r="B66" s="10" t="s">
        <v>38</v>
      </c>
      <c r="G66" s="243">
        <v>9</v>
      </c>
    </row>
    <row r="67" spans="1:7" x14ac:dyDescent="0.25">
      <c r="A67" s="3">
        <v>8</v>
      </c>
      <c r="B67" s="11" t="s">
        <v>39</v>
      </c>
      <c r="G67" s="243">
        <v>10</v>
      </c>
    </row>
    <row r="68" spans="1:7" x14ac:dyDescent="0.25">
      <c r="A68" s="3">
        <v>9</v>
      </c>
      <c r="B68" s="11" t="s">
        <v>40</v>
      </c>
      <c r="G68" s="243">
        <v>11</v>
      </c>
    </row>
    <row r="69" spans="1:7" x14ac:dyDescent="0.25">
      <c r="A69" s="3">
        <v>10</v>
      </c>
      <c r="B69" s="10" t="s">
        <v>41</v>
      </c>
      <c r="G69" s="243">
        <v>13</v>
      </c>
    </row>
    <row r="70" spans="1:7" x14ac:dyDescent="0.25">
      <c r="A70" s="3">
        <v>11</v>
      </c>
      <c r="B70" s="10" t="s">
        <v>42</v>
      </c>
      <c r="G70" s="243">
        <v>13</v>
      </c>
    </row>
    <row r="71" spans="1:7" x14ac:dyDescent="0.25">
      <c r="A71" s="3">
        <v>12</v>
      </c>
      <c r="B71" s="10" t="s">
        <v>43</v>
      </c>
      <c r="G71" s="243">
        <v>13</v>
      </c>
    </row>
    <row r="72" spans="1:7" x14ac:dyDescent="0.25">
      <c r="A72" s="3">
        <v>13</v>
      </c>
      <c r="B72" s="10" t="s">
        <v>578</v>
      </c>
      <c r="G72" s="243">
        <v>14</v>
      </c>
    </row>
    <row r="73" spans="1:7" x14ac:dyDescent="0.25">
      <c r="A73" s="3">
        <v>14</v>
      </c>
      <c r="B73" s="10" t="s">
        <v>579</v>
      </c>
      <c r="G73" s="243">
        <v>14</v>
      </c>
    </row>
    <row r="74" spans="1:7" x14ac:dyDescent="0.25">
      <c r="A74" s="3">
        <v>15</v>
      </c>
      <c r="B74" s="10" t="s">
        <v>580</v>
      </c>
      <c r="G74" s="243">
        <v>14</v>
      </c>
    </row>
    <row r="75" spans="1:7" x14ac:dyDescent="0.25">
      <c r="A75" s="3">
        <v>16</v>
      </c>
      <c r="B75" s="10" t="s">
        <v>44</v>
      </c>
      <c r="G75" s="243">
        <v>15</v>
      </c>
    </row>
    <row r="76" spans="1:7" x14ac:dyDescent="0.25">
      <c r="A76" s="3">
        <v>17</v>
      </c>
      <c r="B76" s="10" t="s">
        <v>45</v>
      </c>
      <c r="G76" s="243">
        <v>15</v>
      </c>
    </row>
    <row r="77" spans="1:7" x14ac:dyDescent="0.25">
      <c r="A77" s="3">
        <v>18</v>
      </c>
      <c r="B77" s="10" t="s">
        <v>46</v>
      </c>
      <c r="G77" s="243">
        <v>15</v>
      </c>
    </row>
    <row r="78" spans="1:7" x14ac:dyDescent="0.25">
      <c r="A78" s="3">
        <v>19</v>
      </c>
      <c r="B78" s="10" t="s">
        <v>581</v>
      </c>
      <c r="G78" s="243">
        <v>16</v>
      </c>
    </row>
    <row r="79" spans="1:7" x14ac:dyDescent="0.25">
      <c r="A79" s="3">
        <v>20</v>
      </c>
      <c r="B79" s="10" t="s">
        <v>582</v>
      </c>
      <c r="G79" s="243">
        <v>16</v>
      </c>
    </row>
    <row r="80" spans="1:7" x14ac:dyDescent="0.25">
      <c r="A80" s="3">
        <v>21</v>
      </c>
      <c r="B80" s="10" t="s">
        <v>583</v>
      </c>
      <c r="G80" s="243">
        <v>16</v>
      </c>
    </row>
    <row r="81" spans="1:7" x14ac:dyDescent="0.25">
      <c r="A81" s="3">
        <v>22</v>
      </c>
      <c r="B81" s="10" t="s">
        <v>47</v>
      </c>
      <c r="G81" s="243">
        <v>17</v>
      </c>
    </row>
    <row r="82" spans="1:7" x14ac:dyDescent="0.25">
      <c r="A82" s="3">
        <v>23</v>
      </c>
      <c r="B82" s="10" t="s">
        <v>48</v>
      </c>
      <c r="G82" s="243">
        <v>17</v>
      </c>
    </row>
    <row r="83" spans="1:7" x14ac:dyDescent="0.25">
      <c r="A83" s="3">
        <v>24</v>
      </c>
      <c r="B83" s="10" t="s">
        <v>49</v>
      </c>
      <c r="G83" s="243">
        <v>17</v>
      </c>
    </row>
    <row r="84" spans="1:7" x14ac:dyDescent="0.25">
      <c r="A84" s="3">
        <v>25</v>
      </c>
      <c r="B84" s="10" t="s">
        <v>50</v>
      </c>
      <c r="G84" s="243">
        <v>18</v>
      </c>
    </row>
    <row r="85" spans="1:7" x14ac:dyDescent="0.25">
      <c r="A85" s="3">
        <v>26</v>
      </c>
      <c r="B85" s="10" t="s">
        <v>51</v>
      </c>
      <c r="G85" s="243">
        <v>18</v>
      </c>
    </row>
    <row r="86" spans="1:7" x14ac:dyDescent="0.25">
      <c r="A86" s="3">
        <v>27</v>
      </c>
      <c r="B86" s="10" t="s">
        <v>52</v>
      </c>
      <c r="G86" s="243">
        <v>18</v>
      </c>
    </row>
    <row r="87" spans="1:7" x14ac:dyDescent="0.25">
      <c r="A87" s="3">
        <v>28</v>
      </c>
      <c r="B87" s="10" t="s">
        <v>584</v>
      </c>
      <c r="G87" s="243">
        <v>19</v>
      </c>
    </row>
    <row r="88" spans="1:7" x14ac:dyDescent="0.25">
      <c r="A88" s="3">
        <v>29</v>
      </c>
      <c r="B88" s="10" t="s">
        <v>585</v>
      </c>
      <c r="G88" s="243">
        <v>19</v>
      </c>
    </row>
    <row r="89" spans="1:7" x14ac:dyDescent="0.25">
      <c r="A89" s="3">
        <v>30</v>
      </c>
      <c r="B89" s="10" t="s">
        <v>586</v>
      </c>
      <c r="G89" s="243">
        <v>19</v>
      </c>
    </row>
    <row r="90" spans="1:7" x14ac:dyDescent="0.25">
      <c r="A90" s="3">
        <v>31</v>
      </c>
      <c r="B90" s="11" t="s">
        <v>424</v>
      </c>
      <c r="G90" s="243">
        <v>24</v>
      </c>
    </row>
    <row r="91" spans="1:7" x14ac:dyDescent="0.25">
      <c r="A91" s="3">
        <v>32</v>
      </c>
      <c r="B91" s="11" t="s">
        <v>425</v>
      </c>
      <c r="G91" s="243">
        <v>24</v>
      </c>
    </row>
    <row r="92" spans="1:7" x14ac:dyDescent="0.25">
      <c r="A92" s="3">
        <v>33</v>
      </c>
      <c r="B92" s="11" t="s">
        <v>282</v>
      </c>
      <c r="G92" s="243">
        <v>41</v>
      </c>
    </row>
    <row r="93" spans="1:7" x14ac:dyDescent="0.25">
      <c r="A93" s="3">
        <v>34</v>
      </c>
      <c r="B93" s="11" t="s">
        <v>604</v>
      </c>
      <c r="G93" s="243">
        <v>42</v>
      </c>
    </row>
    <row r="94" spans="1:7" x14ac:dyDescent="0.25">
      <c r="A94" s="3">
        <v>35</v>
      </c>
      <c r="B94" s="11" t="s">
        <v>54</v>
      </c>
      <c r="G94" s="243">
        <v>42</v>
      </c>
    </row>
    <row r="95" spans="1:7" x14ac:dyDescent="0.25">
      <c r="A95" s="3">
        <v>36</v>
      </c>
      <c r="B95" s="11" t="s">
        <v>53</v>
      </c>
      <c r="G95" s="243">
        <v>43</v>
      </c>
    </row>
    <row r="96" spans="1:7" x14ac:dyDescent="0.25">
      <c r="A96" s="3">
        <v>37</v>
      </c>
      <c r="B96" s="11" t="s">
        <v>55</v>
      </c>
      <c r="G96" s="243">
        <v>47</v>
      </c>
    </row>
    <row r="97" spans="1:7" x14ac:dyDescent="0.25">
      <c r="A97" s="3"/>
      <c r="B97" s="11"/>
      <c r="G97" s="243"/>
    </row>
  </sheetData>
  <phoneticPr fontId="58" type="noConversion"/>
  <hyperlinks>
    <hyperlink ref="G9" location="Exportaciones!A1" display="Exportaciones!A1" xr:uid="{D7503360-154D-428C-889F-3FE33F9235DD}"/>
    <hyperlink ref="G10" location="'expo anual rango precios'!A1" display="'expo anual rango precios'!A1" xr:uid="{243B5BB9-7FD2-4A61-BAD2-153F0EADC655}"/>
    <hyperlink ref="G11" location="'expo anual rango precios'!A1" display="'expo anual rango precios'!A1" xr:uid="{887E14B6-4520-456C-AAFE-9DEE73DD10F8}"/>
    <hyperlink ref="G23" location="'Precio vino Nac.'!A1" display="'Precio vino Nac.'!A1" xr:uid="{7372004B-0CB5-43A0-ADC6-C7043C2FEACC}"/>
    <hyperlink ref="G24" location="'Precio vino Nac.'!A18" display="'Precio vino Nac.'!A18" xr:uid="{CC250B5C-9BAD-44FA-BCBA-523CFE78D18B}"/>
    <hyperlink ref="G25" location="'Precio vino Nac.'!A35" display="'Precio vino Nac.'!A35" xr:uid="{43BC9E60-61ED-4E56-95F5-6CF78DB93F6A}"/>
    <hyperlink ref="G26" location="'Precio vino Nac.'!A52" display="'Precio vino Nac.'!A52" xr:uid="{39584E7F-961B-44EF-BF06-EBC36DFEB2C8}"/>
    <hyperlink ref="G17" location="'Precio uva'!A1" display="'Precio uva'!A1" xr:uid="{FB644023-C75D-411F-870D-84E885C354CA}"/>
    <hyperlink ref="G18" location="'Precio uva'!A25" display="25-26-27" xr:uid="{A5180128-41A1-404A-B89F-9271CF7BB949}"/>
    <hyperlink ref="G19" location="'Precio uva'!A61" display="27-28" xr:uid="{EED96C49-E16F-4832-855B-143C9EA9D305}"/>
    <hyperlink ref="G20" location="'Precio uva'!A81" display="28-29-30-31-32-33-34" xr:uid="{C2FC7E4D-C5E9-4B89-9323-48C00FBE6D5C}"/>
    <hyperlink ref="G21" location="'Precio uva'!A203" display="35-36" xr:uid="{EA4C744A-A336-414C-8317-CA6172A8D531}"/>
    <hyperlink ref="G22" location="'Precio uva'!A231" display="36-37" xr:uid="{8586CCAF-BF45-4824-84B3-07C67925A588}"/>
    <hyperlink ref="G12" location="'Expo var DO'!A1" display="'Expo var DO'!A1" xr:uid="{230FBC27-921A-4A43-B54D-C147132AFBAB}"/>
    <hyperlink ref="G13" location="'Expo vinos por mercado'!A1" display="'Expo vinos por mercado'!A1" xr:uid="{4446D74C-2AB0-4C9C-A931-0F19B5C62373}"/>
    <hyperlink ref="G14" location="'Expo vinos por mercado'!A33" display="'Expo vinos por mercado'!A33" xr:uid="{6ECF7442-B341-4769-904D-CFF2DCCAC51A}"/>
    <hyperlink ref="G15" location="'Expo vinos por mercado'!A65" display="'Expo vinos por mercado'!A65" xr:uid="{E89DBCF0-2569-4EB7-8AA8-3280F09F2B6C}"/>
    <hyperlink ref="G16" location="'Expo vinos por mercado'!A97" display="'Expo vinos por mercado'!A97" xr:uid="{120BAC0E-B41A-4740-BC23-EDAF80C4978B}"/>
    <hyperlink ref="G34" location="Estadisticas!A1" display="Estadisticas!A1" xr:uid="{645BBD50-7586-4D3F-9757-F4B25B3EA24E}"/>
    <hyperlink ref="G29" location="Existencias!A1" display="Existencias!A1" xr:uid="{5BE0EB55-BAAE-45AB-AFED-AFABDE974AB4}"/>
    <hyperlink ref="G30" location="Existencias!A38" display="Existencias!A38" xr:uid="{4992CAA0-A199-4A9C-A6F0-6FB6819C5853}"/>
    <hyperlink ref="G35" location="'Pisco x mercado'!A1" display="'Pisco x mercado'!A1" xr:uid="{F4553F7F-9816-486C-B13A-1B3CDADC8F6D}"/>
    <hyperlink ref="G27" location="'Prod vino '!A1" display="'Prod vino '!A1" xr:uid="{5FF9C450-17EB-49FE-9784-4135D2A79BED}"/>
    <hyperlink ref="G28" location="'Evol. prod. vino DO por cepa'!A1" display="'Evol. prod. vino DO por cepa'!A1" xr:uid="{C1B4DF1C-FBCB-4C8A-9D91-39EDD492FEDF}"/>
    <hyperlink ref="G31" location="'Sup plantada vides'!A1" display="'Sup plantada vides'!A1" xr:uid="{D9AC12F4-34AA-470A-BB4D-DAD45A9D4B0D}"/>
    <hyperlink ref="G32" location="'Sup plantada vides'!A17" display="'Sup plantada vides'!A17" xr:uid="{B8E67620-C69A-4AFF-8F5A-B3AA1CA3F6D2}"/>
    <hyperlink ref="G33" location="'Sup plantada vides (2)'!A1" display="'Sup plantada vides (2)'!A1" xr:uid="{1B58C35C-6AF2-422D-857B-3723B293DEFD}"/>
    <hyperlink ref="G60" location="'Evol export'!A1" display="'Evol export'!A1" xr:uid="{DE478E84-4DD9-41FE-A854-B881F0AEBB4A}"/>
    <hyperlink ref="G61" location="'Evol export'!A1" display="'Evol export'!A1" xr:uid="{9854BB27-A10E-485A-9F66-FEB5DFA7E3C2}"/>
    <hyperlink ref="G62" location="'Evol export'!A1" display="'Evol export'!A1" xr:uid="{F945DDA5-244D-493B-B46C-B8F7E800F910}"/>
    <hyperlink ref="G63" location="'Evol export'!A1" display="'Evol export'!A1" xr:uid="{45E75A9E-B0F2-47A1-9993-D8D1EC8EB15C}"/>
    <hyperlink ref="G64" location="'Evol export'!A1" display="'Evol export'!A1" xr:uid="{39A3A0AF-E63C-45F3-A723-99B062DAB152}"/>
    <hyperlink ref="G65" location="'Evol export'!A1" display="'Evol export'!A1" xr:uid="{EDCB38D6-DC56-4D27-AD5F-6A6DEC336F4F}"/>
    <hyperlink ref="G66" location="'Evol export'!A1" display="'Evol export'!A1" xr:uid="{8214A2E2-1CC8-458B-8617-ECA5065AA58D}"/>
    <hyperlink ref="G67" location="'expo anual rango precios'!A1" display="'expo anual rango precios'!A1" xr:uid="{FC9CE494-3864-4D90-A8C1-3F3906563751}"/>
    <hyperlink ref="G68" location="'expo anual rango precios'!A1" display="'expo anual rango precios'!A1" xr:uid="{9355F1CB-A94A-4C6A-B152-34449CE2E09E}"/>
    <hyperlink ref="G81" location="'Gráfico vino entre 2 y 10 lts'!A1" display="'Gráfico vino entre 2 y 10 lts'!A1" xr:uid="{72FC6D39-1079-4A1E-BA88-7CEE4F4F1A12}"/>
    <hyperlink ref="G82" location="'Gráfico vino entre 2 y 10 lts'!A17" display="'Gráfico vino entre 2 y 10 lts'!A17" xr:uid="{39CC9C8F-DCD5-44E2-85B4-03CAA16E9482}"/>
    <hyperlink ref="G69" location="'Graficos vinos DO'!A1" display="'Graficos vinos DO'!A1" xr:uid="{833D9AE9-DE09-42DD-A056-40477A6E7211}"/>
    <hyperlink ref="G70" location="'Graficos vinos DO'!A1" display="'Graficos vinos DO'!A1" xr:uid="{2818BA4A-0285-48CE-9522-9F7F8E4FAC55}"/>
    <hyperlink ref="G71" location="'Graficos vinos DO'!A1" display="'Graficos vinos DO'!A1" xr:uid="{5E319BD2-340D-460A-B197-9E8D29766647}"/>
    <hyperlink ref="G72:G74" location="'Gráficos vino granel'!A1" display="'Gráficos vino granel'!A1" xr:uid="{CBD0AE76-9485-4DCE-B006-EF5D9F928D2C}"/>
    <hyperlink ref="G75:G77" location="'Gráfico vino entre 2 y 10 lts'!A1" display="'Gráfico vino entre 2 y 10 lts'!A1" xr:uid="{E8A1AD8B-E770-4A8B-94E0-EAEEDE795EEB}"/>
    <hyperlink ref="G78:G80" location="'Gráficos vino espumoso'!A1" display="'Gráficos vino espumoso'!A1" xr:uid="{8C8701A8-524D-4082-833B-2519859F82CB}"/>
    <hyperlink ref="G86" location="'Gráficos vino espumoso'!A33" display="'Gráficos vino espumoso'!A33" xr:uid="{D39AB404-6084-4F7A-A085-CC268D93FF79}"/>
    <hyperlink ref="G83" location="'Gráfico vino entre 2 y 10 lts'!A33" display="'Gráfico vino entre 2 y 10 lts'!A33" xr:uid="{8112CDA8-736E-45B9-88E7-150788939C38}"/>
    <hyperlink ref="G84" location="'Gráficos vino espumoso'!A1" display="'Gráficos vino espumoso'!A1" xr:uid="{FA14D959-F530-4FF3-AC63-252CC143DFB1}"/>
    <hyperlink ref="G85" location="'Gráficos vino espumoso'!A17" display="'Gráficos vino espumoso'!A17" xr:uid="{64AE60DD-F318-4750-8F17-708838920310}"/>
    <hyperlink ref="G87" location="'Gráficos vino espum org'!A1" display="'Gráficos vino espum org'!A1" xr:uid="{844FBE87-D008-4529-B236-E714C8F414A4}"/>
    <hyperlink ref="G88" location="'Gráficos vino espum org'!A17" display="'Gráficos vino espum org'!A17" xr:uid="{D641D39B-1684-434C-B9D0-0B01124AD014}"/>
    <hyperlink ref="G89:G97" location="'Precios comparativos'!A1" display="'Precios comparativos'!A1" xr:uid="{C6037C6F-C07A-4BF0-9824-8F81234C3698}"/>
    <hyperlink ref="G72" location="'Gráficos vino DO org'!A1" display="'Gráficos vino DO org'!A1" xr:uid="{040A9736-D558-466A-BF4A-8D5513CD9D8F}"/>
    <hyperlink ref="G73" location="'Gráficos vino DO org'!A15" display="'Gráficos vino DO org'!A15" xr:uid="{918758B5-5E7A-48E6-8B3F-E424F25B200D}"/>
    <hyperlink ref="G74" location="'Gráficos vino DO org'!A32" display="'Gráficos vino DO org'!A32" xr:uid="{7F77BEBD-B159-45A4-8DBA-3BB80B4E954F}"/>
    <hyperlink ref="G75" location="'Gráficos vino granel'!A1" display="'Gráficos vino granel'!A1" xr:uid="{B6ABE432-F852-4919-B040-9AE04C754D39}"/>
    <hyperlink ref="G76" location="'Gráficos vino granel'!A17" display="'Gráficos vino granel'!A17" xr:uid="{ED97B70A-3BEC-4589-A12F-FC99558E2277}"/>
    <hyperlink ref="G77" location="'Gráficos vino granel'!A33" display="'Gráficos vino granel'!A33" xr:uid="{71A84BE8-EBBD-41E3-A0F1-EB2ACF7E5488}"/>
    <hyperlink ref="G78" location="'Gráficos vino granel org'!A1" display="'Gráficos vino granel org'!A1" xr:uid="{92031832-8FA1-4959-8247-FE0B3B920A25}"/>
    <hyperlink ref="G79" location="'Gráficos vino granel org'!A17" display="'Gráficos vino granel org'!A17" xr:uid="{5F971638-39C5-43A9-849B-C98B6020EA26}"/>
    <hyperlink ref="G80" location="'Gráficos vino granel'!A33" display="'Gráficos vino granel'!A33" xr:uid="{167CBD18-4437-4EF8-88E3-D2952F3CA892}"/>
    <hyperlink ref="G89" location="'Gráficos vino espum org'!A33" display="'Gráficos vino espum org'!A33" xr:uid="{66089BE8-377C-4BC8-A163-311FC13AE53E}"/>
    <hyperlink ref="G90" location="'Valor granel exp'!A1" display="'Valor granel exp'!A1" xr:uid="{700FF463-2157-4169-BC0D-3DA254AB7C2C}"/>
    <hyperlink ref="G91" location="'Valor granel exp'!A24" display="'Valor granel exp'!A24" xr:uid="{14EF2108-C429-466C-A0B5-F971E36977C1}"/>
    <hyperlink ref="G92" location="'Evol. prod. vino DO por cepa'!A1" display="'Evol. prod. vino DO por cepa'!A1" xr:uid="{5E576D6F-D9C6-4730-ADFA-1E830D6A504F}"/>
    <hyperlink ref="G93" location="'Prod vino graf'!A1" display="'Prod vino graf'!A1" xr:uid="{C7545B42-F51B-4A9A-8F4F-5135742A6179}"/>
    <hyperlink ref="G94" location="'Prod vino graf'!A25" display="'Prod vino graf'!A25" xr:uid="{88266D93-EAD2-4F8F-AC13-B13604A56374}"/>
    <hyperlink ref="G95" location="Existencias!A23" display="Existencias!A23" xr:uid="{F5FE431C-CAAB-4B56-AEF6-FF20D981BBEF}"/>
    <hyperlink ref="G96" location="'Sup plantada vides (2)'!A21" display="'Sup plantada vides (2)'!A21" xr:uid="{BD461C05-ACE7-40F3-8FA2-52F722E2871D}"/>
  </hyperlinks>
  <pageMargins left="1" right="1" top="1" bottom="1" header="0.5" footer="0.5"/>
  <pageSetup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4:J6"/>
  <sheetViews>
    <sheetView topLeftCell="A21" zoomScaleNormal="100" zoomScaleSheetLayoutView="120" workbookViewId="0"/>
  </sheetViews>
  <sheetFormatPr baseColWidth="10" defaultColWidth="11.42578125" defaultRowHeight="15" x14ac:dyDescent="0.25"/>
  <sheetData>
    <row r="4" spans="10:10" ht="18" x14ac:dyDescent="0.25">
      <c r="J4" s="80"/>
    </row>
    <row r="5" spans="10:10" ht="18" x14ac:dyDescent="0.25">
      <c r="J5" s="80"/>
    </row>
    <row r="6" spans="10:10" ht="18" x14ac:dyDescent="0.25">
      <c r="J6" s="80"/>
    </row>
  </sheetData>
  <phoneticPr fontId="58" type="noConversion"/>
  <pageMargins left="1" right="1" top="1" bottom="1" header="0.5" footer="0.5"/>
  <pageSetup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80" zoomScaleNormal="80" zoomScalePageLayoutView="80" workbookViewId="0">
      <selection sqref="A1:H1"/>
    </sheetView>
  </sheetViews>
  <sheetFormatPr baseColWidth="10" defaultColWidth="11.42578125" defaultRowHeight="15" x14ac:dyDescent="0.25"/>
  <cols>
    <col min="1" max="1" width="38" customWidth="1"/>
    <col min="2" max="4" width="12.28515625" customWidth="1"/>
    <col min="5" max="8" width="10" customWidth="1"/>
    <col min="9" max="9" width="12" bestFit="1" customWidth="1"/>
  </cols>
  <sheetData>
    <row r="1" spans="1:8" ht="15" customHeight="1" thickBot="1" x14ac:dyDescent="0.3">
      <c r="A1" s="323" t="s">
        <v>596</v>
      </c>
      <c r="B1" s="324"/>
      <c r="C1" s="324"/>
      <c r="D1" s="324"/>
      <c r="E1" s="324"/>
      <c r="F1" s="324"/>
      <c r="G1" s="324"/>
      <c r="H1" s="324"/>
    </row>
    <row r="2" spans="1:8" ht="15" customHeight="1" thickBot="1" x14ac:dyDescent="0.3">
      <c r="A2" s="325"/>
      <c r="B2" s="328" t="s">
        <v>56</v>
      </c>
      <c r="C2" s="329"/>
      <c r="D2" s="329"/>
      <c r="E2" s="329"/>
      <c r="F2" s="329"/>
      <c r="G2" s="329"/>
      <c r="H2" s="330"/>
    </row>
    <row r="3" spans="1:8" ht="15" customHeight="1" x14ac:dyDescent="0.25">
      <c r="A3" s="326"/>
      <c r="B3" s="331" t="s">
        <v>597</v>
      </c>
      <c r="C3" s="334" t="s">
        <v>288</v>
      </c>
      <c r="D3" s="337" t="s">
        <v>595</v>
      </c>
      <c r="E3" s="339" t="s">
        <v>58</v>
      </c>
      <c r="F3" s="333" t="s">
        <v>57</v>
      </c>
      <c r="G3" s="334"/>
      <c r="H3" s="335"/>
    </row>
    <row r="4" spans="1:8" ht="26.25" thickBot="1" x14ac:dyDescent="0.3">
      <c r="A4" s="327"/>
      <c r="B4" s="332"/>
      <c r="C4" s="336"/>
      <c r="D4" s="338"/>
      <c r="E4" s="340"/>
      <c r="F4" s="287">
        <v>44531</v>
      </c>
      <c r="G4" s="286">
        <v>44896</v>
      </c>
      <c r="H4" s="288" t="s">
        <v>58</v>
      </c>
    </row>
    <row r="5" spans="1:8" ht="15" customHeight="1" x14ac:dyDescent="0.25">
      <c r="A5" s="272" t="s">
        <v>59</v>
      </c>
      <c r="B5" s="162">
        <v>445.9</v>
      </c>
      <c r="C5" s="290">
        <v>448.1851345149999</v>
      </c>
      <c r="D5" s="290">
        <v>443.66029532049998</v>
      </c>
      <c r="E5" s="291">
        <v>-1.0095915384155774E-2</v>
      </c>
      <c r="F5" s="293">
        <v>42.492720380199991</v>
      </c>
      <c r="G5" s="290">
        <v>31.147296999999995</v>
      </c>
      <c r="H5" s="291">
        <v>-0.26699687096255054</v>
      </c>
    </row>
    <row r="6" spans="1:8" ht="15" customHeight="1" x14ac:dyDescent="0.25">
      <c r="A6" s="273" t="s">
        <v>60</v>
      </c>
      <c r="B6" s="277">
        <v>339.6</v>
      </c>
      <c r="C6" s="289">
        <v>353.03793121770002</v>
      </c>
      <c r="D6" s="289">
        <v>322.85618407999999</v>
      </c>
      <c r="E6" s="292">
        <v>-8.5491513712413258E-2</v>
      </c>
      <c r="F6" s="294">
        <v>35.943184500000001</v>
      </c>
      <c r="G6" s="289">
        <v>18.67795825</v>
      </c>
      <c r="H6" s="292">
        <v>-0.48034770680933958</v>
      </c>
    </row>
    <row r="7" spans="1:8" ht="15" customHeight="1" x14ac:dyDescent="0.25">
      <c r="A7" s="273" t="s">
        <v>284</v>
      </c>
      <c r="B7" s="277">
        <v>37.799999999999997</v>
      </c>
      <c r="C7" s="289">
        <v>39.216195233699999</v>
      </c>
      <c r="D7" s="289">
        <v>40.288540142099997</v>
      </c>
      <c r="E7" s="292">
        <v>2.7344440275493431E-2</v>
      </c>
      <c r="F7" s="294">
        <v>4.3833450999999997</v>
      </c>
      <c r="G7" s="289">
        <v>3.5352943000000003</v>
      </c>
      <c r="H7" s="292">
        <v>-0.19347114604323523</v>
      </c>
    </row>
    <row r="8" spans="1:8" x14ac:dyDescent="0.25">
      <c r="A8" s="273" t="s">
        <v>61</v>
      </c>
      <c r="B8" s="277">
        <v>22.4</v>
      </c>
      <c r="C8" s="289">
        <v>21.014181499999999</v>
      </c>
      <c r="D8" s="289">
        <v>18.35780475</v>
      </c>
      <c r="E8" s="292">
        <v>-0.12640876590886962</v>
      </c>
      <c r="F8" s="294">
        <v>1.977452</v>
      </c>
      <c r="G8" s="289">
        <v>1.4281440000000001</v>
      </c>
      <c r="H8" s="292">
        <v>-0.27778575662013538</v>
      </c>
    </row>
    <row r="9" spans="1:8" x14ac:dyDescent="0.25">
      <c r="A9" s="273" t="s">
        <v>62</v>
      </c>
      <c r="B9" s="277">
        <v>3.5</v>
      </c>
      <c r="C9" s="289">
        <v>3.5844562599999996</v>
      </c>
      <c r="D9" s="289">
        <v>3.9152444273999998</v>
      </c>
      <c r="E9" s="292">
        <v>9.228405744306678E-2</v>
      </c>
      <c r="F9" s="294">
        <v>0.37899149999999998</v>
      </c>
      <c r="G9" s="289">
        <v>0.26676450000000002</v>
      </c>
      <c r="H9" s="292">
        <v>-0.29612009768029091</v>
      </c>
    </row>
    <row r="10" spans="1:8" ht="15" customHeight="1" x14ac:dyDescent="0.25">
      <c r="A10" s="273" t="s">
        <v>63</v>
      </c>
      <c r="B10" s="279">
        <v>0.6</v>
      </c>
      <c r="C10" s="284">
        <v>0.58249799999999996</v>
      </c>
      <c r="D10" s="284">
        <v>0.47893200000000002</v>
      </c>
      <c r="E10" s="292">
        <v>-0.17779631861396938</v>
      </c>
      <c r="F10" s="295">
        <v>4.3284000000000003E-2</v>
      </c>
      <c r="G10" s="284">
        <v>5.0700000000000002E-2</v>
      </c>
      <c r="H10" s="292">
        <v>0.17133351815913489</v>
      </c>
    </row>
    <row r="11" spans="1:8" ht="15.75" thickBot="1" x14ac:dyDescent="0.3">
      <c r="A11" s="274" t="s">
        <v>65</v>
      </c>
      <c r="B11" s="296">
        <v>849.8</v>
      </c>
      <c r="C11" s="297">
        <v>865.62039672639992</v>
      </c>
      <c r="D11" s="297">
        <v>829.55700071999991</v>
      </c>
      <c r="E11" s="298">
        <v>-4.166190646937673E-2</v>
      </c>
      <c r="F11" s="299">
        <v>85.218977480199996</v>
      </c>
      <c r="G11" s="297">
        <v>55.106158049999998</v>
      </c>
      <c r="H11" s="298">
        <v>-0.35335814064650672</v>
      </c>
    </row>
    <row r="12" spans="1:8" ht="15.75" thickBot="1" x14ac:dyDescent="0.3">
      <c r="A12" s="15"/>
      <c r="B12" s="320" t="s">
        <v>64</v>
      </c>
      <c r="C12" s="321"/>
      <c r="D12" s="321"/>
      <c r="E12" s="321"/>
      <c r="F12" s="321"/>
      <c r="G12" s="321"/>
      <c r="H12" s="321"/>
    </row>
    <row r="13" spans="1:8" x14ac:dyDescent="0.25">
      <c r="A13" s="272" t="s">
        <v>59</v>
      </c>
      <c r="B13" s="285">
        <v>1393.9</v>
      </c>
      <c r="C13" s="290">
        <v>1505.6703209199998</v>
      </c>
      <c r="D13" s="290">
        <v>1459.2860936799989</v>
      </c>
      <c r="E13" s="291">
        <v>-3.0806363514995105E-2</v>
      </c>
      <c r="F13" s="293">
        <v>139.06793841000004</v>
      </c>
      <c r="G13" s="290">
        <v>103.22717089999993</v>
      </c>
      <c r="H13" s="291">
        <v>-0.25772128299144248</v>
      </c>
    </row>
    <row r="14" spans="1:8" x14ac:dyDescent="0.25">
      <c r="A14" s="273" t="s">
        <v>60</v>
      </c>
      <c r="B14" s="283">
        <v>293.39999999999998</v>
      </c>
      <c r="C14" s="289">
        <v>308.87659557000006</v>
      </c>
      <c r="D14" s="289">
        <v>299.19057760999993</v>
      </c>
      <c r="E14" s="292">
        <v>-3.1358860136766142E-2</v>
      </c>
      <c r="F14" s="294">
        <v>30.691227660000003</v>
      </c>
      <c r="G14" s="289">
        <v>16.284803140000005</v>
      </c>
      <c r="H14" s="292">
        <v>-0.46939877021524123</v>
      </c>
    </row>
    <row r="15" spans="1:8" x14ac:dyDescent="0.25">
      <c r="A15" s="273" t="s">
        <v>284</v>
      </c>
      <c r="B15" s="283">
        <v>79.8</v>
      </c>
      <c r="C15" s="289">
        <v>86.374095879999999</v>
      </c>
      <c r="D15" s="289">
        <v>89.19381463000002</v>
      </c>
      <c r="E15" s="292">
        <v>3.2645421306840339E-2</v>
      </c>
      <c r="F15" s="294">
        <v>9.1913482799999997</v>
      </c>
      <c r="G15" s="289">
        <v>7.549346540000009</v>
      </c>
      <c r="H15" s="292">
        <v>-0.17864644989820699</v>
      </c>
    </row>
    <row r="16" spans="1:8" x14ac:dyDescent="0.25">
      <c r="A16" s="273" t="s">
        <v>61</v>
      </c>
      <c r="B16" s="283">
        <v>41.5</v>
      </c>
      <c r="C16" s="289">
        <v>40.270924819999998</v>
      </c>
      <c r="D16" s="289">
        <v>32.899127229999998</v>
      </c>
      <c r="E16" s="292">
        <v>-0.18305508559711292</v>
      </c>
      <c r="F16" s="294">
        <v>3.6916154900000007</v>
      </c>
      <c r="G16" s="289">
        <v>2.3203148099999997</v>
      </c>
      <c r="H16" s="292">
        <v>-0.3714635729844119</v>
      </c>
    </row>
    <row r="17" spans="1:8" x14ac:dyDescent="0.25">
      <c r="A17" s="273" t="s">
        <v>62</v>
      </c>
      <c r="B17" s="283">
        <v>14.7</v>
      </c>
      <c r="C17" s="289">
        <v>14.482406460000002</v>
      </c>
      <c r="D17" s="289">
        <v>15.45231836</v>
      </c>
      <c r="E17" s="292">
        <v>6.6971735856113934E-2</v>
      </c>
      <c r="F17" s="294">
        <v>1.3470470499999998</v>
      </c>
      <c r="G17" s="289">
        <v>1.0347021199999999</v>
      </c>
      <c r="H17" s="292">
        <v>-0.23187380871365992</v>
      </c>
    </row>
    <row r="18" spans="1:8" x14ac:dyDescent="0.25">
      <c r="A18" s="273" t="s">
        <v>63</v>
      </c>
      <c r="B18" s="283">
        <v>2.5</v>
      </c>
      <c r="C18" s="284">
        <v>2.3697822099999994</v>
      </c>
      <c r="D18" s="284">
        <v>1.9469199099999999</v>
      </c>
      <c r="E18" s="292">
        <v>-0.1784393089861197</v>
      </c>
      <c r="F18" s="295">
        <v>0.18193800999999998</v>
      </c>
      <c r="G18" s="284">
        <v>0.18711520000000001</v>
      </c>
      <c r="H18" s="292">
        <v>2.8455791068617398E-2</v>
      </c>
    </row>
    <row r="19" spans="1:8" ht="15.75" thickBot="1" x14ac:dyDescent="0.3">
      <c r="A19" s="280" t="s">
        <v>65</v>
      </c>
      <c r="B19" s="300">
        <v>1825.7</v>
      </c>
      <c r="C19" s="297">
        <v>1958.0441258599999</v>
      </c>
      <c r="D19" s="297">
        <v>1897.9688514199988</v>
      </c>
      <c r="E19" s="298">
        <v>-3.0681266906390725E-2</v>
      </c>
      <c r="F19" s="299">
        <v>184.17111490000005</v>
      </c>
      <c r="G19" s="297">
        <v>130.60345270999994</v>
      </c>
      <c r="H19" s="298">
        <v>-0.29085810887926644</v>
      </c>
    </row>
    <row r="20" spans="1:8" ht="15.75" thickBot="1" x14ac:dyDescent="0.3">
      <c r="A20" s="15"/>
      <c r="B20" s="320" t="s">
        <v>66</v>
      </c>
      <c r="C20" s="321"/>
      <c r="D20" s="321"/>
      <c r="E20" s="321"/>
      <c r="F20" s="322"/>
      <c r="G20" s="322"/>
      <c r="H20" s="322"/>
    </row>
    <row r="21" spans="1:8" x14ac:dyDescent="0.25">
      <c r="A21" s="272" t="s">
        <v>59</v>
      </c>
      <c r="B21" s="282">
        <v>3.13</v>
      </c>
      <c r="C21" s="165">
        <v>3.3594829568574363</v>
      </c>
      <c r="D21" s="165">
        <v>3.289196957834172</v>
      </c>
      <c r="E21" s="166">
        <v>-2.0921671556569543E-2</v>
      </c>
      <c r="F21" s="281">
        <v>3.2727473592112135</v>
      </c>
      <c r="G21" s="165">
        <v>3.3141614471393761</v>
      </c>
      <c r="H21" s="166">
        <v>1.2654226978933147E-2</v>
      </c>
    </row>
    <row r="22" spans="1:8" x14ac:dyDescent="0.25">
      <c r="A22" s="273" t="s">
        <v>60</v>
      </c>
      <c r="B22" s="283">
        <v>0.86</v>
      </c>
      <c r="C22" s="276">
        <v>0.87491050750445287</v>
      </c>
      <c r="D22" s="276">
        <v>0.92669923130809229</v>
      </c>
      <c r="E22" s="278">
        <v>5.9193167026143856E-2</v>
      </c>
      <c r="F22" s="275">
        <v>0.85388170488900339</v>
      </c>
      <c r="G22" s="164">
        <v>0.87187276692836624</v>
      </c>
      <c r="H22" s="163">
        <v>2.1069735932217393E-2</v>
      </c>
    </row>
    <row r="23" spans="1:8" x14ac:dyDescent="0.25">
      <c r="A23" s="273" t="s">
        <v>284</v>
      </c>
      <c r="B23" s="283">
        <v>2.11</v>
      </c>
      <c r="C23" s="276">
        <v>2.2025108597423388</v>
      </c>
      <c r="D23" s="276">
        <v>2.2138755664863585</v>
      </c>
      <c r="E23" s="278">
        <v>5.1598868145190657E-3</v>
      </c>
      <c r="F23" s="275">
        <v>2.0968799102767428</v>
      </c>
      <c r="G23" s="164">
        <v>2.1354223720497636</v>
      </c>
      <c r="H23" s="163">
        <v>1.8380862720905222E-2</v>
      </c>
    </row>
    <row r="24" spans="1:8" x14ac:dyDescent="0.25">
      <c r="A24" s="273" t="s">
        <v>61</v>
      </c>
      <c r="B24" s="283">
        <v>1.85</v>
      </c>
      <c r="C24" s="276">
        <v>1.9163689444673351</v>
      </c>
      <c r="D24" s="276">
        <v>1.7921057380240411</v>
      </c>
      <c r="E24" s="278">
        <v>-6.4843049561019495E-2</v>
      </c>
      <c r="F24" s="275">
        <v>1.8668546644874318</v>
      </c>
      <c r="G24" s="164">
        <v>1.6247064791785699</v>
      </c>
      <c r="H24" s="163">
        <v>-0.12970917871389132</v>
      </c>
    </row>
    <row r="25" spans="1:8" x14ac:dyDescent="0.25">
      <c r="A25" s="273" t="s">
        <v>62</v>
      </c>
      <c r="B25" s="283">
        <v>4.22</v>
      </c>
      <c r="C25" s="276">
        <v>4.0403356630720895</v>
      </c>
      <c r="D25" s="276">
        <v>3.9467059200340744</v>
      </c>
      <c r="E25" s="278">
        <v>-2.3173753580370438E-2</v>
      </c>
      <c r="F25" s="275">
        <v>3.5542935659506871</v>
      </c>
      <c r="G25" s="164">
        <v>3.8787099482877214</v>
      </c>
      <c r="H25" s="163">
        <v>9.1274504009704938E-2</v>
      </c>
    </row>
    <row r="26" spans="1:8" ht="14.25" customHeight="1" x14ac:dyDescent="0.25">
      <c r="A26" s="273" t="s">
        <v>63</v>
      </c>
      <c r="B26" s="283">
        <v>3.88</v>
      </c>
      <c r="C26" s="276">
        <v>4.0683096079299839</v>
      </c>
      <c r="D26" s="276">
        <v>4.065128055757393</v>
      </c>
      <c r="E26" s="278">
        <v>-7.8203295206180634E-4</v>
      </c>
      <c r="F26" s="275">
        <v>4.2033548193327785</v>
      </c>
      <c r="G26" s="164">
        <v>3.6906351084812625</v>
      </c>
      <c r="H26" s="163">
        <v>-0.12197868913976262</v>
      </c>
    </row>
    <row r="27" spans="1:8" ht="15.75" thickBot="1" x14ac:dyDescent="0.3">
      <c r="A27" s="280" t="s">
        <v>574</v>
      </c>
      <c r="B27" s="301">
        <v>2.15</v>
      </c>
      <c r="C27" s="302">
        <v>2.2620124632748073</v>
      </c>
      <c r="D27" s="302">
        <v>2.2879306060616558</v>
      </c>
      <c r="E27" s="303">
        <v>1.1458001760664693E-2</v>
      </c>
      <c r="F27" s="304">
        <v>2.1611514283046973</v>
      </c>
      <c r="G27" s="305">
        <v>2.3700337191262411</v>
      </c>
      <c r="H27" s="303">
        <v>9.6653241455366246E-2</v>
      </c>
    </row>
    <row r="28" spans="1:8" x14ac:dyDescent="0.25">
      <c r="A28" s="316" t="s">
        <v>67</v>
      </c>
      <c r="B28" s="317"/>
      <c r="C28" s="317"/>
      <c r="D28" s="317"/>
      <c r="E28" s="317"/>
      <c r="F28" s="317"/>
      <c r="G28" s="317"/>
      <c r="H28" s="317"/>
    </row>
    <row r="29" spans="1:8" ht="49.5" customHeight="1" x14ac:dyDescent="0.25">
      <c r="A29" s="318" t="s">
        <v>68</v>
      </c>
      <c r="B29" s="319"/>
      <c r="C29" s="319"/>
      <c r="D29" s="319"/>
      <c r="E29" s="319"/>
      <c r="F29" s="319"/>
      <c r="G29" s="319"/>
      <c r="H29" s="319"/>
    </row>
  </sheetData>
  <mergeCells count="12">
    <mergeCell ref="A28:H28"/>
    <mergeCell ref="A29:H29"/>
    <mergeCell ref="B12:H12"/>
    <mergeCell ref="B20:H20"/>
    <mergeCell ref="A1:H1"/>
    <mergeCell ref="A2:A4"/>
    <mergeCell ref="B2:H2"/>
    <mergeCell ref="B3:B4"/>
    <mergeCell ref="F3:H3"/>
    <mergeCell ref="C3:C4"/>
    <mergeCell ref="D3:D4"/>
    <mergeCell ref="E3:E4"/>
  </mergeCells>
  <phoneticPr fontId="58" type="noConversion"/>
  <pageMargins left="0.98425196850393704" right="0.98425196850393704" top="0.98425196850393704" bottom="0.98425196850393704" header="0.51181102362204722" footer="0.51181102362204722"/>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O33"/>
  <sheetViews>
    <sheetView showWhiteSpace="0" topLeftCell="A43" zoomScaleNormal="100" zoomScaleSheetLayoutView="90" workbookViewId="0">
      <selection activeCell="H52" sqref="H52"/>
    </sheetView>
  </sheetViews>
  <sheetFormatPr baseColWidth="10" defaultColWidth="11.42578125" defaultRowHeight="15" x14ac:dyDescent="0.25"/>
  <cols>
    <col min="17" max="17" width="11.42578125" customWidth="1"/>
    <col min="18" max="23" width="5.42578125" customWidth="1"/>
    <col min="24" max="28" width="6" customWidth="1"/>
    <col min="29" max="37" width="6" bestFit="1" customWidth="1"/>
    <col min="38" max="39" width="5.28515625" customWidth="1"/>
  </cols>
  <sheetData>
    <row r="2" spans="15:41" x14ac:dyDescent="0.25">
      <c r="O2" s="16" t="s">
        <v>69</v>
      </c>
      <c r="P2" s="16"/>
      <c r="Q2" s="16"/>
      <c r="R2" s="17">
        <f>R6/Q6-1</f>
        <v>3.3175296121701336E-2</v>
      </c>
      <c r="S2" s="17">
        <f>S6/R6-1</f>
        <v>1.7987214310092314E-2</v>
      </c>
      <c r="T2" s="17">
        <f t="shared" ref="T2:AG2" si="0">T6/S6-1</f>
        <v>0.11349702717252819</v>
      </c>
      <c r="U2" s="17">
        <f t="shared" si="0"/>
        <v>0.24954699849420248</v>
      </c>
      <c r="V2" s="17">
        <f t="shared" si="0"/>
        <v>4.7964708012287804E-2</v>
      </c>
      <c r="W2" s="17">
        <f t="shared" si="0"/>
        <v>9.8144241079429095E-2</v>
      </c>
      <c r="X2" s="17">
        <f t="shared" si="0"/>
        <v>0.30099876730443031</v>
      </c>
      <c r="Y2" s="17">
        <f t="shared" si="0"/>
        <v>9.6464535760310222E-2</v>
      </c>
      <c r="Z2" s="17">
        <f t="shared" si="0"/>
        <v>4.0006110379404713E-3</v>
      </c>
      <c r="AA2" s="17">
        <f t="shared" si="0"/>
        <v>0.11691849358949513</v>
      </c>
      <c r="AB2" s="17">
        <f t="shared" si="0"/>
        <v>9.6259110759669309E-2</v>
      </c>
      <c r="AC2" s="17">
        <f t="shared" si="0"/>
        <v>5.7751878345935648E-2</v>
      </c>
      <c r="AD2" s="17">
        <f t="shared" si="0"/>
        <v>5.0535777007490124E-2</v>
      </c>
      <c r="AE2" s="17">
        <f t="shared" si="0"/>
        <v>-1.7559406408334421E-2</v>
      </c>
      <c r="AF2" s="17">
        <f t="shared" si="0"/>
        <v>5.0507832556421217E-3</v>
      </c>
      <c r="AG2" s="17">
        <f t="shared" si="0"/>
        <v>-8.6790252369350895E-6</v>
      </c>
      <c r="AH2" s="17">
        <f t="shared" ref="AH2:AL2" si="1">AH6/AG6-1</f>
        <v>8.8334258199987303E-2</v>
      </c>
      <c r="AI2" s="17">
        <f t="shared" si="1"/>
        <v>-1.1340969739138784E-2</v>
      </c>
      <c r="AJ2" s="17">
        <f t="shared" si="1"/>
        <v>-3.1506352087114275E-2</v>
      </c>
      <c r="AK2" s="17">
        <f t="shared" si="1"/>
        <v>-5.0962363307764935E-2</v>
      </c>
      <c r="AL2" s="17">
        <f t="shared" si="1"/>
        <v>7.1492859132294528E-2</v>
      </c>
      <c r="AM2" s="17" t="e">
        <f>AM6/#REF!-1</f>
        <v>#REF!</v>
      </c>
    </row>
    <row r="3" spans="15:41" x14ac:dyDescent="0.25">
      <c r="O3" s="18" t="s">
        <v>70</v>
      </c>
      <c r="P3" s="19"/>
      <c r="Q3" s="20"/>
      <c r="R3" s="20"/>
      <c r="S3" s="20"/>
      <c r="T3" s="20"/>
      <c r="U3" s="20"/>
      <c r="V3" s="20"/>
      <c r="W3" s="20"/>
      <c r="X3" s="20"/>
      <c r="Y3" s="20"/>
      <c r="Z3" s="20"/>
      <c r="AA3" s="20"/>
      <c r="AB3" s="20"/>
      <c r="AC3" s="20"/>
      <c r="AD3" s="20"/>
      <c r="AE3" s="20"/>
      <c r="AF3" s="20"/>
      <c r="AG3" s="20"/>
      <c r="AH3" s="20"/>
      <c r="AI3" s="20"/>
      <c r="AJ3" s="20"/>
      <c r="AK3" s="20"/>
      <c r="AL3" s="20"/>
      <c r="AM3" s="20"/>
    </row>
    <row r="4" spans="15:41" x14ac:dyDescent="0.25">
      <c r="O4" s="21"/>
      <c r="P4" s="22"/>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c r="AM4" s="22">
        <v>2022</v>
      </c>
    </row>
    <row r="5" spans="15:41" x14ac:dyDescent="0.25">
      <c r="O5" s="23" t="s">
        <v>71</v>
      </c>
      <c r="P5" s="24" t="s">
        <v>72</v>
      </c>
      <c r="Q5" s="24">
        <v>264.75042000000002</v>
      </c>
      <c r="R5" s="24">
        <v>308.94225599999999</v>
      </c>
      <c r="S5" s="24">
        <v>344.06530935310002</v>
      </c>
      <c r="T5" s="24">
        <v>390.96013003370001</v>
      </c>
      <c r="U5" s="24">
        <v>465.3393175571</v>
      </c>
      <c r="V5" s="24">
        <v>413.65611972459999</v>
      </c>
      <c r="W5" s="24">
        <v>470.09455889540004</v>
      </c>
      <c r="X5" s="24">
        <v>599.78646680209988</v>
      </c>
      <c r="Y5" s="24">
        <v>581.72047084199994</v>
      </c>
      <c r="Z5" s="24">
        <v>687.65672542569996</v>
      </c>
      <c r="AA5" s="24">
        <v>725.38451726690005</v>
      </c>
      <c r="AB5" s="24">
        <v>660.04612720440002</v>
      </c>
      <c r="AC5" s="24">
        <v>743.9480811599999</v>
      </c>
      <c r="AD5" s="24">
        <v>873.51530059059996</v>
      </c>
      <c r="AE5" s="24">
        <v>796.43082167889997</v>
      </c>
      <c r="AF5" s="24">
        <v>875.0329999999999</v>
      </c>
      <c r="AG5" s="24">
        <f>AG10+AG15+AG20+AG25</f>
        <v>906.32799999999997</v>
      </c>
      <c r="AH5" s="24">
        <f t="shared" ref="AH5:AL6" si="2">AH10+AH15+AH20+AH25+AH30</f>
        <v>939.54</v>
      </c>
      <c r="AI5" s="24">
        <f t="shared" si="2"/>
        <v>844.7</v>
      </c>
      <c r="AJ5" s="24">
        <f t="shared" si="2"/>
        <v>867.75499999999988</v>
      </c>
      <c r="AK5" s="24">
        <f>AK10+AK15+AK20+AK25+AK30</f>
        <v>849.30000000000007</v>
      </c>
      <c r="AL5" s="24">
        <f>AL10+AL15+AL20+AL25+AL30</f>
        <v>865.08589868920001</v>
      </c>
      <c r="AM5" s="24">
        <f>AM10+AM15+AM20+AM25+AM30</f>
        <v>829.19999999999982</v>
      </c>
    </row>
    <row r="6" spans="15:41" x14ac:dyDescent="0.25">
      <c r="O6" s="23" t="s">
        <v>73</v>
      </c>
      <c r="P6" s="24" t="s">
        <v>74</v>
      </c>
      <c r="Q6" s="24">
        <v>568.92613499999993</v>
      </c>
      <c r="R6" s="24">
        <v>587.8004279999999</v>
      </c>
      <c r="S6" s="24">
        <v>598.37332026999991</v>
      </c>
      <c r="T6" s="24">
        <v>666.28691326000001</v>
      </c>
      <c r="U6" s="24">
        <v>832.55681260000006</v>
      </c>
      <c r="V6" s="24">
        <v>872.49015702000008</v>
      </c>
      <c r="W6" s="24">
        <v>958.12004132999994</v>
      </c>
      <c r="X6" s="24">
        <v>1246.5129926999998</v>
      </c>
      <c r="Y6" s="24">
        <v>1366.7572898600004</v>
      </c>
      <c r="Z6" s="24">
        <v>1372.2251541599999</v>
      </c>
      <c r="AA6" s="24">
        <v>1532.6636520499999</v>
      </c>
      <c r="AB6" s="24">
        <v>1680.1964922900002</v>
      </c>
      <c r="AC6" s="24">
        <v>1777.2309957100001</v>
      </c>
      <c r="AD6" s="24">
        <v>1867.0447450000001</v>
      </c>
      <c r="AE6" s="24">
        <v>1834.2605475400001</v>
      </c>
      <c r="AF6" s="24">
        <v>1843.5249999999999</v>
      </c>
      <c r="AG6" s="24">
        <f>AG11+AG16+AG21+AG26</f>
        <v>1843.509</v>
      </c>
      <c r="AH6" s="24">
        <f t="shared" si="2"/>
        <v>2006.3540000000003</v>
      </c>
      <c r="AI6" s="24">
        <f t="shared" si="2"/>
        <v>1983.6000000000001</v>
      </c>
      <c r="AJ6" s="24">
        <f t="shared" si="2"/>
        <v>1921.1040000000003</v>
      </c>
      <c r="AK6" s="24">
        <f>AK11+AK16+AK21+AK26+AK31</f>
        <v>1823.1999999999998</v>
      </c>
      <c r="AL6" s="24">
        <f t="shared" si="2"/>
        <v>1953.5457807699991</v>
      </c>
      <c r="AM6" s="24">
        <f t="shared" ref="AM6" si="3">AM11+AM16+AM21+AM26+AM31</f>
        <v>1896.1000000000001</v>
      </c>
    </row>
    <row r="7" spans="15:41" x14ac:dyDescent="0.25">
      <c r="O7" s="25" t="s">
        <v>75</v>
      </c>
      <c r="P7" s="26" t="s">
        <v>76</v>
      </c>
      <c r="Q7" s="27">
        <f>Q6/Q5</f>
        <v>2.1489149478969662</v>
      </c>
      <c r="R7" s="27">
        <f t="shared" ref="R7:AE7" si="4">R6/R5</f>
        <v>1.9026223075162625</v>
      </c>
      <c r="S7" s="27">
        <f t="shared" si="4"/>
        <v>1.7391271482586874</v>
      </c>
      <c r="T7" s="27">
        <f t="shared" si="4"/>
        <v>1.7042323809401418</v>
      </c>
      <c r="U7" s="27">
        <f t="shared" si="4"/>
        <v>1.7891391962550858</v>
      </c>
      <c r="V7" s="27">
        <f t="shared" si="4"/>
        <v>2.1092161228048028</v>
      </c>
      <c r="W7" s="27">
        <f t="shared" si="4"/>
        <v>2.0381432271442002</v>
      </c>
      <c r="X7" s="27">
        <f t="shared" si="4"/>
        <v>2.0782612841301202</v>
      </c>
      <c r="Y7" s="27">
        <f t="shared" si="4"/>
        <v>2.3495086701723151</v>
      </c>
      <c r="Z7" s="27">
        <f t="shared" si="4"/>
        <v>1.9955089558827652</v>
      </c>
      <c r="AA7" s="27">
        <f t="shared" si="4"/>
        <v>2.1128982154523532</v>
      </c>
      <c r="AB7" s="27">
        <f t="shared" si="4"/>
        <v>2.5455743516084364</v>
      </c>
      <c r="AC7" s="27">
        <f t="shared" si="4"/>
        <v>2.3889180451125775</v>
      </c>
      <c r="AD7" s="27">
        <f t="shared" si="4"/>
        <v>2.1373921484118896</v>
      </c>
      <c r="AE7" s="27">
        <f t="shared" si="4"/>
        <v>2.3031009067094166</v>
      </c>
      <c r="AF7" s="27">
        <v>2.106806257592571</v>
      </c>
      <c r="AG7" s="27">
        <f t="shared" ref="AG7:AL7" si="5">AG6/AG5</f>
        <v>2.0340417597161293</v>
      </c>
      <c r="AH7" s="27">
        <f t="shared" si="5"/>
        <v>2.1354641633139626</v>
      </c>
      <c r="AI7" s="27">
        <f t="shared" si="5"/>
        <v>2.3482893334911803</v>
      </c>
      <c r="AJ7" s="27">
        <f t="shared" si="5"/>
        <v>2.2138783412368706</v>
      </c>
      <c r="AK7" s="27">
        <f t="shared" si="5"/>
        <v>2.1467090545154828</v>
      </c>
      <c r="AL7" s="27">
        <f t="shared" si="5"/>
        <v>2.2582101774286936</v>
      </c>
      <c r="AM7" s="27">
        <f t="shared" ref="AM7" si="6">AM6/AM5</f>
        <v>2.2866618427399912</v>
      </c>
    </row>
    <row r="8" spans="15:41" x14ac:dyDescent="0.25">
      <c r="O8" s="18" t="s">
        <v>59</v>
      </c>
      <c r="P8" s="19"/>
      <c r="Q8" s="20"/>
      <c r="R8" s="20"/>
      <c r="S8" s="20"/>
      <c r="T8" s="20"/>
      <c r="U8" s="20"/>
      <c r="V8" s="20"/>
      <c r="W8" s="20"/>
      <c r="X8" s="20"/>
      <c r="Y8" s="20"/>
      <c r="Z8" s="20"/>
      <c r="AA8" s="20"/>
      <c r="AB8" s="20"/>
      <c r="AC8" s="20"/>
      <c r="AD8" s="20"/>
      <c r="AE8" s="20"/>
      <c r="AF8" s="20"/>
      <c r="AG8" s="20"/>
      <c r="AH8" s="20"/>
      <c r="AI8" s="20"/>
      <c r="AJ8" s="20"/>
      <c r="AK8" s="20"/>
      <c r="AL8" s="20"/>
      <c r="AM8" s="20"/>
    </row>
    <row r="9" spans="15:41" x14ac:dyDescent="0.25">
      <c r="O9" s="21"/>
      <c r="P9" s="22"/>
      <c r="Q9" s="22">
        <v>2000</v>
      </c>
      <c r="R9" s="22">
        <v>2001</v>
      </c>
      <c r="S9" s="22">
        <v>2002</v>
      </c>
      <c r="T9" s="22">
        <v>2003</v>
      </c>
      <c r="U9" s="22">
        <v>2004</v>
      </c>
      <c r="V9" s="22">
        <v>2005</v>
      </c>
      <c r="W9" s="22">
        <v>2006</v>
      </c>
      <c r="X9" s="22">
        <v>2007</v>
      </c>
      <c r="Y9" s="22">
        <v>2008</v>
      </c>
      <c r="Z9" s="22">
        <v>2009</v>
      </c>
      <c r="AA9" s="22">
        <v>2010</v>
      </c>
      <c r="AB9" s="22">
        <v>2011</v>
      </c>
      <c r="AC9" s="22">
        <v>2012</v>
      </c>
      <c r="AD9" s="22">
        <v>2013</v>
      </c>
      <c r="AE9" s="22">
        <v>2014</v>
      </c>
      <c r="AF9" s="22">
        <v>2015</v>
      </c>
      <c r="AG9" s="22">
        <v>2016</v>
      </c>
      <c r="AH9" s="22">
        <v>2017</v>
      </c>
      <c r="AI9" s="22">
        <v>2018</v>
      </c>
      <c r="AJ9" s="22">
        <v>2019</v>
      </c>
      <c r="AK9" s="22">
        <v>2020</v>
      </c>
      <c r="AL9" s="22">
        <v>2021</v>
      </c>
      <c r="AM9" s="22">
        <v>2022</v>
      </c>
      <c r="AN9" s="87"/>
    </row>
    <row r="10" spans="15:41" x14ac:dyDescent="0.25">
      <c r="O10" s="23" t="s">
        <v>77</v>
      </c>
      <c r="P10" s="24" t="s">
        <v>72</v>
      </c>
      <c r="Q10" s="24">
        <v>150.38057900000001</v>
      </c>
      <c r="R10" s="24">
        <v>158.48778799999999</v>
      </c>
      <c r="S10" s="24">
        <v>175.49329445519999</v>
      </c>
      <c r="T10" s="24">
        <v>192.93670056670001</v>
      </c>
      <c r="U10" s="24">
        <v>233.3400807802</v>
      </c>
      <c r="V10" s="24">
        <v>242.48022453990001</v>
      </c>
      <c r="W10" s="24">
        <v>258.75041966539999</v>
      </c>
      <c r="X10" s="24">
        <v>317.69890552209995</v>
      </c>
      <c r="Y10" s="24">
        <v>326.99190337199997</v>
      </c>
      <c r="Z10" s="24">
        <v>348.41301345569997</v>
      </c>
      <c r="AA10" s="24">
        <v>382.55308354490001</v>
      </c>
      <c r="AB10" s="24">
        <v>396.57615365309999</v>
      </c>
      <c r="AC10" s="24">
        <v>401.84123653259996</v>
      </c>
      <c r="AD10" s="24">
        <v>398.37695106059999</v>
      </c>
      <c r="AE10" s="24">
        <v>413.56919094929998</v>
      </c>
      <c r="AF10" s="24">
        <v>437.84699999999998</v>
      </c>
      <c r="AG10" s="24">
        <v>451.06700000000001</v>
      </c>
      <c r="AH10" s="24">
        <v>477.19299999999998</v>
      </c>
      <c r="AI10" s="24">
        <v>456.7</v>
      </c>
      <c r="AJ10" s="24">
        <v>444.00099999999998</v>
      </c>
      <c r="AK10" s="24">
        <v>445.9</v>
      </c>
      <c r="AL10" s="24">
        <v>448.18783447550004</v>
      </c>
      <c r="AM10" s="24">
        <v>443.7</v>
      </c>
      <c r="AN10" s="87"/>
    </row>
    <row r="11" spans="15:41" x14ac:dyDescent="0.25">
      <c r="O11" s="23" t="s">
        <v>78</v>
      </c>
      <c r="P11" s="24" t="s">
        <v>74</v>
      </c>
      <c r="Q11" s="24">
        <v>434.661993</v>
      </c>
      <c r="R11" s="24">
        <v>453.87927200000001</v>
      </c>
      <c r="S11" s="24">
        <v>471.66601617999999</v>
      </c>
      <c r="T11" s="24">
        <v>524.11470127999996</v>
      </c>
      <c r="U11" s="24">
        <v>650.14249059000008</v>
      </c>
      <c r="V11" s="24">
        <v>696.04023954000002</v>
      </c>
      <c r="W11" s="24">
        <v>772.21546238999997</v>
      </c>
      <c r="X11" s="24">
        <v>1012.17846896</v>
      </c>
      <c r="Y11" s="24">
        <v>1095.4763609000001</v>
      </c>
      <c r="Z11" s="24">
        <v>1069.12207951</v>
      </c>
      <c r="AA11" s="24">
        <v>1186.4632452799999</v>
      </c>
      <c r="AB11" s="24">
        <v>1321.6412109100002</v>
      </c>
      <c r="AC11" s="24">
        <v>1337.7155418900002</v>
      </c>
      <c r="AD11" s="24">
        <v>1362.5547327000002</v>
      </c>
      <c r="AE11" s="24">
        <v>1422.0179057400001</v>
      </c>
      <c r="AF11" s="24">
        <v>1443.4</v>
      </c>
      <c r="AG11" s="24">
        <v>1427.481</v>
      </c>
      <c r="AH11" s="24">
        <v>1520.2370000000001</v>
      </c>
      <c r="AI11" s="24">
        <v>1507.3</v>
      </c>
      <c r="AJ11" s="24">
        <v>1444.989</v>
      </c>
      <c r="AK11" s="24">
        <v>1394.1</v>
      </c>
      <c r="AL11" s="24">
        <v>1503.9203183799993</v>
      </c>
      <c r="AM11" s="24">
        <v>1459.3</v>
      </c>
      <c r="AN11" s="87"/>
    </row>
    <row r="12" spans="15:41" x14ac:dyDescent="0.25">
      <c r="O12" s="25" t="s">
        <v>79</v>
      </c>
      <c r="P12" s="26" t="s">
        <v>76</v>
      </c>
      <c r="Q12" s="27">
        <f t="shared" ref="Q12:AE12" si="7">Q11/Q10</f>
        <v>2.8904130831947388</v>
      </c>
      <c r="R12" s="27">
        <f t="shared" si="7"/>
        <v>2.8638122705075548</v>
      </c>
      <c r="S12" s="27">
        <f t="shared" si="7"/>
        <v>2.6876583384239057</v>
      </c>
      <c r="T12" s="27">
        <f t="shared" si="7"/>
        <v>2.7165111652710605</v>
      </c>
      <c r="U12" s="27">
        <f t="shared" si="7"/>
        <v>2.7862443880887167</v>
      </c>
      <c r="V12" s="27">
        <f t="shared" si="7"/>
        <v>2.8705031136486223</v>
      </c>
      <c r="W12" s="27">
        <f t="shared" si="7"/>
        <v>2.9844027437272609</v>
      </c>
      <c r="X12" s="27">
        <f t="shared" si="7"/>
        <v>3.1859677555281674</v>
      </c>
      <c r="Y12" s="27">
        <f t="shared" si="7"/>
        <v>3.3501635655294479</v>
      </c>
      <c r="Z12" s="27">
        <f t="shared" si="7"/>
        <v>3.0685480685868147</v>
      </c>
      <c r="AA12" s="27">
        <f t="shared" si="7"/>
        <v>3.1014342749134984</v>
      </c>
      <c r="AB12" s="27">
        <f t="shared" si="7"/>
        <v>3.3326290517863288</v>
      </c>
      <c r="AC12" s="27">
        <f t="shared" si="7"/>
        <v>3.3289653233024432</v>
      </c>
      <c r="AD12" s="27">
        <f t="shared" si="7"/>
        <v>3.4202649753517798</v>
      </c>
      <c r="AE12" s="27">
        <f t="shared" si="7"/>
        <v>3.4384038677444115</v>
      </c>
      <c r="AF12" s="27">
        <v>3.2965853368870865</v>
      </c>
      <c r="AG12" s="27">
        <f t="shared" ref="AG12:AL12" si="8">AG11/AG10</f>
        <v>3.164676201096511</v>
      </c>
      <c r="AH12" s="27">
        <f t="shared" si="8"/>
        <v>3.1857906549341672</v>
      </c>
      <c r="AI12" s="27">
        <f t="shared" si="8"/>
        <v>3.3004160280271515</v>
      </c>
      <c r="AJ12" s="27">
        <f t="shared" si="8"/>
        <v>3.2544723998369376</v>
      </c>
      <c r="AK12" s="27">
        <f t="shared" si="8"/>
        <v>3.1264857591388204</v>
      </c>
      <c r="AL12" s="27">
        <f t="shared" si="8"/>
        <v>3.3555581001880372</v>
      </c>
      <c r="AM12" s="27">
        <f t="shared" ref="AM12" si="9">AM11/AM10</f>
        <v>3.2889339643903539</v>
      </c>
      <c r="AN12" s="87"/>
    </row>
    <row r="13" spans="15:41" x14ac:dyDescent="0.25">
      <c r="O13" s="18" t="s">
        <v>60</v>
      </c>
      <c r="P13" s="19"/>
      <c r="Q13" s="20"/>
      <c r="R13" s="20"/>
      <c r="S13" s="20"/>
      <c r="T13" s="20"/>
      <c r="U13" s="20"/>
      <c r="V13" s="20"/>
      <c r="W13" s="20"/>
      <c r="X13" s="20"/>
      <c r="Y13" s="20"/>
      <c r="Z13" s="20"/>
      <c r="AA13" s="20"/>
      <c r="AB13" s="20"/>
      <c r="AC13" s="20"/>
      <c r="AD13" s="20"/>
      <c r="AE13" s="20"/>
      <c r="AF13" s="20"/>
      <c r="AG13" s="20"/>
      <c r="AH13" s="20"/>
      <c r="AI13" s="20"/>
      <c r="AJ13" s="20"/>
      <c r="AK13" s="20"/>
      <c r="AL13" s="20"/>
      <c r="AM13" s="20"/>
      <c r="AN13" s="87"/>
    </row>
    <row r="14" spans="15:41" x14ac:dyDescent="0.25">
      <c r="O14" s="21"/>
      <c r="P14" s="22"/>
      <c r="Q14" s="22">
        <v>2000</v>
      </c>
      <c r="R14" s="22">
        <v>2001</v>
      </c>
      <c r="S14" s="22">
        <v>2002</v>
      </c>
      <c r="T14" s="22">
        <v>2003</v>
      </c>
      <c r="U14" s="22">
        <v>2004</v>
      </c>
      <c r="V14" s="22">
        <v>2005</v>
      </c>
      <c r="W14" s="22">
        <v>2006</v>
      </c>
      <c r="X14" s="22">
        <v>2007</v>
      </c>
      <c r="Y14" s="22">
        <v>2008</v>
      </c>
      <c r="Z14" s="22">
        <v>2009</v>
      </c>
      <c r="AA14" s="22">
        <v>2010</v>
      </c>
      <c r="AB14" s="22">
        <v>2011</v>
      </c>
      <c r="AC14" s="22">
        <v>2012</v>
      </c>
      <c r="AD14" s="22">
        <v>2013</v>
      </c>
      <c r="AE14" s="22">
        <v>2014</v>
      </c>
      <c r="AF14" s="22">
        <v>2015</v>
      </c>
      <c r="AG14" s="22">
        <v>2016</v>
      </c>
      <c r="AH14" s="22">
        <v>2017</v>
      </c>
      <c r="AI14" s="22">
        <v>2018</v>
      </c>
      <c r="AJ14" s="22">
        <v>2019</v>
      </c>
      <c r="AK14" s="22">
        <v>2020</v>
      </c>
      <c r="AL14" s="22">
        <v>2021</v>
      </c>
      <c r="AM14" s="22">
        <v>2022</v>
      </c>
      <c r="AO14" s="87"/>
    </row>
    <row r="15" spans="15:41" x14ac:dyDescent="0.25">
      <c r="O15" s="23" t="s">
        <v>80</v>
      </c>
      <c r="P15" s="24" t="s">
        <v>72</v>
      </c>
      <c r="Q15" s="24">
        <v>72.910036000000005</v>
      </c>
      <c r="R15" s="24">
        <v>109.110247</v>
      </c>
      <c r="S15" s="24">
        <v>118.40353100519999</v>
      </c>
      <c r="T15" s="24">
        <v>149.88732758360001</v>
      </c>
      <c r="U15" s="24">
        <v>188.22032426440001</v>
      </c>
      <c r="V15" s="24">
        <v>131.14229065469999</v>
      </c>
      <c r="W15" s="24">
        <v>161.83011181999998</v>
      </c>
      <c r="X15" s="24">
        <v>233.30518985</v>
      </c>
      <c r="Y15" s="24">
        <v>208.40995900999999</v>
      </c>
      <c r="Z15" s="24">
        <v>289.61965530000003</v>
      </c>
      <c r="AA15" s="24">
        <v>290.92445788999999</v>
      </c>
      <c r="AB15" s="24">
        <v>210.15477798930002</v>
      </c>
      <c r="AC15" s="24">
        <v>290.69355034739999</v>
      </c>
      <c r="AD15" s="24">
        <v>410.26098474999998</v>
      </c>
      <c r="AE15" s="24">
        <v>329.41743557000001</v>
      </c>
      <c r="AF15" s="24">
        <v>385.04199999999997</v>
      </c>
      <c r="AG15" s="24">
        <v>401.93400000000003</v>
      </c>
      <c r="AH15" s="24">
        <v>393.92899999999997</v>
      </c>
      <c r="AI15" s="24">
        <v>319.5</v>
      </c>
      <c r="AJ15" s="24">
        <v>360.04599999999999</v>
      </c>
      <c r="AK15" s="24">
        <v>339.8</v>
      </c>
      <c r="AL15" s="24">
        <v>353.08593122000002</v>
      </c>
      <c r="AM15" s="24">
        <v>322.89999999999998</v>
      </c>
      <c r="AO15" s="87"/>
    </row>
    <row r="16" spans="15:41" x14ac:dyDescent="0.25">
      <c r="O16" s="23" t="s">
        <v>81</v>
      </c>
      <c r="P16" s="24" t="s">
        <v>74</v>
      </c>
      <c r="Q16" s="24">
        <v>66.290965999999997</v>
      </c>
      <c r="R16" s="24">
        <v>69.168778000000003</v>
      </c>
      <c r="S16" s="24">
        <v>54.666370960000002</v>
      </c>
      <c r="T16" s="24">
        <v>74.318585330000005</v>
      </c>
      <c r="U16" s="24">
        <v>116.18971509000001</v>
      </c>
      <c r="V16" s="24">
        <v>114.17217457</v>
      </c>
      <c r="W16" s="24">
        <v>114.31705675000001</v>
      </c>
      <c r="X16" s="24">
        <v>150.5098686</v>
      </c>
      <c r="Y16" s="24">
        <v>182.46038066</v>
      </c>
      <c r="Z16" s="24">
        <v>211.21099818000002</v>
      </c>
      <c r="AA16" s="24">
        <v>243.25538308</v>
      </c>
      <c r="AB16" s="24">
        <v>245.24177114</v>
      </c>
      <c r="AC16" s="24">
        <v>330.16294305999998</v>
      </c>
      <c r="AD16" s="24">
        <v>390.96416416000005</v>
      </c>
      <c r="AE16" s="24">
        <v>296.75839437000002</v>
      </c>
      <c r="AF16" s="24">
        <v>292.47399999999999</v>
      </c>
      <c r="AG16" s="24">
        <v>303.22699999999998</v>
      </c>
      <c r="AH16" s="24">
        <v>340.12900000000002</v>
      </c>
      <c r="AI16" s="24">
        <v>327.2</v>
      </c>
      <c r="AJ16" s="24">
        <v>335.96699999999998</v>
      </c>
      <c r="AK16" s="24">
        <v>293.10000000000002</v>
      </c>
      <c r="AL16" s="24">
        <v>308.49193701000002</v>
      </c>
      <c r="AM16" s="24">
        <v>299.2</v>
      </c>
      <c r="AO16" s="87"/>
    </row>
    <row r="17" spans="15:41" x14ac:dyDescent="0.25">
      <c r="O17" s="25" t="s">
        <v>82</v>
      </c>
      <c r="P17" s="26" t="s">
        <v>76</v>
      </c>
      <c r="Q17" s="27">
        <f t="shared" ref="Q17:AE17" si="10">Q16/Q15</f>
        <v>0.90921592742047186</v>
      </c>
      <c r="R17" s="27">
        <f t="shared" si="10"/>
        <v>0.6339347577501131</v>
      </c>
      <c r="S17" s="27">
        <f t="shared" si="10"/>
        <v>0.46169544519410649</v>
      </c>
      <c r="T17" s="27">
        <f t="shared" si="10"/>
        <v>0.49582967771940983</v>
      </c>
      <c r="U17" s="27">
        <f t="shared" si="10"/>
        <v>0.61730695419897397</v>
      </c>
      <c r="V17" s="27">
        <f t="shared" si="10"/>
        <v>0.87059768439318619</v>
      </c>
      <c r="W17" s="27">
        <f t="shared" si="10"/>
        <v>0.70640164221818191</v>
      </c>
      <c r="X17" s="27">
        <f t="shared" si="10"/>
        <v>0.64512010511539852</v>
      </c>
      <c r="Y17" s="27">
        <f t="shared" si="10"/>
        <v>0.87548781990425484</v>
      </c>
      <c r="Z17" s="27">
        <f t="shared" si="10"/>
        <v>0.72927024915218175</v>
      </c>
      <c r="AA17" s="27">
        <f t="shared" si="10"/>
        <v>0.83614621075267626</v>
      </c>
      <c r="AB17" s="27">
        <f t="shared" si="10"/>
        <v>1.1669578654665964</v>
      </c>
      <c r="AC17" s="27">
        <f t="shared" si="10"/>
        <v>1.1357766371680114</v>
      </c>
      <c r="AD17" s="27">
        <f t="shared" si="10"/>
        <v>0.95296452427286304</v>
      </c>
      <c r="AE17" s="27">
        <f t="shared" si="10"/>
        <v>0.90085818880992397</v>
      </c>
      <c r="AF17" s="27">
        <v>0.75958986292404462</v>
      </c>
      <c r="AG17" s="27">
        <f t="shared" ref="AG17:AL17" si="11">AG16/AG15</f>
        <v>0.7544198798807763</v>
      </c>
      <c r="AH17" s="27">
        <f t="shared" si="11"/>
        <v>0.8634271658090672</v>
      </c>
      <c r="AI17" s="27">
        <f t="shared" si="11"/>
        <v>1.0241001564945227</v>
      </c>
      <c r="AJ17" s="27">
        <f t="shared" si="11"/>
        <v>0.93312243435561004</v>
      </c>
      <c r="AK17" s="27">
        <f t="shared" si="11"/>
        <v>0.86256621542083578</v>
      </c>
      <c r="AL17" s="27">
        <f t="shared" si="11"/>
        <v>0.8737021493438818</v>
      </c>
      <c r="AM17" s="27">
        <f t="shared" ref="AM17" si="12">AM16/AM15</f>
        <v>0.92660266336327035</v>
      </c>
      <c r="AO17" s="87"/>
    </row>
    <row r="18" spans="15:41" x14ac:dyDescent="0.25">
      <c r="O18" s="18" t="s">
        <v>83</v>
      </c>
      <c r="P18" s="19"/>
      <c r="Q18" s="20"/>
      <c r="R18" s="20"/>
      <c r="S18" s="20"/>
      <c r="T18" s="20"/>
      <c r="U18" s="20"/>
      <c r="V18" s="20"/>
      <c r="W18" s="20"/>
      <c r="X18" s="20"/>
      <c r="Y18" s="20"/>
      <c r="Z18" s="20"/>
      <c r="AA18" s="20"/>
      <c r="AB18" s="20"/>
      <c r="AC18" s="20"/>
      <c r="AD18" s="20"/>
      <c r="AE18" s="20"/>
      <c r="AF18" s="20"/>
      <c r="AG18" s="20"/>
      <c r="AH18" s="20"/>
      <c r="AI18" s="20"/>
      <c r="AJ18" s="20"/>
      <c r="AK18" s="20"/>
      <c r="AL18" s="20"/>
      <c r="AM18" s="20"/>
      <c r="AO18" s="87"/>
    </row>
    <row r="19" spans="15:41" x14ac:dyDescent="0.25">
      <c r="O19" s="21"/>
      <c r="P19" s="22"/>
      <c r="Q19" s="22">
        <v>2000</v>
      </c>
      <c r="R19" s="22">
        <v>2001</v>
      </c>
      <c r="S19" s="22">
        <v>2002</v>
      </c>
      <c r="T19" s="22">
        <v>2003</v>
      </c>
      <c r="U19" s="22">
        <v>2004</v>
      </c>
      <c r="V19" s="22">
        <v>2005</v>
      </c>
      <c r="W19" s="22">
        <v>2006</v>
      </c>
      <c r="X19" s="22">
        <v>2007</v>
      </c>
      <c r="Y19" s="22">
        <v>2008</v>
      </c>
      <c r="Z19" s="22">
        <v>2009</v>
      </c>
      <c r="AA19" s="22">
        <v>2010</v>
      </c>
      <c r="AB19" s="22">
        <v>2011</v>
      </c>
      <c r="AC19" s="22">
        <v>2012</v>
      </c>
      <c r="AD19" s="22">
        <v>2013</v>
      </c>
      <c r="AE19" s="22">
        <v>2014</v>
      </c>
      <c r="AF19" s="22">
        <v>2015</v>
      </c>
      <c r="AG19" s="22">
        <v>2016</v>
      </c>
      <c r="AH19" s="22">
        <v>2017</v>
      </c>
      <c r="AI19" s="22">
        <v>2018</v>
      </c>
      <c r="AJ19" s="22">
        <v>2019</v>
      </c>
      <c r="AK19" s="22">
        <v>2020</v>
      </c>
      <c r="AL19" s="22">
        <v>2021</v>
      </c>
      <c r="AM19" s="22">
        <v>2022</v>
      </c>
      <c r="AO19" s="87"/>
    </row>
    <row r="20" spans="15:41" x14ac:dyDescent="0.25">
      <c r="O20" s="23" t="s">
        <v>84</v>
      </c>
      <c r="P20" s="24" t="s">
        <v>72</v>
      </c>
      <c r="Q20" s="24">
        <v>39.981855000000003</v>
      </c>
      <c r="R20" s="24">
        <v>40.052982999999998</v>
      </c>
      <c r="S20" s="24">
        <v>49.388238392700003</v>
      </c>
      <c r="T20" s="24">
        <v>47.342706783399997</v>
      </c>
      <c r="U20" s="24">
        <v>42.646569212499998</v>
      </c>
      <c r="V20" s="24">
        <v>38.658926530000002</v>
      </c>
      <c r="W20" s="24">
        <v>47.957571909999999</v>
      </c>
      <c r="X20" s="24">
        <v>46.841828729999996</v>
      </c>
      <c r="Y20" s="24">
        <v>43.590714210000002</v>
      </c>
      <c r="Z20" s="24">
        <v>47.185891670000004</v>
      </c>
      <c r="AA20" s="24">
        <v>48.600438652000001</v>
      </c>
      <c r="AB20" s="24">
        <v>49.518246762000004</v>
      </c>
      <c r="AC20" s="24">
        <v>47.411845679999999</v>
      </c>
      <c r="AD20" s="24">
        <v>61.3923323</v>
      </c>
      <c r="AE20" s="24">
        <v>49.354199690000002</v>
      </c>
      <c r="AF20" s="24">
        <v>47.796999999999997</v>
      </c>
      <c r="AG20" s="24">
        <v>48.23</v>
      </c>
      <c r="AH20" s="24">
        <v>43.374000000000002</v>
      </c>
      <c r="AI20" s="24">
        <v>43.8</v>
      </c>
      <c r="AJ20" s="24">
        <v>41.093000000000004</v>
      </c>
      <c r="AK20" s="24">
        <v>37.700000000000003</v>
      </c>
      <c r="AL20" s="24">
        <v>39.216195233699999</v>
      </c>
      <c r="AM20" s="24">
        <v>40.299999999999997</v>
      </c>
      <c r="AO20" s="87"/>
    </row>
    <row r="21" spans="15:41" x14ac:dyDescent="0.25">
      <c r="O21" s="23" t="s">
        <v>85</v>
      </c>
      <c r="P21" s="24" t="s">
        <v>74</v>
      </c>
      <c r="Q21" s="24">
        <v>64.322484000000003</v>
      </c>
      <c r="R21" s="24">
        <v>61.564771999999998</v>
      </c>
      <c r="S21" s="24">
        <v>70.012456389999997</v>
      </c>
      <c r="T21" s="24">
        <v>65.760063479999999</v>
      </c>
      <c r="U21" s="24">
        <v>63.218226420000001</v>
      </c>
      <c r="V21" s="24">
        <v>58.501507850000003</v>
      </c>
      <c r="W21" s="24">
        <v>66.993644709999998</v>
      </c>
      <c r="X21" s="24">
        <v>78.070875520000001</v>
      </c>
      <c r="Y21" s="24">
        <v>78.936040340000005</v>
      </c>
      <c r="Z21" s="24">
        <v>82.32576641</v>
      </c>
      <c r="AA21" s="24">
        <v>90.073937659999999</v>
      </c>
      <c r="AB21" s="24">
        <v>98.660379769999992</v>
      </c>
      <c r="AC21" s="24">
        <v>93.425791289999992</v>
      </c>
      <c r="AD21" s="24">
        <v>98.948317870000011</v>
      </c>
      <c r="AE21" s="24">
        <v>98.224757839999995</v>
      </c>
      <c r="AF21" s="24">
        <v>89.888999999999996</v>
      </c>
      <c r="AG21" s="24">
        <v>92.328000000000003</v>
      </c>
      <c r="AH21" s="24">
        <v>87.179000000000002</v>
      </c>
      <c r="AI21" s="24">
        <v>90.2</v>
      </c>
      <c r="AJ21" s="24">
        <v>87.796000000000006</v>
      </c>
      <c r="AK21" s="24">
        <v>79.8</v>
      </c>
      <c r="AL21" s="24">
        <v>86.390422040000033</v>
      </c>
      <c r="AM21" s="24">
        <v>89.2</v>
      </c>
      <c r="AO21" s="87"/>
    </row>
    <row r="22" spans="15:41" x14ac:dyDescent="0.25">
      <c r="O22" s="25" t="s">
        <v>86</v>
      </c>
      <c r="P22" s="26" t="s">
        <v>76</v>
      </c>
      <c r="Q22" s="27">
        <f t="shared" ref="Q22:AE22" si="13">Q21/Q20</f>
        <v>1.6087918882202938</v>
      </c>
      <c r="R22" s="27">
        <f t="shared" si="13"/>
        <v>1.53708331786424</v>
      </c>
      <c r="S22" s="27">
        <f t="shared" si="13"/>
        <v>1.4175937160040197</v>
      </c>
      <c r="T22" s="27">
        <f t="shared" si="13"/>
        <v>1.3890220468563865</v>
      </c>
      <c r="U22" s="27">
        <f t="shared" si="13"/>
        <v>1.4823754310691495</v>
      </c>
      <c r="V22" s="27">
        <f t="shared" si="13"/>
        <v>1.5132729514515053</v>
      </c>
      <c r="W22" s="27">
        <f t="shared" si="13"/>
        <v>1.3969357088328871</v>
      </c>
      <c r="X22" s="27">
        <f t="shared" si="13"/>
        <v>1.6666914515657938</v>
      </c>
      <c r="Y22" s="27">
        <f t="shared" si="13"/>
        <v>1.810845308928009</v>
      </c>
      <c r="Z22" s="27">
        <f t="shared" si="13"/>
        <v>1.7447114698129429</v>
      </c>
      <c r="AA22" s="27">
        <f t="shared" si="13"/>
        <v>1.8533564749274807</v>
      </c>
      <c r="AB22" s="27">
        <f t="shared" si="13"/>
        <v>1.992404542192139</v>
      </c>
      <c r="AC22" s="27">
        <f t="shared" si="13"/>
        <v>1.9705158057031791</v>
      </c>
      <c r="AD22" s="27">
        <f t="shared" si="13"/>
        <v>1.6117373972123878</v>
      </c>
      <c r="AE22" s="27">
        <f t="shared" si="13"/>
        <v>1.9902006000900061</v>
      </c>
      <c r="AF22" s="27">
        <v>1.8806410444170136</v>
      </c>
      <c r="AG22" s="27">
        <f t="shared" ref="AG22:AL22" si="14">AG21/AG20</f>
        <v>1.9143271822517107</v>
      </c>
      <c r="AH22" s="27">
        <f t="shared" si="14"/>
        <v>2.0099368285147783</v>
      </c>
      <c r="AI22" s="27">
        <f t="shared" si="14"/>
        <v>2.0593607305936077</v>
      </c>
      <c r="AJ22" s="27">
        <f t="shared" si="14"/>
        <v>2.1365196018786654</v>
      </c>
      <c r="AK22" s="27">
        <f t="shared" si="14"/>
        <v>2.1167108753315649</v>
      </c>
      <c r="AL22" s="27">
        <f t="shared" si="14"/>
        <v>2.2029271714192555</v>
      </c>
      <c r="AM22" s="27">
        <f t="shared" ref="AM22" si="15">AM21/AM20</f>
        <v>2.2133995037220844</v>
      </c>
      <c r="AO22" s="87"/>
    </row>
    <row r="23" spans="15:41" x14ac:dyDescent="0.25">
      <c r="O23" s="18" t="s">
        <v>87</v>
      </c>
      <c r="P23" s="19"/>
      <c r="Q23" s="20"/>
      <c r="R23" s="20"/>
      <c r="S23" s="20"/>
      <c r="T23" s="20"/>
      <c r="U23" s="20"/>
      <c r="V23" s="20"/>
      <c r="W23" s="20"/>
      <c r="X23" s="20"/>
      <c r="Y23" s="20"/>
      <c r="Z23" s="20"/>
      <c r="AA23" s="20"/>
      <c r="AB23" s="20"/>
      <c r="AC23" s="20"/>
      <c r="AD23" s="20"/>
      <c r="AE23" s="20"/>
      <c r="AF23" s="20"/>
      <c r="AG23" s="20"/>
      <c r="AH23" s="20"/>
      <c r="AI23" s="20"/>
      <c r="AJ23" s="20"/>
      <c r="AK23" s="20"/>
      <c r="AL23" s="20"/>
      <c r="AM23" s="20"/>
      <c r="AO23" s="87"/>
    </row>
    <row r="24" spans="15:41" x14ac:dyDescent="0.25">
      <c r="O24" s="21"/>
      <c r="P24" s="22"/>
      <c r="Q24" s="22">
        <v>2000</v>
      </c>
      <c r="R24" s="22">
        <v>2001</v>
      </c>
      <c r="S24" s="22">
        <v>2002</v>
      </c>
      <c r="T24" s="22">
        <v>2003</v>
      </c>
      <c r="U24" s="22">
        <v>2004</v>
      </c>
      <c r="V24" s="22">
        <v>2005</v>
      </c>
      <c r="W24" s="22">
        <v>2006</v>
      </c>
      <c r="X24" s="22">
        <v>2007</v>
      </c>
      <c r="Y24" s="22">
        <v>2008</v>
      </c>
      <c r="Z24" s="22">
        <v>2009</v>
      </c>
      <c r="AA24" s="22">
        <v>2010</v>
      </c>
      <c r="AB24" s="22">
        <v>2011</v>
      </c>
      <c r="AC24" s="22">
        <v>2012</v>
      </c>
      <c r="AD24" s="22">
        <v>2013</v>
      </c>
      <c r="AE24" s="22">
        <v>2014</v>
      </c>
      <c r="AF24" s="22">
        <v>2015</v>
      </c>
      <c r="AG24" s="22">
        <v>2016</v>
      </c>
      <c r="AH24" s="22">
        <v>2017</v>
      </c>
      <c r="AI24" s="22">
        <v>2018</v>
      </c>
      <c r="AJ24" s="22">
        <v>2019</v>
      </c>
      <c r="AK24" s="22">
        <v>2020</v>
      </c>
      <c r="AL24" s="22">
        <v>2021</v>
      </c>
      <c r="AM24" s="22">
        <v>2022</v>
      </c>
      <c r="AO24" s="87"/>
    </row>
    <row r="25" spans="15:41" x14ac:dyDescent="0.25">
      <c r="O25" s="23" t="s">
        <v>88</v>
      </c>
      <c r="P25" s="24" t="s">
        <v>72</v>
      </c>
      <c r="Q25" s="24">
        <v>1.4779500000000001</v>
      </c>
      <c r="R25" s="24">
        <v>1.2912380000000001</v>
      </c>
      <c r="S25" s="24">
        <v>0.78024550000000004</v>
      </c>
      <c r="T25" s="24">
        <v>0.79339510000000002</v>
      </c>
      <c r="U25" s="24">
        <v>1.1323433000000001</v>
      </c>
      <c r="V25" s="24">
        <v>1.3746780000000001</v>
      </c>
      <c r="W25" s="24">
        <v>1.5564555</v>
      </c>
      <c r="X25" s="24">
        <v>1.9405427</v>
      </c>
      <c r="Y25" s="24">
        <v>2.7278942499999999</v>
      </c>
      <c r="Z25" s="24">
        <v>2.4381650000000001</v>
      </c>
      <c r="AA25" s="24">
        <v>3.3065371800000003</v>
      </c>
      <c r="AB25" s="24">
        <v>3.7969488</v>
      </c>
      <c r="AC25" s="24">
        <v>4.0014485999999998</v>
      </c>
      <c r="AD25" s="24">
        <v>3.4850324800000001</v>
      </c>
      <c r="AE25" s="24">
        <v>4.0899954695999998</v>
      </c>
      <c r="AF25" s="24">
        <v>4.3470000000000004</v>
      </c>
      <c r="AG25" s="24">
        <v>5.0970000000000004</v>
      </c>
      <c r="AH25" s="24">
        <v>5.444</v>
      </c>
      <c r="AI25" s="24">
        <v>4.5999999999999996</v>
      </c>
      <c r="AJ25" s="24">
        <v>4.6079999999999997</v>
      </c>
      <c r="AK25" s="24">
        <v>3.5</v>
      </c>
      <c r="AL25" s="24">
        <v>3.5817562599999997</v>
      </c>
      <c r="AM25" s="24">
        <v>3.9</v>
      </c>
      <c r="AO25" s="87"/>
    </row>
    <row r="26" spans="15:41" x14ac:dyDescent="0.25">
      <c r="O26" s="23" t="s">
        <v>89</v>
      </c>
      <c r="P26" s="24" t="s">
        <v>74</v>
      </c>
      <c r="Q26" s="24">
        <v>3.6506919999999998</v>
      </c>
      <c r="R26" s="24">
        <v>3.1876060000000002</v>
      </c>
      <c r="S26" s="24">
        <v>2.0284767399999999</v>
      </c>
      <c r="T26" s="24">
        <v>2.0935631699999999</v>
      </c>
      <c r="U26" s="24">
        <v>3.0063805000000001</v>
      </c>
      <c r="V26" s="24">
        <v>3.7762350599999999</v>
      </c>
      <c r="W26" s="24">
        <v>4.5938774800000006</v>
      </c>
      <c r="X26" s="24">
        <v>5.7537796200000004</v>
      </c>
      <c r="Y26" s="24">
        <v>9.8845079600000005</v>
      </c>
      <c r="Z26" s="24">
        <v>9.5663100600000011</v>
      </c>
      <c r="AA26" s="24">
        <v>12.871086029999999</v>
      </c>
      <c r="AB26" s="24">
        <v>14.653130470000001</v>
      </c>
      <c r="AC26" s="24">
        <v>15.92671947</v>
      </c>
      <c r="AD26" s="24">
        <v>14.577530269999999</v>
      </c>
      <c r="AE26" s="24">
        <v>17.259489590000001</v>
      </c>
      <c r="AF26" s="24">
        <v>17.762</v>
      </c>
      <c r="AG26" s="24">
        <v>20.472999999999999</v>
      </c>
      <c r="AH26" s="24">
        <v>21.908999999999999</v>
      </c>
      <c r="AI26" s="24">
        <f>19.2</f>
        <v>19.2</v>
      </c>
      <c r="AJ26" s="24">
        <v>18.536999999999999</v>
      </c>
      <c r="AK26" s="24">
        <v>14.7</v>
      </c>
      <c r="AL26" s="24">
        <v>14.47550646</v>
      </c>
      <c r="AM26" s="24">
        <v>15.5</v>
      </c>
      <c r="AO26" s="87"/>
    </row>
    <row r="27" spans="15:41" x14ac:dyDescent="0.25">
      <c r="O27" s="25" t="s">
        <v>90</v>
      </c>
      <c r="P27" s="26" t="s">
        <v>76</v>
      </c>
      <c r="Q27" s="27">
        <f t="shared" ref="Q27:AE27" si="16">Q26/Q25</f>
        <v>2.470105213302209</v>
      </c>
      <c r="R27" s="27">
        <f t="shared" si="16"/>
        <v>2.4686432710313668</v>
      </c>
      <c r="S27" s="27">
        <f t="shared" si="16"/>
        <v>2.5997929369666339</v>
      </c>
      <c r="T27" s="27">
        <f t="shared" si="16"/>
        <v>2.638739727532978</v>
      </c>
      <c r="U27" s="27">
        <f t="shared" si="16"/>
        <v>2.6550079821199102</v>
      </c>
      <c r="V27" s="27">
        <f t="shared" si="16"/>
        <v>2.7469960674427027</v>
      </c>
      <c r="W27" s="27">
        <f t="shared" si="16"/>
        <v>2.951499403612889</v>
      </c>
      <c r="X27" s="27">
        <f t="shared" si="16"/>
        <v>2.9650363375152735</v>
      </c>
      <c r="Y27" s="27">
        <f t="shared" si="16"/>
        <v>3.6234938212872443</v>
      </c>
      <c r="Z27" s="27">
        <f t="shared" si="16"/>
        <v>3.923569594346568</v>
      </c>
      <c r="AA27" s="27">
        <f t="shared" si="16"/>
        <v>3.8926179653603645</v>
      </c>
      <c r="AB27" s="27">
        <f t="shared" si="16"/>
        <v>3.8591856887825298</v>
      </c>
      <c r="AC27" s="27">
        <f t="shared" si="16"/>
        <v>3.9802384241546926</v>
      </c>
      <c r="AD27" s="27">
        <f t="shared" si="16"/>
        <v>4.1828965307089474</v>
      </c>
      <c r="AE27" s="27">
        <f t="shared" si="16"/>
        <v>4.2199287794536291</v>
      </c>
      <c r="AF27" s="27">
        <v>4.086036346905912</v>
      </c>
      <c r="AG27" s="27">
        <f t="shared" ref="AG27:AL27" si="17">AG26/AG25</f>
        <v>4.0166764763586418</v>
      </c>
      <c r="AH27" s="27">
        <f t="shared" si="17"/>
        <v>4.0244305657604702</v>
      </c>
      <c r="AI27" s="27">
        <f t="shared" si="17"/>
        <v>4.1739130434782608</v>
      </c>
      <c r="AJ27" s="27">
        <f t="shared" si="17"/>
        <v>4.022786458333333</v>
      </c>
      <c r="AK27" s="27">
        <f t="shared" si="17"/>
        <v>4.2</v>
      </c>
      <c r="AL27" s="27">
        <f t="shared" si="17"/>
        <v>4.0414549202183849</v>
      </c>
      <c r="AM27" s="27">
        <f t="shared" ref="AM27" si="18">AM26/AM25</f>
        <v>3.9743589743589745</v>
      </c>
      <c r="AO27" s="87"/>
    </row>
    <row r="28" spans="15:41" x14ac:dyDescent="0.25">
      <c r="O28" s="18" t="s">
        <v>91</v>
      </c>
      <c r="P28" s="19"/>
      <c r="Q28" s="20"/>
      <c r="R28" s="20"/>
      <c r="S28" s="20"/>
      <c r="T28" s="20"/>
      <c r="U28" s="20"/>
      <c r="V28" s="20"/>
      <c r="W28" s="20"/>
      <c r="X28" s="20"/>
      <c r="Y28" s="20"/>
      <c r="Z28" s="20"/>
      <c r="AA28" s="20"/>
      <c r="AB28" s="20"/>
      <c r="AC28" s="20"/>
      <c r="AD28" s="20"/>
      <c r="AE28" s="20"/>
      <c r="AF28" s="20"/>
      <c r="AG28" s="20"/>
      <c r="AH28" s="20"/>
      <c r="AI28" s="20"/>
      <c r="AJ28" s="20"/>
      <c r="AK28" s="20"/>
      <c r="AL28" s="20"/>
      <c r="AM28" s="20"/>
    </row>
    <row r="29" spans="15:41" x14ac:dyDescent="0.25">
      <c r="O29" s="21"/>
      <c r="P29" s="22"/>
      <c r="Q29" s="22">
        <v>2000</v>
      </c>
      <c r="R29" s="22">
        <v>2001</v>
      </c>
      <c r="S29" s="22">
        <v>2002</v>
      </c>
      <c r="T29" s="22">
        <v>2003</v>
      </c>
      <c r="U29" s="22">
        <v>2004</v>
      </c>
      <c r="V29" s="22">
        <v>2005</v>
      </c>
      <c r="W29" s="22">
        <v>2006</v>
      </c>
      <c r="X29" s="22">
        <v>2007</v>
      </c>
      <c r="Y29" s="22">
        <v>2008</v>
      </c>
      <c r="Z29" s="22">
        <v>2009</v>
      </c>
      <c r="AA29" s="22">
        <v>2010</v>
      </c>
      <c r="AB29" s="22">
        <v>2011</v>
      </c>
      <c r="AC29" s="22">
        <v>2012</v>
      </c>
      <c r="AD29" s="22">
        <v>2013</v>
      </c>
      <c r="AE29" s="22">
        <v>2014</v>
      </c>
      <c r="AF29" s="22">
        <v>2015</v>
      </c>
      <c r="AG29" s="22">
        <v>2016</v>
      </c>
      <c r="AH29" s="22">
        <v>2017</v>
      </c>
      <c r="AI29" s="22">
        <v>2018</v>
      </c>
      <c r="AJ29" s="22">
        <v>2019</v>
      </c>
      <c r="AK29" s="22">
        <v>2020</v>
      </c>
      <c r="AL29" s="22">
        <v>2021</v>
      </c>
      <c r="AM29" s="22">
        <v>2022</v>
      </c>
      <c r="AO29" s="174"/>
    </row>
    <row r="30" spans="15:41" x14ac:dyDescent="0.25">
      <c r="O30" s="23" t="s">
        <v>92</v>
      </c>
      <c r="P30" s="24" t="s">
        <v>72</v>
      </c>
      <c r="Q30" s="24"/>
      <c r="R30" s="24"/>
      <c r="S30" s="24"/>
      <c r="T30" s="24"/>
      <c r="U30" s="24"/>
      <c r="V30" s="24"/>
      <c r="W30" s="24"/>
      <c r="X30" s="24"/>
      <c r="Y30" s="24"/>
      <c r="Z30" s="24"/>
      <c r="AA30" s="24"/>
      <c r="AB30" s="24"/>
      <c r="AC30" s="24"/>
      <c r="AD30" s="24"/>
      <c r="AE30" s="24"/>
      <c r="AF30" s="24"/>
      <c r="AG30" s="24"/>
      <c r="AH30" s="24">
        <v>19.600000000000001</v>
      </c>
      <c r="AI30" s="24">
        <v>20.100000000000001</v>
      </c>
      <c r="AJ30" s="24">
        <v>18.007000000000001</v>
      </c>
      <c r="AK30" s="24">
        <v>22.4</v>
      </c>
      <c r="AL30" s="24">
        <v>21.014181499999999</v>
      </c>
      <c r="AM30" s="24">
        <v>18.399999999999999</v>
      </c>
      <c r="AO30" s="174"/>
    </row>
    <row r="31" spans="15:41" x14ac:dyDescent="0.25">
      <c r="O31" s="23" t="s">
        <v>93</v>
      </c>
      <c r="P31" s="24" t="s">
        <v>74</v>
      </c>
      <c r="Q31" s="24"/>
      <c r="R31" s="24"/>
      <c r="S31" s="24"/>
      <c r="T31" s="24"/>
      <c r="U31" s="24"/>
      <c r="V31" s="24"/>
      <c r="W31" s="24"/>
      <c r="X31" s="24"/>
      <c r="Y31" s="24"/>
      <c r="Z31" s="24"/>
      <c r="AA31" s="24"/>
      <c r="AB31" s="24"/>
      <c r="AC31" s="24"/>
      <c r="AD31" s="24"/>
      <c r="AE31" s="24"/>
      <c r="AF31" s="24"/>
      <c r="AG31" s="24"/>
      <c r="AH31" s="24">
        <v>36.9</v>
      </c>
      <c r="AI31" s="24">
        <v>39.700000000000003</v>
      </c>
      <c r="AJ31" s="24">
        <v>33.814999999999998</v>
      </c>
      <c r="AK31" s="24">
        <v>41.5</v>
      </c>
      <c r="AL31" s="24">
        <v>40.267596879999985</v>
      </c>
      <c r="AM31" s="24">
        <v>32.9</v>
      </c>
      <c r="AO31" s="174"/>
    </row>
    <row r="32" spans="15:41" x14ac:dyDescent="0.25">
      <c r="O32" s="25" t="s">
        <v>94</v>
      </c>
      <c r="P32" s="26" t="s">
        <v>76</v>
      </c>
      <c r="Q32" s="27"/>
      <c r="R32" s="27"/>
      <c r="S32" s="27"/>
      <c r="T32" s="27"/>
      <c r="U32" s="27"/>
      <c r="V32" s="27"/>
      <c r="W32" s="27"/>
      <c r="X32" s="27"/>
      <c r="Y32" s="27"/>
      <c r="Z32" s="27"/>
      <c r="AA32" s="27"/>
      <c r="AB32" s="27"/>
      <c r="AC32" s="27"/>
      <c r="AD32" s="27"/>
      <c r="AE32" s="27"/>
      <c r="AF32" s="27"/>
      <c r="AG32" s="27"/>
      <c r="AH32" s="27">
        <f t="shared" ref="AH32:AM32" si="19">AH31/AH30</f>
        <v>1.8826530612244896</v>
      </c>
      <c r="AI32" s="27">
        <f t="shared" si="19"/>
        <v>1.9751243781094527</v>
      </c>
      <c r="AJ32" s="27">
        <f t="shared" si="19"/>
        <v>1.8778808241239515</v>
      </c>
      <c r="AK32" s="27">
        <f t="shared" si="19"/>
        <v>1.8526785714285716</v>
      </c>
      <c r="AL32" s="27">
        <f t="shared" si="19"/>
        <v>1.9162105780803305</v>
      </c>
      <c r="AM32" s="27">
        <f t="shared" si="19"/>
        <v>1.7880434782608696</v>
      </c>
      <c r="AO32" s="174"/>
    </row>
    <row r="33" spans="41:41" x14ac:dyDescent="0.25">
      <c r="AO33" s="174"/>
    </row>
  </sheetData>
  <phoneticPr fontId="58" type="noConversion"/>
  <pageMargins left="0.98425196850393704" right="0.98425196850393704" top="0.98425196850393704" bottom="0.98425196850393704" header="0.51181102362204722" footer="0.51181102362204722"/>
  <pageSetup scale="9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2"/>
  <sheetViews>
    <sheetView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 min="12" max="12" width="28.28515625" bestFit="1" customWidth="1"/>
    <col min="14" max="14" width="14.42578125" customWidth="1"/>
  </cols>
  <sheetData>
    <row r="1" spans="1:18" ht="29.25" customHeight="1" x14ac:dyDescent="0.25">
      <c r="A1" s="344" t="s">
        <v>599</v>
      </c>
      <c r="B1" s="345"/>
      <c r="C1" s="345"/>
      <c r="D1" s="345"/>
      <c r="E1" s="345"/>
      <c r="F1" s="345"/>
      <c r="G1" s="345"/>
      <c r="H1" s="345"/>
      <c r="I1" s="345"/>
      <c r="J1" s="345"/>
    </row>
    <row r="2" spans="1:18" x14ac:dyDescent="0.25">
      <c r="A2" s="88"/>
      <c r="B2" s="89" t="s">
        <v>95</v>
      </c>
      <c r="C2" s="89" t="s">
        <v>96</v>
      </c>
      <c r="D2" s="89" t="s">
        <v>97</v>
      </c>
      <c r="E2" s="89" t="s">
        <v>95</v>
      </c>
      <c r="F2" s="89" t="s">
        <v>96</v>
      </c>
      <c r="G2" s="89" t="s">
        <v>97</v>
      </c>
      <c r="H2" s="89" t="s">
        <v>95</v>
      </c>
      <c r="I2" s="89" t="s">
        <v>96</v>
      </c>
      <c r="J2" s="89" t="s">
        <v>97</v>
      </c>
    </row>
    <row r="3" spans="1:18" x14ac:dyDescent="0.25">
      <c r="A3" s="88"/>
      <c r="B3" s="89" t="s">
        <v>99</v>
      </c>
      <c r="C3" s="89" t="s">
        <v>100</v>
      </c>
      <c r="D3" s="89" t="s">
        <v>98</v>
      </c>
      <c r="E3" s="89" t="s">
        <v>289</v>
      </c>
      <c r="F3" s="89" t="s">
        <v>290</v>
      </c>
      <c r="G3" s="89" t="s">
        <v>99</v>
      </c>
      <c r="H3" s="89" t="s">
        <v>600</v>
      </c>
      <c r="I3" s="89" t="s">
        <v>601</v>
      </c>
      <c r="J3" s="89" t="s">
        <v>600</v>
      </c>
      <c r="L3" s="28"/>
      <c r="P3" s="28"/>
      <c r="Q3" s="28"/>
    </row>
    <row r="4" spans="1:18" x14ac:dyDescent="0.25">
      <c r="A4" s="88" t="s">
        <v>101</v>
      </c>
      <c r="B4" s="181">
        <v>243.245497</v>
      </c>
      <c r="C4" s="181">
        <v>14.622400000000001</v>
      </c>
      <c r="D4" s="182">
        <f>B4/(SUM($B$4:$B$9))</f>
        <v>0.17449545294702834</v>
      </c>
      <c r="E4" s="181">
        <v>234.57264577000092</v>
      </c>
      <c r="F4" s="181">
        <v>13.844855222222222</v>
      </c>
      <c r="G4" s="182">
        <f>E4/SUM($E$4:$E$9)</f>
        <v>0.15597411837794706</v>
      </c>
      <c r="H4" s="181">
        <v>260.83426900999712</v>
      </c>
      <c r="I4" s="181">
        <v>14.941840462222219</v>
      </c>
      <c r="J4" s="182">
        <f>H4/SUM($H$4:$H$9)</f>
        <v>0.17872662752773541</v>
      </c>
      <c r="L4" s="175"/>
      <c r="P4" s="28"/>
      <c r="Q4" s="28"/>
      <c r="R4" s="141"/>
    </row>
    <row r="5" spans="1:18" x14ac:dyDescent="0.25">
      <c r="A5" s="88" t="s">
        <v>102</v>
      </c>
      <c r="B5" s="181">
        <v>516.70932500000004</v>
      </c>
      <c r="C5" s="181">
        <v>22.027394999999999</v>
      </c>
      <c r="D5" s="182">
        <f t="shared" ref="D5:D9" si="0">B5/(SUM($B$4:$B$9))</f>
        <v>0.3706684350577239</v>
      </c>
      <c r="E5" s="181">
        <v>501.93888110999256</v>
      </c>
      <c r="F5" s="181">
        <v>21.095279746666527</v>
      </c>
      <c r="G5" s="182">
        <f>E5/SUM($E$4:$E$9)</f>
        <v>0.33375364038613142</v>
      </c>
      <c r="H5" s="181">
        <v>481.15254951999748</v>
      </c>
      <c r="I5" s="181">
        <v>20.53686894444462</v>
      </c>
      <c r="J5" s="182">
        <f t="shared" ref="J5:J9" si="1">H5/SUM($H$4:$H$9)</f>
        <v>0.32969123585055032</v>
      </c>
      <c r="L5" s="177"/>
      <c r="P5" s="28"/>
      <c r="Q5" s="28"/>
      <c r="R5" s="141"/>
    </row>
    <row r="6" spans="1:18" x14ac:dyDescent="0.25">
      <c r="A6" s="88" t="s">
        <v>103</v>
      </c>
      <c r="B6" s="181">
        <v>250.59459200000001</v>
      </c>
      <c r="C6" s="181">
        <v>7.3115259999999997</v>
      </c>
      <c r="D6" s="182">
        <f t="shared" si="0"/>
        <v>0.17976742581637908</v>
      </c>
      <c r="E6" s="181">
        <v>263.23259948000083</v>
      </c>
      <c r="F6" s="181">
        <v>7.6221088911111092</v>
      </c>
      <c r="G6" s="182">
        <f t="shared" ref="G6:G9" si="2">E6/SUM($E$4:$E$9)</f>
        <v>0.17503094829089888</v>
      </c>
      <c r="H6" s="181">
        <v>250.62740806999884</v>
      </c>
      <c r="I6" s="181">
        <v>7.287090544444438</v>
      </c>
      <c r="J6" s="182">
        <f t="shared" si="1"/>
        <v>0.1717327695489721</v>
      </c>
      <c r="L6" s="28"/>
      <c r="P6" s="28"/>
      <c r="Q6" s="28"/>
      <c r="R6" s="141"/>
    </row>
    <row r="7" spans="1:18" x14ac:dyDescent="0.25">
      <c r="A7" s="88" t="s">
        <v>104</v>
      </c>
      <c r="B7" s="181">
        <v>177.58604800000001</v>
      </c>
      <c r="C7" s="181">
        <v>3.835998</v>
      </c>
      <c r="D7" s="182">
        <f t="shared" si="0"/>
        <v>0.12739375760297308</v>
      </c>
      <c r="E7" s="181">
        <v>226.92550004999924</v>
      </c>
      <c r="F7" s="181">
        <v>4.8754200733333324</v>
      </c>
      <c r="G7" s="182">
        <f>E7/SUM($E$4:$E$9)</f>
        <v>0.15088931060818495</v>
      </c>
      <c r="H7" s="181">
        <v>193.69943043000129</v>
      </c>
      <c r="I7" s="310">
        <v>4.1509205366666651</v>
      </c>
      <c r="J7" s="182">
        <f t="shared" si="1"/>
        <v>0.13272506747750415</v>
      </c>
      <c r="L7" s="28"/>
      <c r="P7" s="28"/>
      <c r="Q7" s="28"/>
      <c r="R7" s="141"/>
    </row>
    <row r="8" spans="1:18" x14ac:dyDescent="0.25">
      <c r="A8" s="88" t="s">
        <v>105</v>
      </c>
      <c r="B8" s="181">
        <v>101.86844000000001</v>
      </c>
      <c r="C8" s="181">
        <v>1.349445</v>
      </c>
      <c r="D8" s="182">
        <f t="shared" si="0"/>
        <v>7.3076705624717811E-2</v>
      </c>
      <c r="E8" s="181">
        <v>134.84044649999973</v>
      </c>
      <c r="F8" s="181">
        <v>1.7680794822222223</v>
      </c>
      <c r="G8" s="182">
        <f t="shared" si="2"/>
        <v>8.9659302326102211E-2</v>
      </c>
      <c r="H8" s="181">
        <v>134.19071193000016</v>
      </c>
      <c r="I8" s="310">
        <v>1.7577640499999989</v>
      </c>
      <c r="J8" s="182">
        <f t="shared" si="1"/>
        <v>9.1949012220765944E-2</v>
      </c>
      <c r="L8" s="28"/>
      <c r="P8" s="28"/>
      <c r="Q8" s="28"/>
      <c r="R8" s="141"/>
    </row>
    <row r="9" spans="1:18" x14ac:dyDescent="0.25">
      <c r="A9" s="88" t="s">
        <v>106</v>
      </c>
      <c r="B9" s="181">
        <v>103.989425</v>
      </c>
      <c r="C9" s="181">
        <v>0.40153899999999998</v>
      </c>
      <c r="D9" s="182">
        <f t="shared" si="0"/>
        <v>7.4598222951177726E-2</v>
      </c>
      <c r="E9" s="181">
        <v>142.41024547000029</v>
      </c>
      <c r="F9" s="181">
        <v>0.59290485999999987</v>
      </c>
      <c r="G9" s="182">
        <f t="shared" si="2"/>
        <v>9.469268001073558E-2</v>
      </c>
      <c r="H9" s="181">
        <v>138.89914924000013</v>
      </c>
      <c r="I9" s="311">
        <v>0.59943232888888909</v>
      </c>
      <c r="J9" s="182">
        <f t="shared" si="1"/>
        <v>9.517528737447209E-2</v>
      </c>
      <c r="L9" s="28"/>
      <c r="P9" s="28"/>
      <c r="Q9" s="28"/>
      <c r="R9" s="141"/>
    </row>
    <row r="10" spans="1:18" x14ac:dyDescent="0.25">
      <c r="A10" s="346" t="s">
        <v>107</v>
      </c>
      <c r="B10" s="346"/>
      <c r="C10" s="346"/>
      <c r="D10" s="346"/>
      <c r="E10" s="346"/>
      <c r="F10" s="346"/>
      <c r="G10" s="346"/>
      <c r="H10" s="346"/>
      <c r="I10" s="346"/>
      <c r="J10" s="346"/>
      <c r="L10" s="28"/>
      <c r="P10" s="87"/>
      <c r="Q10" s="171"/>
      <c r="R10" s="141"/>
    </row>
    <row r="11" spans="1:18" x14ac:dyDescent="0.25">
      <c r="A11" s="346" t="s">
        <v>108</v>
      </c>
      <c r="B11" s="346"/>
      <c r="C11" s="346"/>
      <c r="D11" s="346"/>
      <c r="E11" s="346"/>
      <c r="F11" s="346"/>
      <c r="G11" s="346"/>
      <c r="H11" s="346"/>
      <c r="I11" s="346"/>
      <c r="J11" s="346"/>
    </row>
    <row r="29" customFormat="1" x14ac:dyDescent="0.25"/>
    <row r="30" customFormat="1" x14ac:dyDescent="0.25"/>
    <row r="31" customFormat="1" x14ac:dyDescent="0.25"/>
    <row r="32" customFormat="1" x14ac:dyDescent="0.25"/>
    <row r="33" spans="1:16" ht="30" customHeight="1" x14ac:dyDescent="0.25">
      <c r="A33" s="344" t="s">
        <v>439</v>
      </c>
      <c r="B33" s="345"/>
      <c r="C33" s="345"/>
      <c r="D33" s="345"/>
      <c r="E33" s="345"/>
      <c r="F33" s="345"/>
      <c r="G33" s="345"/>
      <c r="H33" s="345"/>
      <c r="I33" s="345"/>
      <c r="J33" s="345"/>
    </row>
    <row r="34" spans="1:16" x14ac:dyDescent="0.25">
      <c r="A34" s="88"/>
      <c r="B34" s="89" t="s">
        <v>95</v>
      </c>
      <c r="C34" s="89" t="s">
        <v>72</v>
      </c>
      <c r="D34" s="89" t="s">
        <v>97</v>
      </c>
      <c r="E34" s="89" t="s">
        <v>95</v>
      </c>
      <c r="F34" s="89" t="s">
        <v>72</v>
      </c>
      <c r="G34" s="89" t="s">
        <v>97</v>
      </c>
      <c r="H34" s="89" t="s">
        <v>95</v>
      </c>
      <c r="I34" s="89" t="s">
        <v>72</v>
      </c>
      <c r="J34" s="89" t="s">
        <v>97</v>
      </c>
    </row>
    <row r="35" spans="1:16" x14ac:dyDescent="0.25">
      <c r="A35" s="88"/>
      <c r="B35" s="89" t="s">
        <v>99</v>
      </c>
      <c r="C35" s="89" t="s">
        <v>100</v>
      </c>
      <c r="D35" s="89" t="s">
        <v>99</v>
      </c>
      <c r="E35" s="89" t="s">
        <v>289</v>
      </c>
      <c r="F35" s="89" t="s">
        <v>290</v>
      </c>
      <c r="G35" s="89" t="s">
        <v>289</v>
      </c>
      <c r="H35" s="89" t="s">
        <v>289</v>
      </c>
      <c r="I35" s="89" t="s">
        <v>290</v>
      </c>
      <c r="J35" s="89" t="s">
        <v>289</v>
      </c>
      <c r="O35" s="3"/>
      <c r="P35" s="3"/>
    </row>
    <row r="36" spans="1:16" x14ac:dyDescent="0.25">
      <c r="A36" s="88" t="s">
        <v>109</v>
      </c>
      <c r="B36" s="176">
        <v>135.076401</v>
      </c>
      <c r="C36" s="176">
        <v>200.890736</v>
      </c>
      <c r="D36" s="183">
        <f>B36/SUM($B$36:$B$41)</f>
        <v>0.46049424458222327</v>
      </c>
      <c r="E36" s="176">
        <v>131.64190890999987</v>
      </c>
      <c r="F36" s="176">
        <v>197.34202999999999</v>
      </c>
      <c r="G36" s="183">
        <f>E36/(SUM($E$36:$E$41))</f>
        <v>0.42635547974145205</v>
      </c>
      <c r="H36" s="176">
        <v>99.669625690000061</v>
      </c>
      <c r="I36" s="176">
        <v>152.64111800000001</v>
      </c>
      <c r="J36" s="183">
        <f>H36/(SUM($H$36:$H$41))</f>
        <v>0.3330610558722662</v>
      </c>
      <c r="L36" s="28"/>
      <c r="O36" s="28"/>
      <c r="P36" s="28"/>
    </row>
    <row r="37" spans="1:16" x14ac:dyDescent="0.25">
      <c r="A37" s="88" t="s">
        <v>110</v>
      </c>
      <c r="B37" s="176">
        <v>83.787846000000002</v>
      </c>
      <c r="C37" s="176">
        <v>96.573428000000007</v>
      </c>
      <c r="D37" s="183">
        <f t="shared" ref="D37:D41" si="3">B37/SUM($B$36:$B$41)</f>
        <v>0.28564442466113427</v>
      </c>
      <c r="E37" s="176">
        <v>86.444160560000199</v>
      </c>
      <c r="F37" s="176">
        <v>99.539377999999999</v>
      </c>
      <c r="G37" s="183">
        <f t="shared" ref="G37:G41" si="4">E37/(SUM($E$36:$E$41))</f>
        <v>0.27997118737926718</v>
      </c>
      <c r="H37" s="176">
        <v>65.045665650000004</v>
      </c>
      <c r="I37" s="176">
        <v>74.411051</v>
      </c>
      <c r="J37" s="183">
        <f t="shared" ref="J37:J41" si="5">H37/(SUM($H$36:$H$41))</f>
        <v>0.21735988202348575</v>
      </c>
      <c r="L37" s="28"/>
      <c r="O37" s="28"/>
      <c r="P37" s="28"/>
    </row>
    <row r="38" spans="1:16" x14ac:dyDescent="0.25">
      <c r="A38" s="88" t="s">
        <v>111</v>
      </c>
      <c r="B38" s="176">
        <v>28.767187</v>
      </c>
      <c r="C38" s="176">
        <v>23.634761999999998</v>
      </c>
      <c r="D38" s="183">
        <f t="shared" si="3"/>
        <v>9.8071342945542012E-2</v>
      </c>
      <c r="E38" s="176">
        <v>37.874594289999983</v>
      </c>
      <c r="F38" s="176">
        <v>32.173422729999999</v>
      </c>
      <c r="G38" s="183">
        <f t="shared" si="4"/>
        <v>0.12266641339549243</v>
      </c>
      <c r="H38" s="176">
        <v>76.808309600000115</v>
      </c>
      <c r="I38" s="176">
        <v>67.30323258</v>
      </c>
      <c r="J38" s="183">
        <f t="shared" si="5"/>
        <v>0.25666652721970246</v>
      </c>
      <c r="L38" s="28"/>
      <c r="O38" s="28"/>
      <c r="P38" s="28"/>
    </row>
    <row r="39" spans="1:16" x14ac:dyDescent="0.25">
      <c r="A39" s="88" t="s">
        <v>112</v>
      </c>
      <c r="B39" s="176">
        <v>27.738354999999999</v>
      </c>
      <c r="C39" s="176">
        <v>15.657431000000001</v>
      </c>
      <c r="D39" s="183">
        <f t="shared" si="3"/>
        <v>9.4563911513148288E-2</v>
      </c>
      <c r="E39" s="176">
        <v>40.624077769999921</v>
      </c>
      <c r="F39" s="176">
        <v>21.005174490000002</v>
      </c>
      <c r="G39" s="183">
        <f t="shared" si="4"/>
        <v>0.13157130818061755</v>
      </c>
      <c r="H39" s="176">
        <v>49.966719389999852</v>
      </c>
      <c r="I39" s="176">
        <v>26.533533500000001</v>
      </c>
      <c r="J39" s="183">
        <f t="shared" si="5"/>
        <v>0.16697131350997227</v>
      </c>
      <c r="L39" s="28"/>
      <c r="O39" s="28"/>
      <c r="P39" s="28"/>
    </row>
    <row r="40" spans="1:16" x14ac:dyDescent="0.25">
      <c r="A40" s="88" t="s">
        <v>113</v>
      </c>
      <c r="B40" s="176">
        <v>9.2970079999999999</v>
      </c>
      <c r="C40" s="176">
        <v>2.1593499999999999</v>
      </c>
      <c r="D40" s="183">
        <f t="shared" si="3"/>
        <v>3.1694793791810359E-2</v>
      </c>
      <c r="E40" s="176">
        <v>12.166170699999999</v>
      </c>
      <c r="F40" s="176">
        <v>3.0258180000000001</v>
      </c>
      <c r="G40" s="183">
        <f t="shared" si="4"/>
        <v>3.9403208205991531E-2</v>
      </c>
      <c r="H40" s="176">
        <v>7.4352446899999993</v>
      </c>
      <c r="I40" s="176">
        <v>1.9650920000000001</v>
      </c>
      <c r="J40" s="183">
        <f t="shared" si="5"/>
        <v>2.4845989236704023E-2</v>
      </c>
      <c r="L40" s="28"/>
      <c r="O40" s="28"/>
      <c r="P40" s="28"/>
    </row>
    <row r="41" spans="1:16" x14ac:dyDescent="0.25">
      <c r="A41" s="88" t="s">
        <v>114</v>
      </c>
      <c r="B41" s="176">
        <v>8.6623870000000007</v>
      </c>
      <c r="C41" s="176">
        <v>0.84043800000000002</v>
      </c>
      <c r="D41" s="183">
        <f t="shared" si="3"/>
        <v>2.9531282506141628E-2</v>
      </c>
      <c r="E41" s="312">
        <v>1.0004809999999999E-2</v>
      </c>
      <c r="F41" s="314">
        <v>1.08E-4</v>
      </c>
      <c r="G41" s="183">
        <f t="shared" si="4"/>
        <v>3.240309717924525E-5</v>
      </c>
      <c r="H41" s="176">
        <v>0.32775185000000001</v>
      </c>
      <c r="I41" s="313">
        <v>2.1570000000000001E-3</v>
      </c>
      <c r="J41" s="183">
        <f t="shared" si="5"/>
        <v>1.0952321378692692E-3</v>
      </c>
      <c r="L41" s="28"/>
      <c r="O41" s="28"/>
      <c r="P41" s="28"/>
    </row>
    <row r="42" spans="1:16" x14ac:dyDescent="0.25">
      <c r="A42" s="341" t="s">
        <v>107</v>
      </c>
      <c r="B42" s="342"/>
      <c r="C42" s="342"/>
      <c r="D42" s="342"/>
      <c r="E42" s="342"/>
      <c r="F42" s="342"/>
      <c r="G42" s="342"/>
      <c r="H42" s="342"/>
      <c r="I42" s="342"/>
      <c r="J42" s="343"/>
      <c r="O42" s="28"/>
      <c r="P42" s="28"/>
    </row>
  </sheetData>
  <mergeCells count="5">
    <mergeCell ref="A42:J42"/>
    <mergeCell ref="A33:J33"/>
    <mergeCell ref="A1:J1"/>
    <mergeCell ref="A10:J10"/>
    <mergeCell ref="A11:J11"/>
  </mergeCells>
  <phoneticPr fontId="58" type="noConversion"/>
  <pageMargins left="0.98425196850393704" right="0.98425196850393704" top="0.98425196850393704" bottom="0.98425196850393704" header="0.51181102362204722" footer="0.51181102362204722"/>
  <pageSetup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topLeftCell="A33" zoomScale="90" zoomScaleNormal="90" workbookViewId="0">
      <selection activeCell="A42" sqref="A42:I42"/>
    </sheetView>
  </sheetViews>
  <sheetFormatPr baseColWidth="10" defaultColWidth="11.42578125" defaultRowHeight="15" x14ac:dyDescent="0.25"/>
  <cols>
    <col min="1" max="1" width="26.85546875" customWidth="1"/>
    <col min="2" max="3" width="8" customWidth="1"/>
    <col min="4" max="4" width="8.7109375" customWidth="1"/>
    <col min="5" max="5" width="7.28515625" customWidth="1"/>
    <col min="6" max="6" width="9.42578125" customWidth="1"/>
    <col min="7" max="8" width="9.7109375" bestFit="1" customWidth="1"/>
    <col min="9" max="9" width="7.28515625" customWidth="1"/>
    <col min="10" max="10" width="2.42578125" customWidth="1"/>
    <col min="11" max="11" width="4.42578125" customWidth="1"/>
  </cols>
  <sheetData>
    <row r="1" spans="1:10" ht="14.45" customHeight="1" x14ac:dyDescent="0.25">
      <c r="A1" s="352" t="s">
        <v>548</v>
      </c>
      <c r="B1" s="352"/>
      <c r="C1" s="352"/>
      <c r="D1" s="352"/>
      <c r="E1" s="352"/>
      <c r="F1" s="352"/>
      <c r="G1" s="352"/>
      <c r="H1" s="352"/>
      <c r="I1" s="352"/>
      <c r="J1" s="7"/>
    </row>
    <row r="2" spans="1:10" ht="14.45" customHeight="1" x14ac:dyDescent="0.25">
      <c r="A2" s="184"/>
      <c r="B2" s="356" t="s">
        <v>146</v>
      </c>
      <c r="C2" s="356"/>
      <c r="D2" s="356"/>
      <c r="E2" s="356"/>
      <c r="F2" s="356" t="s">
        <v>147</v>
      </c>
      <c r="G2" s="356"/>
      <c r="H2" s="356"/>
      <c r="I2" s="356"/>
      <c r="J2" s="185"/>
    </row>
    <row r="3" spans="1:10" x14ac:dyDescent="0.25">
      <c r="A3" s="357" t="s">
        <v>115</v>
      </c>
      <c r="B3" s="357">
        <v>2020</v>
      </c>
      <c r="C3" s="347">
        <v>2021</v>
      </c>
      <c r="D3" s="347">
        <v>2022</v>
      </c>
      <c r="E3" s="348" t="s">
        <v>291</v>
      </c>
      <c r="F3" s="347">
        <v>2020</v>
      </c>
      <c r="G3" s="347">
        <f>C3</f>
        <v>2021</v>
      </c>
      <c r="H3" s="347">
        <v>2022</v>
      </c>
      <c r="I3" s="349" t="s">
        <v>291</v>
      </c>
      <c r="J3" s="186"/>
    </row>
    <row r="4" spans="1:10" ht="25.5" customHeight="1" x14ac:dyDescent="0.25">
      <c r="A4" s="358"/>
      <c r="B4" s="358"/>
      <c r="C4" s="347"/>
      <c r="D4" s="347"/>
      <c r="E4" s="348"/>
      <c r="F4" s="347"/>
      <c r="G4" s="347"/>
      <c r="H4" s="347"/>
      <c r="I4" s="350"/>
      <c r="J4" s="185"/>
    </row>
    <row r="5" spans="1:10" x14ac:dyDescent="0.25">
      <c r="A5" s="353"/>
      <c r="B5" s="354"/>
      <c r="C5" s="354"/>
      <c r="D5" s="354"/>
      <c r="E5" s="354"/>
      <c r="F5" s="354"/>
      <c r="G5" s="354"/>
      <c r="H5" s="354"/>
      <c r="I5" s="355"/>
      <c r="J5" s="187"/>
    </row>
    <row r="6" spans="1:10" ht="14.45" customHeight="1" x14ac:dyDescent="0.25">
      <c r="A6" s="134" t="s">
        <v>116</v>
      </c>
      <c r="B6" s="135">
        <v>862104.33282689983</v>
      </c>
      <c r="C6" s="135">
        <v>881228.94411579997</v>
      </c>
      <c r="D6" s="135">
        <v>845341.17105479992</v>
      </c>
      <c r="E6" s="136">
        <v>-4.0724687154946793</v>
      </c>
      <c r="F6" s="135">
        <v>1842370.4892799999</v>
      </c>
      <c r="G6" s="135">
        <v>1974603.0862699996</v>
      </c>
      <c r="H6" s="135">
        <v>1920240.7210999993</v>
      </c>
      <c r="I6" s="136">
        <v>-2.7530781020245598</v>
      </c>
      <c r="J6" s="185"/>
    </row>
    <row r="7" spans="1:10" x14ac:dyDescent="0.25">
      <c r="A7" s="353"/>
      <c r="B7" s="354"/>
      <c r="C7" s="354"/>
      <c r="D7" s="354"/>
      <c r="E7" s="354"/>
      <c r="F7" s="354"/>
      <c r="G7" s="354"/>
      <c r="H7" s="354"/>
      <c r="I7" s="355"/>
      <c r="J7" s="187"/>
    </row>
    <row r="8" spans="1:10" x14ac:dyDescent="0.25">
      <c r="A8" s="134" t="s">
        <v>59</v>
      </c>
      <c r="B8" s="135">
        <v>445890.75411729992</v>
      </c>
      <c r="C8" s="135">
        <v>448173.75401500001</v>
      </c>
      <c r="D8" s="135">
        <v>443465.25182349997</v>
      </c>
      <c r="E8" s="136">
        <v>-1.050597485756029</v>
      </c>
      <c r="F8" s="135">
        <v>1393873.7612799997</v>
      </c>
      <c r="G8" s="135">
        <v>1505631.4343299994</v>
      </c>
      <c r="H8" s="135">
        <v>1459403.5181999994</v>
      </c>
      <c r="I8" s="136">
        <v>-3.070334151901605</v>
      </c>
      <c r="J8" s="188"/>
    </row>
    <row r="9" spans="1:10" x14ac:dyDescent="0.25">
      <c r="A9" s="90" t="s">
        <v>117</v>
      </c>
      <c r="B9" s="91">
        <v>36622.592578300006</v>
      </c>
      <c r="C9" s="91">
        <v>35173.29829359999</v>
      </c>
      <c r="D9" s="91">
        <v>38361.728952100006</v>
      </c>
      <c r="E9" s="92">
        <v>9.064918029254514</v>
      </c>
      <c r="F9" s="91">
        <v>110484.06026000004</v>
      </c>
      <c r="G9" s="91">
        <v>112027.82758000001</v>
      </c>
      <c r="H9" s="91">
        <v>117251.71515000009</v>
      </c>
      <c r="I9" s="92">
        <v>4.6630267522323123</v>
      </c>
      <c r="J9" s="188"/>
    </row>
    <row r="10" spans="1:10" x14ac:dyDescent="0.25">
      <c r="A10" s="90" t="s">
        <v>118</v>
      </c>
      <c r="B10" s="91">
        <v>1.3859999999999999</v>
      </c>
      <c r="C10" s="91">
        <v>5.3775000000000004</v>
      </c>
      <c r="D10" s="91">
        <v>9.4207999999999998</v>
      </c>
      <c r="E10" s="167">
        <v>75.189214318921415</v>
      </c>
      <c r="F10" s="91">
        <v>9.8836199999999987</v>
      </c>
      <c r="G10" s="91">
        <v>37.932520000000004</v>
      </c>
      <c r="H10" s="91">
        <v>65.495809999999992</v>
      </c>
      <c r="I10" s="92">
        <v>72.664009667694074</v>
      </c>
      <c r="J10" s="188"/>
    </row>
    <row r="11" spans="1:10" x14ac:dyDescent="0.25">
      <c r="A11" s="90" t="s">
        <v>119</v>
      </c>
      <c r="B11" s="91">
        <v>318.49200000000002</v>
      </c>
      <c r="C11" s="91">
        <v>97.674000000000007</v>
      </c>
      <c r="D11" s="91">
        <v>80.077500000000001</v>
      </c>
      <c r="E11" s="167">
        <v>-18.015541495177843</v>
      </c>
      <c r="F11" s="91">
        <v>562.93084999999996</v>
      </c>
      <c r="G11" s="91">
        <v>253.86865</v>
      </c>
      <c r="H11" s="91">
        <v>329.70549</v>
      </c>
      <c r="I11" s="92">
        <v>29.872471453249545</v>
      </c>
      <c r="J11" s="189"/>
    </row>
    <row r="12" spans="1:10" x14ac:dyDescent="0.25">
      <c r="A12" s="90" t="s">
        <v>120</v>
      </c>
      <c r="B12" s="91">
        <v>132.1695</v>
      </c>
      <c r="C12" s="91">
        <v>1774.2735</v>
      </c>
      <c r="D12" s="91">
        <v>1834.9105</v>
      </c>
      <c r="E12" s="167">
        <v>3.4175678101487676</v>
      </c>
      <c r="F12" s="91">
        <v>448.53967</v>
      </c>
      <c r="G12" s="91">
        <v>5608.5127000000002</v>
      </c>
      <c r="H12" s="91">
        <v>5157.0432899999996</v>
      </c>
      <c r="I12" s="167">
        <v>-8.0497171736813726</v>
      </c>
      <c r="J12" s="188"/>
    </row>
    <row r="13" spans="1:10" x14ac:dyDescent="0.25">
      <c r="A13" s="90" t="s">
        <v>121</v>
      </c>
      <c r="B13" s="91">
        <v>1750.16425</v>
      </c>
      <c r="C13" s="91">
        <v>2006.9905000000001</v>
      </c>
      <c r="D13" s="91">
        <v>2429.8941500000001</v>
      </c>
      <c r="E13" s="92">
        <v>21.071532226983635</v>
      </c>
      <c r="F13" s="91">
        <v>5988.6736700000029</v>
      </c>
      <c r="G13" s="91">
        <v>7150.8613399999995</v>
      </c>
      <c r="H13" s="91">
        <v>8118.8514000000005</v>
      </c>
      <c r="I13" s="92">
        <v>13.536691791033959</v>
      </c>
      <c r="J13" s="188"/>
    </row>
    <row r="14" spans="1:10" x14ac:dyDescent="0.25">
      <c r="A14" s="90" t="s">
        <v>122</v>
      </c>
      <c r="B14" s="91">
        <v>43349.14099710001</v>
      </c>
      <c r="C14" s="91">
        <v>39710.340615299996</v>
      </c>
      <c r="D14" s="91">
        <v>42797.064438300004</v>
      </c>
      <c r="E14" s="92">
        <v>7.7730983294833038</v>
      </c>
      <c r="F14" s="91">
        <v>120034.09739000002</v>
      </c>
      <c r="G14" s="91">
        <v>116738.62551999994</v>
      </c>
      <c r="H14" s="91">
        <v>122577.81418999995</v>
      </c>
      <c r="I14" s="92">
        <v>5.0019337164455777</v>
      </c>
      <c r="J14" s="188"/>
    </row>
    <row r="15" spans="1:10" x14ac:dyDescent="0.25">
      <c r="A15" s="90" t="s">
        <v>123</v>
      </c>
      <c r="B15" s="91">
        <v>5663.9015959999997</v>
      </c>
      <c r="C15" s="91">
        <v>5228.8736124999996</v>
      </c>
      <c r="D15" s="91">
        <v>4369.2305218000001</v>
      </c>
      <c r="E15" s="92">
        <v>-16.440311134026274</v>
      </c>
      <c r="F15" s="91">
        <v>17039.524790000003</v>
      </c>
      <c r="G15" s="91">
        <v>15667.551609999999</v>
      </c>
      <c r="H15" s="91">
        <v>12956.582820000003</v>
      </c>
      <c r="I15" s="92">
        <v>-17.30307872909566</v>
      </c>
      <c r="J15" s="188"/>
    </row>
    <row r="16" spans="1:10" x14ac:dyDescent="0.25">
      <c r="A16" s="90" t="s">
        <v>124</v>
      </c>
      <c r="B16" s="91">
        <v>38433.8518683</v>
      </c>
      <c r="C16" s="91">
        <v>37872.105358000001</v>
      </c>
      <c r="D16" s="91">
        <v>42105.800162299995</v>
      </c>
      <c r="E16" s="92">
        <v>11.178926453334029</v>
      </c>
      <c r="F16" s="91">
        <v>103308.00843000002</v>
      </c>
      <c r="G16" s="91">
        <v>105311.08946999993</v>
      </c>
      <c r="H16" s="91">
        <v>113407.34008999995</v>
      </c>
      <c r="I16" s="92">
        <v>7.6879373869799537</v>
      </c>
      <c r="J16" s="188"/>
    </row>
    <row r="17" spans="1:10" x14ac:dyDescent="0.25">
      <c r="A17" s="90" t="s">
        <v>125</v>
      </c>
      <c r="B17" s="91">
        <v>221.42850000000001</v>
      </c>
      <c r="C17" s="91">
        <v>253.166</v>
      </c>
      <c r="D17" s="91">
        <v>331.17399999999998</v>
      </c>
      <c r="E17" s="92">
        <v>30.812984365989109</v>
      </c>
      <c r="F17" s="91">
        <v>1316.73947</v>
      </c>
      <c r="G17" s="91">
        <v>1609.3034199999997</v>
      </c>
      <c r="H17" s="91">
        <v>2115.47912</v>
      </c>
      <c r="I17" s="92">
        <v>31.453092916437129</v>
      </c>
      <c r="J17" s="188"/>
    </row>
    <row r="18" spans="1:10" x14ac:dyDescent="0.25">
      <c r="A18" s="90" t="s">
        <v>126</v>
      </c>
      <c r="B18" s="91">
        <v>83843.113797799975</v>
      </c>
      <c r="C18" s="91">
        <v>89928.699088099995</v>
      </c>
      <c r="D18" s="91">
        <v>88210.924506199983</v>
      </c>
      <c r="E18" s="92">
        <v>-1.9101517083185797</v>
      </c>
      <c r="F18" s="91">
        <v>275286.07548999978</v>
      </c>
      <c r="G18" s="91">
        <v>307590.94725999981</v>
      </c>
      <c r="H18" s="91">
        <v>309955.54726999981</v>
      </c>
      <c r="I18" s="92">
        <v>0.76874824537706843</v>
      </c>
      <c r="J18" s="188"/>
    </row>
    <row r="19" spans="1:10" x14ac:dyDescent="0.25">
      <c r="A19" s="90" t="s">
        <v>127</v>
      </c>
      <c r="B19" s="91">
        <v>28341.290679999998</v>
      </c>
      <c r="C19" s="91">
        <v>29765.969417899996</v>
      </c>
      <c r="D19" s="91">
        <v>29583.539683700008</v>
      </c>
      <c r="E19" s="92">
        <v>-0.61288020436613522</v>
      </c>
      <c r="F19" s="91">
        <v>93365.308330000029</v>
      </c>
      <c r="G19" s="91">
        <v>109599.60894999995</v>
      </c>
      <c r="H19" s="91">
        <v>101584.17038000004</v>
      </c>
      <c r="I19" s="92">
        <v>-7.3133824534507283</v>
      </c>
      <c r="J19" s="188"/>
    </row>
    <row r="20" spans="1:10" x14ac:dyDescent="0.25">
      <c r="A20" s="90" t="s">
        <v>128</v>
      </c>
      <c r="B20" s="91">
        <v>5764.7321899999997</v>
      </c>
      <c r="C20" s="91">
        <v>5541.857390000001</v>
      </c>
      <c r="D20" s="91">
        <v>4901.9368900000009</v>
      </c>
      <c r="E20" s="92">
        <v>-11.547040188271609</v>
      </c>
      <c r="F20" s="91">
        <v>17968.742460000001</v>
      </c>
      <c r="G20" s="91">
        <v>18332.954099999999</v>
      </c>
      <c r="H20" s="91">
        <v>15469.180880000004</v>
      </c>
      <c r="I20" s="92">
        <v>-15.620904325506359</v>
      </c>
      <c r="J20" s="188"/>
    </row>
    <row r="21" spans="1:10" x14ac:dyDescent="0.25">
      <c r="A21" s="90" t="s">
        <v>129</v>
      </c>
      <c r="B21" s="91">
        <v>33137.791668000005</v>
      </c>
      <c r="C21" s="91">
        <v>33680.635899599998</v>
      </c>
      <c r="D21" s="91">
        <v>32823.970242700001</v>
      </c>
      <c r="E21" s="92">
        <v>-2.5434960891286806</v>
      </c>
      <c r="F21" s="91">
        <v>85588.326990000045</v>
      </c>
      <c r="G21" s="91">
        <v>92213.502299999978</v>
      </c>
      <c r="H21" s="91">
        <v>90120.082779999997</v>
      </c>
      <c r="I21" s="92">
        <v>-2.2701876273926018</v>
      </c>
      <c r="J21" s="188"/>
    </row>
    <row r="22" spans="1:10" x14ac:dyDescent="0.25">
      <c r="A22" s="90" t="s">
        <v>130</v>
      </c>
      <c r="B22" s="91">
        <v>8718.9854570000007</v>
      </c>
      <c r="C22" s="91">
        <v>8809.4010934000016</v>
      </c>
      <c r="D22" s="91">
        <v>8477.5816147999994</v>
      </c>
      <c r="E22" s="92">
        <v>-3.7666519560404765</v>
      </c>
      <c r="F22" s="91">
        <v>35308.505100000017</v>
      </c>
      <c r="G22" s="91">
        <v>38784.181140000001</v>
      </c>
      <c r="H22" s="91">
        <v>37335.041209999981</v>
      </c>
      <c r="I22" s="92">
        <v>-3.7364200748986605</v>
      </c>
      <c r="J22" s="188"/>
    </row>
    <row r="23" spans="1:10" x14ac:dyDescent="0.25">
      <c r="A23" s="90" t="s">
        <v>131</v>
      </c>
      <c r="B23" s="91">
        <v>7210.0983224999991</v>
      </c>
      <c r="C23" s="91">
        <v>7367.4041874999994</v>
      </c>
      <c r="D23" s="91">
        <v>6470.7078445000006</v>
      </c>
      <c r="E23" s="92">
        <v>-12.171130023263686</v>
      </c>
      <c r="F23" s="91">
        <v>28500.395240000005</v>
      </c>
      <c r="G23" s="91">
        <v>32600.163360000002</v>
      </c>
      <c r="H23" s="91">
        <v>28452.848529999996</v>
      </c>
      <c r="I23" s="92">
        <v>-12.721760882611747</v>
      </c>
      <c r="J23" s="188"/>
    </row>
    <row r="24" spans="1:10" x14ac:dyDescent="0.25">
      <c r="A24" s="90" t="s">
        <v>132</v>
      </c>
      <c r="B24" s="91">
        <v>3990.91617</v>
      </c>
      <c r="C24" s="91">
        <v>5914.7368203999995</v>
      </c>
      <c r="D24" s="91">
        <v>5397.1462167999998</v>
      </c>
      <c r="E24" s="92">
        <v>-8.7508644816591641</v>
      </c>
      <c r="F24" s="91">
        <v>15519.134319999997</v>
      </c>
      <c r="G24" s="91">
        <v>24743.181829999994</v>
      </c>
      <c r="H24" s="91">
        <v>21219.871460000006</v>
      </c>
      <c r="I24" s="92">
        <v>-14.239520180578126</v>
      </c>
      <c r="J24" s="188"/>
    </row>
    <row r="25" spans="1:10" x14ac:dyDescent="0.25">
      <c r="A25" s="90" t="s">
        <v>133</v>
      </c>
      <c r="B25" s="91">
        <v>136981.98457629996</v>
      </c>
      <c r="C25" s="91">
        <v>133524.42953909998</v>
      </c>
      <c r="D25" s="91">
        <v>122273.74332030003</v>
      </c>
      <c r="E25" s="92">
        <v>-8.4259384276233931</v>
      </c>
      <c r="F25" s="91">
        <v>453438.49976999994</v>
      </c>
      <c r="G25" s="91">
        <v>486320.27486999979</v>
      </c>
      <c r="H25" s="91">
        <v>438133.76043999975</v>
      </c>
      <c r="I25" s="92">
        <v>-9.9083910171914908</v>
      </c>
      <c r="J25" s="188"/>
    </row>
    <row r="26" spans="1:10" x14ac:dyDescent="0.25">
      <c r="A26" s="90" t="s">
        <v>134</v>
      </c>
      <c r="B26" s="91">
        <v>11408.713965999999</v>
      </c>
      <c r="C26" s="91">
        <v>11518.521199599998</v>
      </c>
      <c r="D26" s="91">
        <v>13006.400479999998</v>
      </c>
      <c r="E26" s="92">
        <v>12.917276919641992</v>
      </c>
      <c r="F26" s="91">
        <v>29706.315429999999</v>
      </c>
      <c r="G26" s="91">
        <v>31041.047709999992</v>
      </c>
      <c r="H26" s="91">
        <v>35152.987890000004</v>
      </c>
      <c r="I26" s="92">
        <v>13.2467828354754</v>
      </c>
      <c r="J26" s="185"/>
    </row>
    <row r="27" spans="1:10" x14ac:dyDescent="0.25">
      <c r="A27" s="353"/>
      <c r="B27" s="354"/>
      <c r="C27" s="354"/>
      <c r="D27" s="354"/>
      <c r="E27" s="354"/>
      <c r="F27" s="354"/>
      <c r="G27" s="354"/>
      <c r="H27" s="354"/>
      <c r="I27" s="355"/>
      <c r="J27" s="187"/>
    </row>
    <row r="28" spans="1:10" x14ac:dyDescent="0.25">
      <c r="A28" s="134" t="s">
        <v>135</v>
      </c>
      <c r="B28" s="135">
        <v>64794.118096699996</v>
      </c>
      <c r="C28" s="135">
        <v>65120.173073700011</v>
      </c>
      <c r="D28" s="135">
        <v>63562.144291500001</v>
      </c>
      <c r="E28" s="136">
        <v>-2.392543982394983</v>
      </c>
      <c r="F28" s="135">
        <v>139567.12522000002</v>
      </c>
      <c r="G28" s="135">
        <v>144889.24590999997</v>
      </c>
      <c r="H28" s="135">
        <v>140599.76665999996</v>
      </c>
      <c r="I28" s="136">
        <v>-2.9605228621760347</v>
      </c>
      <c r="J28" s="188"/>
    </row>
    <row r="29" spans="1:10" x14ac:dyDescent="0.25">
      <c r="A29" s="90" t="s">
        <v>136</v>
      </c>
      <c r="B29" s="91">
        <v>22384.1340767</v>
      </c>
      <c r="C29" s="91">
        <v>21014.181499999999</v>
      </c>
      <c r="D29" s="91">
        <v>18357.936750000001</v>
      </c>
      <c r="E29" s="92">
        <v>-12.640248443652197</v>
      </c>
      <c r="F29" s="91">
        <v>41488.577760000015</v>
      </c>
      <c r="G29" s="91">
        <v>40270.92482</v>
      </c>
      <c r="H29" s="91">
        <v>32900.516470000002</v>
      </c>
      <c r="I29" s="92">
        <v>-18.302058825178975</v>
      </c>
      <c r="J29" s="188"/>
    </row>
    <row r="30" spans="1:10" x14ac:dyDescent="0.25">
      <c r="A30" s="90" t="s">
        <v>137</v>
      </c>
      <c r="B30" s="91">
        <v>37759.51382</v>
      </c>
      <c r="C30" s="91">
        <v>39216.195233700011</v>
      </c>
      <c r="D30" s="91">
        <v>40288.540142099999</v>
      </c>
      <c r="E30" s="92">
        <v>2.7344440275493156</v>
      </c>
      <c r="F30" s="91">
        <v>79828.553280000007</v>
      </c>
      <c r="G30" s="91">
        <v>86374.095879999964</v>
      </c>
      <c r="H30" s="91">
        <v>89193.81462999995</v>
      </c>
      <c r="I30" s="92">
        <v>3.2645421306839921</v>
      </c>
      <c r="J30" s="188"/>
    </row>
    <row r="31" spans="1:10" x14ac:dyDescent="0.25">
      <c r="A31" s="90" t="s">
        <v>138</v>
      </c>
      <c r="B31" s="91">
        <v>1174.7696999999998</v>
      </c>
      <c r="C31" s="91">
        <v>1305.3400799999999</v>
      </c>
      <c r="D31" s="91">
        <v>1000.4229720000001</v>
      </c>
      <c r="E31" s="92">
        <v>-23.359208276206445</v>
      </c>
      <c r="F31" s="91">
        <v>3575.1079900000004</v>
      </c>
      <c r="G31" s="91">
        <v>3761.8187500000004</v>
      </c>
      <c r="H31" s="91">
        <v>3053.1172000000001</v>
      </c>
      <c r="I31" s="92">
        <v>-18.839332703097412</v>
      </c>
      <c r="J31" s="188"/>
    </row>
    <row r="32" spans="1:10" x14ac:dyDescent="0.25">
      <c r="A32" s="90" t="s">
        <v>139</v>
      </c>
      <c r="B32" s="91">
        <v>3475.7004999999999</v>
      </c>
      <c r="C32" s="91">
        <v>3584.4562599999999</v>
      </c>
      <c r="D32" s="91">
        <v>3915.2444273999999</v>
      </c>
      <c r="E32" s="92">
        <v>9.2284057443066843</v>
      </c>
      <c r="F32" s="91">
        <v>14674.886189999997</v>
      </c>
      <c r="G32" s="91">
        <v>14482.406459999995</v>
      </c>
      <c r="H32" s="91">
        <v>15452.318360000005</v>
      </c>
      <c r="I32" s="92">
        <v>6.6971735856114805</v>
      </c>
      <c r="J32" s="185"/>
    </row>
    <row r="33" spans="1:10" x14ac:dyDescent="0.25">
      <c r="A33" s="353"/>
      <c r="B33" s="354"/>
      <c r="C33" s="354"/>
      <c r="D33" s="354"/>
      <c r="E33" s="354"/>
      <c r="F33" s="354"/>
      <c r="G33" s="354"/>
      <c r="H33" s="354"/>
      <c r="I33" s="355"/>
      <c r="J33" s="187"/>
    </row>
    <row r="34" spans="1:10" x14ac:dyDescent="0.25">
      <c r="A34" s="134" t="s">
        <v>60</v>
      </c>
      <c r="B34" s="135">
        <v>339636.14499999996</v>
      </c>
      <c r="C34" s="135">
        <v>353037.93121770001</v>
      </c>
      <c r="D34" s="135">
        <v>322856.18407999998</v>
      </c>
      <c r="E34" s="136">
        <v>-8.5491513712413365</v>
      </c>
      <c r="F34" s="135">
        <v>292100.30240999995</v>
      </c>
      <c r="G34" s="135">
        <v>308876.59557</v>
      </c>
      <c r="H34" s="135">
        <v>299253.31686999992</v>
      </c>
      <c r="I34" s="136">
        <v>-3.1155739340629935</v>
      </c>
      <c r="J34" s="190"/>
    </row>
    <row r="35" spans="1:10" x14ac:dyDescent="0.25">
      <c r="A35" s="353"/>
      <c r="B35" s="354"/>
      <c r="C35" s="354"/>
      <c r="D35" s="354"/>
      <c r="E35" s="354"/>
      <c r="F35" s="354"/>
      <c r="G35" s="354"/>
      <c r="H35" s="354"/>
      <c r="I35" s="355"/>
      <c r="J35" s="187"/>
    </row>
    <row r="36" spans="1:10" x14ac:dyDescent="0.25">
      <c r="A36" s="134" t="s">
        <v>140</v>
      </c>
      <c r="B36" s="135">
        <v>11783.315612900002</v>
      </c>
      <c r="C36" s="135">
        <v>14897.0858094</v>
      </c>
      <c r="D36" s="135">
        <v>15457.590859799999</v>
      </c>
      <c r="E36" s="136">
        <v>3.7625147466514761</v>
      </c>
      <c r="F36" s="135">
        <v>16829.300369999997</v>
      </c>
      <c r="G36" s="135">
        <v>15205.810460000002</v>
      </c>
      <c r="H36" s="135">
        <v>20984.11937</v>
      </c>
      <c r="I36" s="136">
        <v>38.000663793621925</v>
      </c>
      <c r="J36" s="188"/>
    </row>
    <row r="37" spans="1:10" x14ac:dyDescent="0.25">
      <c r="A37" s="90" t="s">
        <v>141</v>
      </c>
      <c r="B37" s="91">
        <v>2195.7570968999999</v>
      </c>
      <c r="C37" s="91">
        <v>641.80185940000001</v>
      </c>
      <c r="D37" s="91">
        <v>3389.4698967000004</v>
      </c>
      <c r="E37" s="92">
        <v>428.11780568362747</v>
      </c>
      <c r="F37" s="91">
        <v>4670.6100100000003</v>
      </c>
      <c r="G37" s="91">
        <v>1508.65894</v>
      </c>
      <c r="H37" s="91">
        <v>4506.8549299999995</v>
      </c>
      <c r="I37" s="92">
        <v>198.73252399909546</v>
      </c>
      <c r="J37" s="188"/>
    </row>
    <row r="38" spans="1:10" x14ac:dyDescent="0.25">
      <c r="A38" s="90" t="s">
        <v>605</v>
      </c>
      <c r="B38" s="91">
        <v>301.53334000000001</v>
      </c>
      <c r="C38" s="91">
        <v>423.86137000000002</v>
      </c>
      <c r="D38" s="91">
        <v>1205.0811200000001</v>
      </c>
      <c r="E38" s="92">
        <v>184.31020264951252</v>
      </c>
      <c r="F38" s="91">
        <v>2080.1969200000003</v>
      </c>
      <c r="G38" s="91">
        <v>2762.5868199999995</v>
      </c>
      <c r="H38" s="91">
        <v>6637.65265</v>
      </c>
      <c r="I38" s="92">
        <v>140.2694678026445</v>
      </c>
      <c r="J38" s="188"/>
    </row>
    <row r="39" spans="1:10" x14ac:dyDescent="0.25">
      <c r="A39" s="90" t="s">
        <v>142</v>
      </c>
      <c r="B39" s="91">
        <v>9286.025176000001</v>
      </c>
      <c r="C39" s="91">
        <v>13831.422579999999</v>
      </c>
      <c r="D39" s="91">
        <v>10863.039843099999</v>
      </c>
      <c r="E39" s="92">
        <v>-21.461152818743528</v>
      </c>
      <c r="F39" s="91">
        <v>10078.493439999998</v>
      </c>
      <c r="G39" s="91">
        <v>10934.564700000003</v>
      </c>
      <c r="H39" s="91">
        <v>9839.611789999999</v>
      </c>
      <c r="I39" s="92">
        <v>-10.013685409900248</v>
      </c>
    </row>
    <row r="40" spans="1:10" x14ac:dyDescent="0.25">
      <c r="A40" s="351" t="s">
        <v>143</v>
      </c>
      <c r="B40" s="351"/>
      <c r="C40" s="351"/>
      <c r="D40" s="351"/>
      <c r="E40" s="351"/>
      <c r="F40" s="351"/>
      <c r="G40" s="351"/>
      <c r="H40" s="351"/>
      <c r="I40" s="351"/>
      <c r="J40" s="191"/>
    </row>
    <row r="41" spans="1:10" x14ac:dyDescent="0.25">
      <c r="A41" s="351" t="s">
        <v>606</v>
      </c>
      <c r="B41" s="351"/>
      <c r="C41" s="351"/>
      <c r="D41" s="351"/>
      <c r="E41" s="351"/>
      <c r="F41" s="351"/>
      <c r="G41" s="351"/>
      <c r="H41" s="351"/>
      <c r="I41" s="351"/>
      <c r="J41" s="191"/>
    </row>
    <row r="42" spans="1:10" x14ac:dyDescent="0.25">
      <c r="A42" s="351" t="s">
        <v>144</v>
      </c>
      <c r="B42" s="351"/>
      <c r="C42" s="351"/>
      <c r="D42" s="351"/>
      <c r="E42" s="351"/>
      <c r="F42" s="351"/>
      <c r="G42" s="351"/>
      <c r="H42" s="351"/>
      <c r="I42" s="351"/>
    </row>
  </sheetData>
  <mergeCells count="20">
    <mergeCell ref="A41:I41"/>
    <mergeCell ref="A42:I42"/>
    <mergeCell ref="A1:I1"/>
    <mergeCell ref="A5:I5"/>
    <mergeCell ref="A7:I7"/>
    <mergeCell ref="A27:I27"/>
    <mergeCell ref="A33:I33"/>
    <mergeCell ref="B2:E2"/>
    <mergeCell ref="F2:I2"/>
    <mergeCell ref="A3:A4"/>
    <mergeCell ref="B3:B4"/>
    <mergeCell ref="F3:F4"/>
    <mergeCell ref="A35:I35"/>
    <mergeCell ref="A40:I40"/>
    <mergeCell ref="C3:C4"/>
    <mergeCell ref="D3:D4"/>
    <mergeCell ref="E3:E4"/>
    <mergeCell ref="G3:G4"/>
    <mergeCell ref="H3:H4"/>
    <mergeCell ref="I3:I4"/>
  </mergeCells>
  <phoneticPr fontId="58" type="noConversion"/>
  <pageMargins left="0.98425196850393704" right="0.98425196850393704" top="0.98425196850393704" bottom="0.98425196850393704" header="0.51181102362204722" footer="0.51181102362204722"/>
  <pageSetup scale="8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X1:AO32"/>
  <sheetViews>
    <sheetView zoomScaleNormal="100" workbookViewId="0"/>
  </sheetViews>
  <sheetFormatPr baseColWidth="10" defaultColWidth="11.42578125" defaultRowHeight="15" x14ac:dyDescent="0.25"/>
  <cols>
    <col min="8" max="23" width="6" customWidth="1"/>
    <col min="24" max="24" width="6" style="13" customWidth="1"/>
    <col min="25" max="25" width="5.42578125" style="13" bestFit="1" customWidth="1"/>
    <col min="26" max="30" width="6.140625" style="13" bestFit="1" customWidth="1"/>
    <col min="31" max="31" width="5.42578125" style="13" bestFit="1" customWidth="1"/>
    <col min="32" max="34" width="6.42578125" style="13" bestFit="1" customWidth="1"/>
    <col min="35" max="36" width="6.140625" style="13" bestFit="1" customWidth="1"/>
    <col min="37" max="37" width="6.42578125" style="13" bestFit="1" customWidth="1"/>
    <col min="39" max="41" width="12" bestFit="1" customWidth="1"/>
  </cols>
  <sheetData>
    <row r="1" spans="24:41" x14ac:dyDescent="0.25">
      <c r="X1" s="33"/>
      <c r="Y1" s="33"/>
      <c r="Z1" s="33" t="s">
        <v>167</v>
      </c>
      <c r="AA1" s="33" t="s">
        <v>168</v>
      </c>
      <c r="AB1" s="33" t="s">
        <v>169</v>
      </c>
      <c r="AC1" s="33" t="s">
        <v>170</v>
      </c>
      <c r="AD1" s="33" t="s">
        <v>171</v>
      </c>
      <c r="AE1" s="33" t="s">
        <v>172</v>
      </c>
      <c r="AF1" s="33" t="s">
        <v>173</v>
      </c>
      <c r="AG1" s="33" t="s">
        <v>174</v>
      </c>
      <c r="AH1" s="33" t="s">
        <v>175</v>
      </c>
      <c r="AI1" s="33" t="s">
        <v>176</v>
      </c>
      <c r="AJ1" s="33" t="s">
        <v>177</v>
      </c>
      <c r="AK1" s="33" t="s">
        <v>178</v>
      </c>
    </row>
    <row r="2" spans="24:41" x14ac:dyDescent="0.25">
      <c r="X2" s="33" t="s">
        <v>179</v>
      </c>
      <c r="Y2" s="33">
        <v>2015</v>
      </c>
      <c r="Z2" s="34">
        <v>34.904873070000001</v>
      </c>
      <c r="AA2" s="34">
        <v>25.382726150000014</v>
      </c>
      <c r="AB2" s="35">
        <v>29.098884030000015</v>
      </c>
      <c r="AC2" s="35">
        <v>37.928668630000033</v>
      </c>
      <c r="AD2" s="35">
        <v>32.560458390000015</v>
      </c>
      <c r="AE2" s="35">
        <v>37.245211599999998</v>
      </c>
      <c r="AF2" s="35">
        <v>46.664839749999999</v>
      </c>
      <c r="AG2" s="35">
        <v>38.240639300000012</v>
      </c>
      <c r="AH2" s="35">
        <v>38.339363470000031</v>
      </c>
      <c r="AI2" s="35">
        <v>42.346817799999997</v>
      </c>
      <c r="AJ2" s="35">
        <v>38.895984280000015</v>
      </c>
      <c r="AK2" s="35">
        <v>36.147308560000042</v>
      </c>
    </row>
    <row r="3" spans="24:41" x14ac:dyDescent="0.25">
      <c r="X3" s="33" t="s">
        <v>179</v>
      </c>
      <c r="Y3" s="33">
        <v>2016</v>
      </c>
      <c r="Z3" s="35">
        <v>34.801410075999996</v>
      </c>
      <c r="AA3" s="35">
        <v>26.140552266</v>
      </c>
      <c r="AB3" s="35">
        <v>32.888241957699996</v>
      </c>
      <c r="AC3" s="35">
        <v>35.9801589534</v>
      </c>
      <c r="AD3" s="35">
        <v>42.5120744305</v>
      </c>
      <c r="AE3" s="35">
        <v>38.111397738200004</v>
      </c>
      <c r="AF3" s="35">
        <v>42.937277578</v>
      </c>
      <c r="AG3" s="35">
        <v>41.387071516999995</v>
      </c>
      <c r="AH3" s="35">
        <v>37.850101860000002</v>
      </c>
      <c r="AI3" s="35">
        <v>39.7293095725</v>
      </c>
      <c r="AJ3" s="35">
        <v>41.125384937999996</v>
      </c>
      <c r="AK3" s="35">
        <v>37.6041943492</v>
      </c>
      <c r="AM3" s="140"/>
      <c r="AN3" s="140"/>
      <c r="AO3" s="140"/>
    </row>
    <row r="4" spans="24:41" x14ac:dyDescent="0.25">
      <c r="X4" s="33" t="s">
        <v>179</v>
      </c>
      <c r="Y4" s="33">
        <v>2017</v>
      </c>
      <c r="Z4" s="35">
        <v>41.430986299999994</v>
      </c>
      <c r="AA4" s="35">
        <v>26.5902872572</v>
      </c>
      <c r="AB4" s="35">
        <v>34.837152175999996</v>
      </c>
      <c r="AC4" s="35">
        <v>34.6453459401</v>
      </c>
      <c r="AD4" s="35">
        <v>44.328769652000005</v>
      </c>
      <c r="AE4" s="35">
        <v>37.6972178141</v>
      </c>
      <c r="AF4" s="35">
        <v>44.722713240000004</v>
      </c>
      <c r="AG4" s="35">
        <v>45.201829379000003</v>
      </c>
      <c r="AH4" s="35">
        <v>39.950192773999994</v>
      </c>
      <c r="AI4" s="35">
        <v>45.723674291000002</v>
      </c>
      <c r="AJ4" s="35">
        <v>45.345576005300003</v>
      </c>
      <c r="AK4" s="35">
        <v>36.719468314000004</v>
      </c>
      <c r="AM4" s="140"/>
      <c r="AN4" s="140"/>
      <c r="AO4" s="140"/>
    </row>
    <row r="5" spans="24:41" x14ac:dyDescent="0.25">
      <c r="X5" s="33" t="s">
        <v>179</v>
      </c>
      <c r="Y5" s="33">
        <v>2018</v>
      </c>
      <c r="Z5" s="35">
        <v>41.037711785999996</v>
      </c>
      <c r="AA5" s="35">
        <v>28.094427338199999</v>
      </c>
      <c r="AB5" s="35">
        <v>32.963878584299998</v>
      </c>
      <c r="AC5" s="35">
        <v>35.862025062299999</v>
      </c>
      <c r="AD5" s="35">
        <v>38.360108749700004</v>
      </c>
      <c r="AE5" s="35">
        <v>37.873266823999998</v>
      </c>
      <c r="AF5" s="35">
        <v>42.167649539099997</v>
      </c>
      <c r="AG5" s="35">
        <v>46.494701373700003</v>
      </c>
      <c r="AH5" s="35">
        <v>29.001395629999998</v>
      </c>
      <c r="AI5" s="35">
        <v>46.059151196000002</v>
      </c>
      <c r="AJ5" s="35">
        <v>43.903375814</v>
      </c>
      <c r="AK5" s="30">
        <v>34.816315384000006</v>
      </c>
    </row>
    <row r="6" spans="24:41" x14ac:dyDescent="0.25">
      <c r="X6" s="33" t="s">
        <v>179</v>
      </c>
      <c r="Y6" s="33">
        <v>2019</v>
      </c>
      <c r="Z6" s="35">
        <v>42.095000903099994</v>
      </c>
      <c r="AA6" s="35">
        <v>25.172279372000009</v>
      </c>
      <c r="AB6" s="35">
        <v>33.305171635999997</v>
      </c>
      <c r="AC6" s="35">
        <v>36.379859439000008</v>
      </c>
      <c r="AD6" s="35">
        <v>43.185207500299995</v>
      </c>
      <c r="AE6" s="35">
        <v>35.531951164600002</v>
      </c>
      <c r="AF6" s="35">
        <v>41.567747095199991</v>
      </c>
      <c r="AG6" s="35">
        <v>40.428672739999968</v>
      </c>
      <c r="AH6" s="35">
        <v>35.232458317999999</v>
      </c>
      <c r="AI6" s="35">
        <v>38.682632199999993</v>
      </c>
      <c r="AJ6" s="35">
        <v>35.877963109999996</v>
      </c>
      <c r="AK6" s="30">
        <v>36.541598913000001</v>
      </c>
      <c r="AM6" s="140"/>
      <c r="AN6" s="140"/>
      <c r="AO6" s="140"/>
    </row>
    <row r="7" spans="24:41" x14ac:dyDescent="0.25">
      <c r="X7" s="33" t="s">
        <v>179</v>
      </c>
      <c r="Y7" s="33">
        <v>2020</v>
      </c>
      <c r="Z7" s="35">
        <v>46.286531138999983</v>
      </c>
      <c r="AA7" s="35">
        <v>27.059052421999997</v>
      </c>
      <c r="AB7" s="35">
        <v>30.9734761721</v>
      </c>
      <c r="AC7" s="35">
        <v>31.315166036000008</v>
      </c>
      <c r="AD7" s="35">
        <v>35.299459751999997</v>
      </c>
      <c r="AE7" s="35">
        <v>36.857106589000004</v>
      </c>
      <c r="AF7" s="35">
        <v>40.307092363999999</v>
      </c>
      <c r="AG7" s="35">
        <v>45.896043757999983</v>
      </c>
      <c r="AH7" s="35">
        <v>42.198566559999996</v>
      </c>
      <c r="AI7" s="35">
        <v>38.572012273300004</v>
      </c>
      <c r="AJ7" s="35">
        <v>40.995729459800003</v>
      </c>
      <c r="AK7" s="30">
        <v>30.132281592100004</v>
      </c>
      <c r="AM7" s="29"/>
      <c r="AN7" s="140"/>
      <c r="AO7" s="140"/>
    </row>
    <row r="8" spans="24:41" x14ac:dyDescent="0.25">
      <c r="X8" s="33" t="s">
        <v>179</v>
      </c>
      <c r="Y8" s="33">
        <v>2021</v>
      </c>
      <c r="Z8" s="35">
        <v>36.188217527999988</v>
      </c>
      <c r="AA8" s="35">
        <v>26.500213594000002</v>
      </c>
      <c r="AB8" s="35">
        <v>33.510164059999994</v>
      </c>
      <c r="AC8" s="35">
        <v>40.647690953200005</v>
      </c>
      <c r="AD8" s="35">
        <v>40.901139038300002</v>
      </c>
      <c r="AE8" s="35">
        <v>38.234656273999995</v>
      </c>
      <c r="AF8" s="35">
        <v>36.475415379999987</v>
      </c>
      <c r="AG8" s="35">
        <v>37.119260229999988</v>
      </c>
      <c r="AH8" s="35">
        <v>35.46951836689999</v>
      </c>
      <c r="AI8" s="35">
        <v>38.228549748399992</v>
      </c>
      <c r="AJ8" s="141">
        <v>42.417588961999989</v>
      </c>
      <c r="AK8" s="30">
        <v>42.492720380199991</v>
      </c>
      <c r="AM8" s="171"/>
      <c r="AN8" s="171"/>
      <c r="AO8" s="141"/>
    </row>
    <row r="9" spans="24:41" x14ac:dyDescent="0.25">
      <c r="X9" s="33" t="s">
        <v>179</v>
      </c>
      <c r="Y9" s="33">
        <v>2022</v>
      </c>
      <c r="Z9" s="35">
        <v>34.224779176200002</v>
      </c>
      <c r="AA9" s="35">
        <v>26.722582182199993</v>
      </c>
      <c r="AB9" s="35">
        <v>35.306282281999998</v>
      </c>
      <c r="AC9" s="35">
        <v>33.124814929999999</v>
      </c>
      <c r="AD9" s="35">
        <v>41.7108329</v>
      </c>
      <c r="AE9" s="35">
        <v>47.442593983999991</v>
      </c>
      <c r="AF9" s="35">
        <v>42.969696545999987</v>
      </c>
      <c r="AG9" s="35">
        <v>46.651159084100001</v>
      </c>
      <c r="AH9" s="35">
        <v>35.758780219999998</v>
      </c>
      <c r="AI9" s="35">
        <v>33.498006890000006</v>
      </c>
      <c r="AJ9" s="141">
        <v>35.103470126000005</v>
      </c>
      <c r="AK9" s="30">
        <v>31.147296999999995</v>
      </c>
      <c r="AM9" s="171"/>
      <c r="AN9" s="171"/>
      <c r="AO9" s="141"/>
    </row>
    <row r="10" spans="24:41" x14ac:dyDescent="0.25">
      <c r="AM10" s="141"/>
    </row>
    <row r="11" spans="24:41" x14ac:dyDescent="0.25">
      <c r="X11" s="33" t="s">
        <v>93</v>
      </c>
      <c r="Y11" s="33">
        <v>2015</v>
      </c>
      <c r="Z11" s="34">
        <v>123.25140430999902</v>
      </c>
      <c r="AA11" s="34">
        <v>83.256938870000084</v>
      </c>
      <c r="AB11" s="35">
        <v>97.751259049999589</v>
      </c>
      <c r="AC11" s="35">
        <v>120.0889139099995</v>
      </c>
      <c r="AD11" s="35">
        <v>106.12081145999993</v>
      </c>
      <c r="AE11" s="35">
        <v>118.89505177999959</v>
      </c>
      <c r="AF11" s="35">
        <v>152.47313661999991</v>
      </c>
      <c r="AG11" s="35">
        <v>121.47650334999949</v>
      </c>
      <c r="AH11" s="35">
        <v>142.14494153999883</v>
      </c>
      <c r="AI11" s="35">
        <v>137.05217028999925</v>
      </c>
      <c r="AJ11" s="35">
        <v>124.26419888999962</v>
      </c>
      <c r="AK11" s="35">
        <v>116.6003042199997</v>
      </c>
      <c r="AM11" s="141"/>
    </row>
    <row r="12" spans="24:41" x14ac:dyDescent="0.25">
      <c r="X12" s="33" t="s">
        <v>93</v>
      </c>
      <c r="Y12" s="33">
        <v>2016</v>
      </c>
      <c r="Z12" s="35">
        <v>112.48470791</v>
      </c>
      <c r="AA12" s="35">
        <v>79.543988720000002</v>
      </c>
      <c r="AB12" s="35">
        <v>102.96589181</v>
      </c>
      <c r="AC12" s="35">
        <v>112.81199322000001</v>
      </c>
      <c r="AD12" s="35">
        <v>134.05393566999987</v>
      </c>
      <c r="AE12" s="35">
        <v>117.32233557000002</v>
      </c>
      <c r="AF12" s="35">
        <v>137.58070494000023</v>
      </c>
      <c r="AG12" s="35">
        <v>134.1769355600002</v>
      </c>
      <c r="AH12" s="35">
        <v>118.92014871000011</v>
      </c>
      <c r="AI12" s="35">
        <v>125.01281818999996</v>
      </c>
      <c r="AJ12" s="35">
        <v>130.12666156000009</v>
      </c>
      <c r="AK12" s="35">
        <v>122.48152439999986</v>
      </c>
    </row>
    <row r="13" spans="24:41" x14ac:dyDescent="0.25">
      <c r="X13" s="33" t="s">
        <v>93</v>
      </c>
      <c r="Y13" s="33">
        <v>2017</v>
      </c>
      <c r="Z13" s="35">
        <v>129.07611224999999</v>
      </c>
      <c r="AA13" s="35">
        <v>86.463323619999969</v>
      </c>
      <c r="AB13" s="35">
        <v>109.21013975000001</v>
      </c>
      <c r="AC13" s="35">
        <v>104.72312508</v>
      </c>
      <c r="AD13" s="35">
        <v>134.77716662</v>
      </c>
      <c r="AE13" s="35">
        <v>115.48450059999999</v>
      </c>
      <c r="AF13" s="35">
        <v>145.91260536000001</v>
      </c>
      <c r="AG13" s="35">
        <v>151.76711933999999</v>
      </c>
      <c r="AH13" s="35">
        <v>127.22659048999999</v>
      </c>
      <c r="AI13" s="35">
        <v>149.92767350999998</v>
      </c>
      <c r="AJ13" s="35">
        <v>148.21174729000001</v>
      </c>
      <c r="AK13" s="35">
        <v>117.457036</v>
      </c>
    </row>
    <row r="14" spans="24:41" x14ac:dyDescent="0.25">
      <c r="X14" s="33" t="s">
        <v>93</v>
      </c>
      <c r="Y14" s="33">
        <v>2018</v>
      </c>
      <c r="Z14" s="35">
        <v>135.10198268000002</v>
      </c>
      <c r="AA14" s="35">
        <v>96.207256610000002</v>
      </c>
      <c r="AB14" s="35">
        <v>110.57148223999999</v>
      </c>
      <c r="AC14" s="35">
        <v>119.68703724</v>
      </c>
      <c r="AD14" s="35">
        <v>125.61629812999999</v>
      </c>
      <c r="AE14" s="35">
        <v>121.42985643999999</v>
      </c>
      <c r="AF14" s="35">
        <v>144.56778700999999</v>
      </c>
      <c r="AG14" s="35">
        <v>162.99841541999999</v>
      </c>
      <c r="AH14" s="35">
        <v>92.92487281999999</v>
      </c>
      <c r="AI14" s="35">
        <v>147.9696802</v>
      </c>
      <c r="AJ14" s="35">
        <v>138.99379403999998</v>
      </c>
      <c r="AK14" s="30">
        <v>111.87502506</v>
      </c>
    </row>
    <row r="15" spans="24:41" x14ac:dyDescent="0.25">
      <c r="X15" s="33" t="s">
        <v>93</v>
      </c>
      <c r="Y15" s="33">
        <v>2019</v>
      </c>
      <c r="Z15" s="35">
        <v>137.17319391000007</v>
      </c>
      <c r="AA15" s="35">
        <v>80.893906529999995</v>
      </c>
      <c r="AB15" s="35">
        <v>106.44436442</v>
      </c>
      <c r="AC15" s="35">
        <v>118.04222776</v>
      </c>
      <c r="AD15" s="35">
        <v>139.47221017999993</v>
      </c>
      <c r="AE15" s="35">
        <v>120.06454914999992</v>
      </c>
      <c r="AF15" s="35">
        <v>147.54996655000011</v>
      </c>
      <c r="AG15" s="35">
        <v>134.10636505000002</v>
      </c>
      <c r="AH15" s="35">
        <v>106.82647494000004</v>
      </c>
      <c r="AI15" s="35">
        <v>119.44239338999996</v>
      </c>
      <c r="AJ15" s="35">
        <v>113.06739105999986</v>
      </c>
      <c r="AK15" s="30">
        <v>121.95716122999993</v>
      </c>
    </row>
    <row r="16" spans="24:41" x14ac:dyDescent="0.25">
      <c r="X16" s="33" t="s">
        <v>93</v>
      </c>
      <c r="Y16" s="33">
        <v>2020</v>
      </c>
      <c r="Z16" s="35">
        <v>148.84024203999996</v>
      </c>
      <c r="AA16" s="35">
        <v>86.149106549999928</v>
      </c>
      <c r="AB16" s="35">
        <v>92.933572240000117</v>
      </c>
      <c r="AC16" s="35">
        <v>92.610893879999978</v>
      </c>
      <c r="AD16" s="35">
        <v>109.11765342999988</v>
      </c>
      <c r="AE16" s="35">
        <v>109.38166709000014</v>
      </c>
      <c r="AF16" s="35">
        <v>129.75182523000004</v>
      </c>
      <c r="AG16" s="35">
        <v>151.1459449100002</v>
      </c>
      <c r="AH16" s="35">
        <v>129.85000419000002</v>
      </c>
      <c r="AI16" s="35">
        <v>121.01523300999997</v>
      </c>
      <c r="AJ16" s="35">
        <v>130.92315162000003</v>
      </c>
      <c r="AK16" s="30">
        <v>92.176386789999839</v>
      </c>
      <c r="AM16" s="141"/>
      <c r="AN16" s="141"/>
      <c r="AO16" s="141"/>
    </row>
    <row r="17" spans="24:37" x14ac:dyDescent="0.25">
      <c r="X17" s="33" t="s">
        <v>93</v>
      </c>
      <c r="Y17" s="33">
        <v>2021</v>
      </c>
      <c r="Z17" s="35">
        <v>123.96358521999989</v>
      </c>
      <c r="AA17" s="35">
        <v>88.567648300000201</v>
      </c>
      <c r="AB17" s="35">
        <v>113.43742796000001</v>
      </c>
      <c r="AC17" s="35">
        <v>131.79903696999986</v>
      </c>
      <c r="AD17" s="35">
        <v>135.01716335999981</v>
      </c>
      <c r="AE17" s="34">
        <v>135.89779417999998</v>
      </c>
      <c r="AF17" s="34">
        <v>128.20914245999992</v>
      </c>
      <c r="AG17" s="34">
        <v>128.69093210999992</v>
      </c>
      <c r="AH17" s="34">
        <v>124.00225447999995</v>
      </c>
      <c r="AI17" s="34">
        <v>122.74885842000009</v>
      </c>
      <c r="AJ17" s="34">
        <v>134.15769622999989</v>
      </c>
      <c r="AK17" s="34">
        <v>139.06249076000003</v>
      </c>
    </row>
    <row r="18" spans="24:37" x14ac:dyDescent="0.25">
      <c r="X18" s="33" t="s">
        <v>93</v>
      </c>
      <c r="Y18" s="33">
        <v>2022</v>
      </c>
      <c r="Z18" s="35">
        <v>111.83098552000004</v>
      </c>
      <c r="AA18" s="171">
        <v>90.314870030000179</v>
      </c>
      <c r="AB18" s="35">
        <v>117.75252244999993</v>
      </c>
      <c r="AC18" s="35">
        <v>109.86793983000007</v>
      </c>
      <c r="AD18" s="35">
        <v>136.76232897999969</v>
      </c>
      <c r="AE18" s="34">
        <v>158.98308953999958</v>
      </c>
      <c r="AF18" s="34">
        <v>137.99545454999978</v>
      </c>
      <c r="AG18" s="34">
        <v>152.08641545000009</v>
      </c>
      <c r="AH18" s="34">
        <v>116.58665430999989</v>
      </c>
      <c r="AI18" s="34">
        <v>108.65476733000001</v>
      </c>
      <c r="AJ18" s="34">
        <v>115.22389479</v>
      </c>
      <c r="AK18" s="34">
        <v>103.22717089999993</v>
      </c>
    </row>
    <row r="20" spans="24:37" x14ac:dyDescent="0.25">
      <c r="X20" s="33" t="s">
        <v>180</v>
      </c>
      <c r="Y20" s="33"/>
      <c r="AA20" s="33"/>
      <c r="AB20" s="33"/>
      <c r="AC20" s="33"/>
      <c r="AD20" s="33"/>
      <c r="AE20" s="33"/>
      <c r="AF20" s="33"/>
      <c r="AG20" s="33"/>
      <c r="AH20" s="33"/>
      <c r="AI20" s="34"/>
      <c r="AJ20" s="34"/>
      <c r="AK20" s="33"/>
    </row>
    <row r="21" spans="24:37" x14ac:dyDescent="0.25">
      <c r="X21" s="34"/>
      <c r="Y21" s="33"/>
      <c r="Z21" s="33" t="s">
        <v>167</v>
      </c>
      <c r="AA21" s="33" t="s">
        <v>168</v>
      </c>
      <c r="AB21" s="33" t="s">
        <v>169</v>
      </c>
      <c r="AC21" s="33" t="s">
        <v>170</v>
      </c>
      <c r="AD21" s="33" t="s">
        <v>171</v>
      </c>
      <c r="AE21" s="33" t="s">
        <v>172</v>
      </c>
      <c r="AF21" s="33" t="s">
        <v>173</v>
      </c>
      <c r="AG21" s="33" t="s">
        <v>174</v>
      </c>
      <c r="AH21" s="33" t="s">
        <v>175</v>
      </c>
      <c r="AI21" s="33" t="s">
        <v>176</v>
      </c>
      <c r="AJ21" s="33" t="s">
        <v>177</v>
      </c>
      <c r="AK21" s="33" t="s">
        <v>178</v>
      </c>
    </row>
    <row r="22" spans="24:37" x14ac:dyDescent="0.25">
      <c r="X22" s="36"/>
      <c r="Y22" s="33">
        <v>2015</v>
      </c>
      <c r="Z22" s="36">
        <f t="shared" ref="Z22:AK22" si="0">Z11/Z2</f>
        <v>3.5310658217500004</v>
      </c>
      <c r="AA22" s="36">
        <f t="shared" si="0"/>
        <v>3.2800629206646521</v>
      </c>
      <c r="AB22" s="36">
        <f t="shared" si="0"/>
        <v>3.3592786221362023</v>
      </c>
      <c r="AC22" s="36">
        <f t="shared" si="0"/>
        <v>3.1661779400032528</v>
      </c>
      <c r="AD22" s="36">
        <f t="shared" si="0"/>
        <v>3.2591927972547157</v>
      </c>
      <c r="AE22" s="36">
        <f t="shared" si="0"/>
        <v>3.1922238234780118</v>
      </c>
      <c r="AF22" s="36">
        <f t="shared" si="0"/>
        <v>3.2674094122438277</v>
      </c>
      <c r="AG22" s="36">
        <f t="shared" si="0"/>
        <v>3.176633695817932</v>
      </c>
      <c r="AH22" s="36">
        <f t="shared" si="0"/>
        <v>3.7075456834651175</v>
      </c>
      <c r="AI22" s="36">
        <f t="shared" si="0"/>
        <v>3.2364219417214217</v>
      </c>
      <c r="AJ22" s="36">
        <f t="shared" si="0"/>
        <v>3.1947822169882771</v>
      </c>
      <c r="AK22" s="36">
        <f t="shared" si="0"/>
        <v>3.2256980910890691</v>
      </c>
    </row>
    <row r="23" spans="24:37" x14ac:dyDescent="0.25">
      <c r="X23" s="37"/>
      <c r="Y23" s="33">
        <v>2016</v>
      </c>
      <c r="Z23" s="36">
        <f t="shared" ref="Z23:AK23" si="1">Z12/Z3</f>
        <v>3.2321882264067376</v>
      </c>
      <c r="AA23" s="36">
        <f t="shared" si="1"/>
        <v>3.042934514564934</v>
      </c>
      <c r="AB23" s="36">
        <f t="shared" si="1"/>
        <v>3.1307812665216965</v>
      </c>
      <c r="AC23" s="36">
        <f t="shared" si="1"/>
        <v>3.1353945202440432</v>
      </c>
      <c r="AD23" s="36">
        <f t="shared" si="1"/>
        <v>3.1533143810508522</v>
      </c>
      <c r="AE23" s="36">
        <f t="shared" si="1"/>
        <v>3.0784054779603354</v>
      </c>
      <c r="AF23" s="36">
        <f t="shared" si="1"/>
        <v>3.2042251558699935</v>
      </c>
      <c r="AG23" s="36">
        <f t="shared" si="1"/>
        <v>3.2420012009036734</v>
      </c>
      <c r="AH23" s="36">
        <f t="shared" si="1"/>
        <v>3.1418712993128017</v>
      </c>
      <c r="AI23" s="36">
        <f t="shared" si="1"/>
        <v>3.1466144147778459</v>
      </c>
      <c r="AJ23" s="36">
        <f t="shared" si="1"/>
        <v>3.1641445242683335</v>
      </c>
      <c r="AK23" s="36">
        <f t="shared" si="1"/>
        <v>3.2571240128856944</v>
      </c>
    </row>
    <row r="24" spans="24:37" x14ac:dyDescent="0.25">
      <c r="X24" s="31"/>
      <c r="Y24" s="33">
        <v>2017</v>
      </c>
      <c r="Z24" s="36">
        <f t="shared" ref="Z24:AK24" si="2">Z13/Z4</f>
        <v>3.1154486961851551</v>
      </c>
      <c r="AA24" s="36">
        <f t="shared" si="2"/>
        <v>3.2516882117017301</v>
      </c>
      <c r="AB24" s="36">
        <f t="shared" si="2"/>
        <v>3.1348756407602409</v>
      </c>
      <c r="AC24" s="36">
        <f t="shared" si="2"/>
        <v>3.0227184124834787</v>
      </c>
      <c r="AD24" s="36">
        <f t="shared" si="2"/>
        <v>3.0403994443802298</v>
      </c>
      <c r="AE24" s="36">
        <f t="shared" si="2"/>
        <v>3.0634754312506582</v>
      </c>
      <c r="AF24" s="36">
        <f t="shared" si="2"/>
        <v>3.2626062863622449</v>
      </c>
      <c r="AG24" s="36">
        <f t="shared" si="2"/>
        <v>3.3575437415926443</v>
      </c>
      <c r="AH24" s="36">
        <f t="shared" si="2"/>
        <v>3.1846302021551294</v>
      </c>
      <c r="AI24" s="36">
        <f t="shared" si="2"/>
        <v>3.278994434170198</v>
      </c>
      <c r="AJ24" s="36">
        <f t="shared" si="2"/>
        <v>3.2684940924044494</v>
      </c>
      <c r="AK24" s="36">
        <f t="shared" si="2"/>
        <v>3.1987673404088275</v>
      </c>
    </row>
    <row r="25" spans="24:37" x14ac:dyDescent="0.25">
      <c r="X25" s="32"/>
      <c r="Y25" s="33">
        <v>2018</v>
      </c>
      <c r="Z25" s="36">
        <f t="shared" ref="Z25:AK25" si="3">Z14/Z5</f>
        <v>3.2921421979987202</v>
      </c>
      <c r="AA25" s="36">
        <f t="shared" si="3"/>
        <v>3.4244249029125777</v>
      </c>
      <c r="AB25" s="36">
        <f t="shared" si="3"/>
        <v>3.3543225794025</v>
      </c>
      <c r="AC25" s="36">
        <f t="shared" si="3"/>
        <v>3.3374310857258629</v>
      </c>
      <c r="AD25" s="36">
        <f t="shared" si="3"/>
        <v>3.2746595936327312</v>
      </c>
      <c r="AE25" s="36">
        <f t="shared" si="3"/>
        <v>3.2062155346749974</v>
      </c>
      <c r="AF25" s="36">
        <f t="shared" si="3"/>
        <v>3.4284051539545586</v>
      </c>
      <c r="AG25" s="36">
        <f t="shared" si="3"/>
        <v>3.505741742696749</v>
      </c>
      <c r="AH25" s="36">
        <f t="shared" si="3"/>
        <v>3.204151758954505</v>
      </c>
      <c r="AI25" s="36">
        <f t="shared" si="3"/>
        <v>3.2126011087423252</v>
      </c>
      <c r="AJ25" s="36">
        <f t="shared" si="3"/>
        <v>3.1659021991579368</v>
      </c>
      <c r="AK25" s="36">
        <f t="shared" si="3"/>
        <v>3.2132930732645151</v>
      </c>
    </row>
    <row r="26" spans="24:37" x14ac:dyDescent="0.25">
      <c r="X26" s="33"/>
      <c r="Y26" s="33">
        <v>2019</v>
      </c>
      <c r="Z26" s="36">
        <f t="shared" ref="Z26:AK26" si="4">Z15/Z6</f>
        <v>3.258657583254696</v>
      </c>
      <c r="AA26" s="36">
        <f t="shared" si="4"/>
        <v>3.2136107078161968</v>
      </c>
      <c r="AB26" s="36">
        <f t="shared" si="4"/>
        <v>3.1960311024172259</v>
      </c>
      <c r="AC26" s="36">
        <f t="shared" si="4"/>
        <v>3.2447136844475035</v>
      </c>
      <c r="AD26" s="36">
        <f t="shared" si="4"/>
        <v>3.2296292701391112</v>
      </c>
      <c r="AE26" s="36">
        <f t="shared" si="4"/>
        <v>3.379058712363046</v>
      </c>
      <c r="AF26" s="36">
        <f t="shared" si="4"/>
        <v>3.5496262573979704</v>
      </c>
      <c r="AG26" s="36">
        <f t="shared" si="4"/>
        <v>3.3171102576740226</v>
      </c>
      <c r="AH26" s="36">
        <f t="shared" si="4"/>
        <v>3.0320471531054984</v>
      </c>
      <c r="AI26" s="36">
        <f t="shared" si="4"/>
        <v>3.0877524769371818</v>
      </c>
      <c r="AJ26" s="36">
        <f t="shared" si="4"/>
        <v>3.1514439856393475</v>
      </c>
      <c r="AK26" s="36">
        <f t="shared" si="4"/>
        <v>3.337488365529965</v>
      </c>
    </row>
    <row r="27" spans="24:37" x14ac:dyDescent="0.25">
      <c r="X27" s="33"/>
      <c r="Y27" s="33">
        <v>2020</v>
      </c>
      <c r="Z27" s="36">
        <f t="shared" ref="Z27:AK27" si="5">Z16/Z7</f>
        <v>3.2156274920025396</v>
      </c>
      <c r="AA27" s="36">
        <f t="shared" si="5"/>
        <v>3.1837443974925583</v>
      </c>
      <c r="AB27" s="36">
        <f t="shared" si="5"/>
        <v>3.0004243541676461</v>
      </c>
      <c r="AC27" s="36">
        <f t="shared" si="5"/>
        <v>2.9573815375442756</v>
      </c>
      <c r="AD27" s="36">
        <f t="shared" si="5"/>
        <v>3.091198964420907</v>
      </c>
      <c r="AE27" s="36">
        <f t="shared" si="5"/>
        <v>2.9677225700252086</v>
      </c>
      <c r="AF27" s="36">
        <f t="shared" si="5"/>
        <v>3.2190817451741318</v>
      </c>
      <c r="AG27" s="36">
        <f t="shared" si="5"/>
        <v>3.2932238278959383</v>
      </c>
      <c r="AH27" s="36">
        <f t="shared" si="5"/>
        <v>3.0771188401713339</v>
      </c>
      <c r="AI27" s="36">
        <f t="shared" si="5"/>
        <v>3.1373844888504334</v>
      </c>
      <c r="AJ27" s="36">
        <f t="shared" si="5"/>
        <v>3.193580242263574</v>
      </c>
      <c r="AK27" s="36">
        <f t="shared" si="5"/>
        <v>3.0590576590843486</v>
      </c>
    </row>
    <row r="28" spans="24:37" x14ac:dyDescent="0.25">
      <c r="X28" s="33"/>
      <c r="Y28" s="33">
        <v>2021</v>
      </c>
      <c r="Z28" s="36">
        <f t="shared" ref="Z28:AK28" si="6">Z17/Z8</f>
        <v>3.4255233799256697</v>
      </c>
      <c r="AA28" s="36">
        <f t="shared" si="6"/>
        <v>3.3421484693260393</v>
      </c>
      <c r="AB28" s="36">
        <f t="shared" si="6"/>
        <v>3.3851648042334301</v>
      </c>
      <c r="AC28" s="36">
        <f t="shared" si="6"/>
        <v>3.2424729149251696</v>
      </c>
      <c r="AD28" s="36">
        <f t="shared" si="6"/>
        <v>3.301061205986688</v>
      </c>
      <c r="AE28" s="36">
        <f t="shared" si="6"/>
        <v>3.554309294848089</v>
      </c>
      <c r="AF28" s="36">
        <f t="shared" si="6"/>
        <v>3.51494674219115</v>
      </c>
      <c r="AG28" s="36">
        <f t="shared" si="6"/>
        <v>3.4669584283899928</v>
      </c>
      <c r="AH28" s="36">
        <f t="shared" si="6"/>
        <v>3.4960230696483983</v>
      </c>
      <c r="AI28" s="36">
        <f t="shared" si="6"/>
        <v>3.210921136895537</v>
      </c>
      <c r="AJ28" s="36">
        <f t="shared" si="6"/>
        <v>3.162784578590399</v>
      </c>
      <c r="AK28" s="36">
        <f t="shared" si="6"/>
        <v>3.272619157252119</v>
      </c>
    </row>
    <row r="29" spans="24:37" x14ac:dyDescent="0.25">
      <c r="X29" s="33"/>
      <c r="Y29" s="33">
        <v>2022</v>
      </c>
      <c r="Z29" s="36">
        <f t="shared" ref="Z29:AK29" si="7">Z18/Z9</f>
        <v>3.2675443994615336</v>
      </c>
      <c r="AA29" s="36">
        <f t="shared" si="7"/>
        <v>3.3797209197155818</v>
      </c>
      <c r="AB29" s="36">
        <f t="shared" si="7"/>
        <v>3.3351719535203803</v>
      </c>
      <c r="AC29" s="36">
        <f t="shared" si="7"/>
        <v>3.3167865258168274</v>
      </c>
      <c r="AD29" s="36">
        <f t="shared" si="7"/>
        <v>3.2788203800169069</v>
      </c>
      <c r="AE29" s="36">
        <f t="shared" si="7"/>
        <v>3.3510623300575979</v>
      </c>
      <c r="AF29" s="36">
        <f t="shared" si="7"/>
        <v>3.2114598343107374</v>
      </c>
      <c r="AG29" s="36">
        <f t="shared" si="7"/>
        <v>3.2600779581023382</v>
      </c>
      <c r="AH29" s="36">
        <f t="shared" si="7"/>
        <v>3.2603644082018381</v>
      </c>
      <c r="AI29" s="36">
        <f t="shared" si="7"/>
        <v>3.2436188722152357</v>
      </c>
      <c r="AJ29" s="36">
        <f t="shared" si="7"/>
        <v>3.2824075333981693</v>
      </c>
      <c r="AK29" s="36">
        <f t="shared" si="7"/>
        <v>3.3141614471393761</v>
      </c>
    </row>
    <row r="30" spans="24:37" x14ac:dyDescent="0.25">
      <c r="X30" s="33"/>
      <c r="Y30" s="33"/>
      <c r="Z30" s="38"/>
      <c r="AA30" s="38"/>
      <c r="AB30" s="38"/>
      <c r="AC30" s="38"/>
      <c r="AD30" s="38"/>
      <c r="AE30" s="38"/>
      <c r="AF30" s="38"/>
      <c r="AG30" s="38"/>
      <c r="AH30" s="38"/>
      <c r="AI30" s="38"/>
      <c r="AJ30" s="38"/>
      <c r="AK30" s="38"/>
    </row>
    <row r="31" spans="24:37" x14ac:dyDescent="0.25">
      <c r="X31" s="33"/>
      <c r="Y31" s="33"/>
      <c r="Z31" s="38"/>
      <c r="AA31" s="38"/>
      <c r="AB31" s="38"/>
      <c r="AC31" s="38"/>
      <c r="AD31" s="38"/>
      <c r="AE31" s="38"/>
      <c r="AF31" s="38"/>
      <c r="AG31" s="38"/>
      <c r="AH31" s="38"/>
      <c r="AI31" s="38"/>
      <c r="AJ31" s="38"/>
      <c r="AK31" s="38"/>
    </row>
    <row r="32" spans="24:37" x14ac:dyDescent="0.25">
      <c r="X32" s="33"/>
      <c r="Y32" s="33"/>
      <c r="Z32" s="38"/>
      <c r="AA32" s="38"/>
      <c r="AB32" s="38"/>
      <c r="AC32" s="38"/>
      <c r="AD32" s="38"/>
      <c r="AE32" s="38"/>
      <c r="AF32" s="39"/>
      <c r="AG32" s="39"/>
      <c r="AH32" s="39"/>
      <c r="AI32" s="39"/>
      <c r="AJ32" s="39"/>
      <c r="AK32" s="39"/>
    </row>
  </sheetData>
  <phoneticPr fontId="58" type="noConversion"/>
  <pageMargins left="1" right="1" top="1" bottom="1" header="0.5" footer="0.5"/>
  <pageSetup scale="8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3.xml><?xml version="1.0" encoding="utf-8"?>
<ds:datastoreItem xmlns:ds="http://schemas.openxmlformats.org/officeDocument/2006/customXml" ds:itemID="{13740348-7E20-42AE-AD34-1C73E28B0282}">
  <ds:schemaRefs>
    <ds:schemaRef ds:uri="a2fa22f6-2e3f-4899-82d0-e885652e675f"/>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terms/"/>
    <ds:schemaRef ds:uri="http://www.w3.org/XML/1998/namespace"/>
    <ds:schemaRef ds:uri="54f587f2-d138-4ad9-a5b0-ff0a55a5348f"/>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20</vt:i4>
      </vt:variant>
    </vt:vector>
  </HeadingPairs>
  <TitlesOfParts>
    <vt:vector size="47" baseType="lpstr">
      <vt:lpstr>Portada</vt:lpstr>
      <vt:lpstr>Colofón</vt:lpstr>
      <vt:lpstr>Tabla de contenidos</vt:lpstr>
      <vt:lpstr>Comentarios</vt:lpstr>
      <vt:lpstr>Exportaciones</vt:lpstr>
      <vt:lpstr>Evol export</vt:lpstr>
      <vt:lpstr>expo anual rango precios</vt:lpstr>
      <vt:lpstr>Expo var DO</vt:lpstr>
      <vt:lpstr>Graficos vinos DO</vt:lpstr>
      <vt:lpstr>Gráficos vino DO org</vt:lpstr>
      <vt:lpstr>Gráficos vino granel</vt:lpstr>
      <vt:lpstr>Gráficos vino granel org</vt:lpstr>
      <vt:lpstr>Gráfico vino entre 2 y 10 lts</vt:lpstr>
      <vt:lpstr>Gráficos vino espumoso</vt:lpstr>
      <vt:lpstr>Gráficos vino espum org</vt:lpstr>
      <vt:lpstr>Expo vinos por mercado</vt:lpstr>
      <vt:lpstr>Valor granel exp</vt:lpstr>
      <vt:lpstr>Precio uva</vt:lpstr>
      <vt:lpstr>Precio vino Nac.</vt:lpstr>
      <vt:lpstr>Prod vino </vt:lpstr>
      <vt:lpstr>Evol. prod. vino DO por cepa</vt:lpstr>
      <vt:lpstr>Prod vino graf</vt:lpstr>
      <vt:lpstr>Existencias</vt:lpstr>
      <vt:lpstr>Sup plantada vides</vt:lpstr>
      <vt:lpstr>Sup plantada vides (2)</vt:lpstr>
      <vt:lpstr>Estadisticas</vt:lpstr>
      <vt:lpstr>Pisco x mercado</vt:lpstr>
      <vt:lpstr>Comentarios!Área_de_impresión</vt:lpstr>
      <vt:lpstr>'Evol export'!Área_de_impresión</vt:lpstr>
      <vt:lpstr>Existencias!Área_de_impresión</vt:lpstr>
      <vt:lpstr>'Gráfico vino entre 2 y 10 lts'!Área_de_impresión</vt:lpstr>
      <vt:lpstr>'Gráficos vino DO org'!Área_de_impresión</vt:lpstr>
      <vt:lpstr>'Gráficos vino espum org'!Área_de_impresión</vt:lpstr>
      <vt:lpstr>'Gráficos vino espumoso'!Área_de_impresión</vt:lpstr>
      <vt:lpstr>'Gráficos vino granel'!Área_de_impresión</vt:lpstr>
      <vt:lpstr>'Gráficos vino granel org'!Área_de_impresión</vt:lpstr>
      <vt:lpstr>'Graficos vinos DO'!Área_de_impresión</vt:lpstr>
      <vt:lpstr>'Prod vino graf'!Área_de_impresión</vt:lpstr>
      <vt:lpstr>'Valor granel exp'!Área_de_impresión</vt:lpstr>
      <vt:lpstr>'Evol export'!Print_Area</vt:lpstr>
      <vt:lpstr>Existencias!Print_Area</vt:lpstr>
      <vt:lpstr>Exportaciones!Print_Area</vt:lpstr>
      <vt:lpstr>'Gráfico vino entre 2 y 10 lts'!Print_Area</vt:lpstr>
      <vt:lpstr>'Gráficos vino espumoso'!Print_Area</vt:lpstr>
      <vt:lpstr>'Gráficos vino granel'!Print_Area</vt:lpstr>
      <vt:lpstr>'Graficos vinos DO'!Print_Area</vt:lpstr>
      <vt:lpstr>'Prod vino graf'!Print_Area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Carolina del Rosario Buzzetti Horta</cp:lastModifiedBy>
  <cp:revision/>
  <cp:lastPrinted>2023-01-17T17:42:57Z</cp:lastPrinted>
  <dcterms:created xsi:type="dcterms:W3CDTF">2020-01-07T17:53:19Z</dcterms:created>
  <dcterms:modified xsi:type="dcterms:W3CDTF">2023-01-20T14:32:35Z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