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9.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3.xml" ContentType="application/vnd.openxmlformats-officedocument.drawingml.chartshape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8.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19.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0.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21.xml" ContentType="application/vnd.openxmlformats-officedocument.drawingml.chartshapes+xml"/>
  <Override PartName="/xl/comments1.xml" ContentType="application/vnd.openxmlformats-officedocument.spreadsheetml.comments+xml"/>
  <Override PartName="/xl/threadedComments/threadedComment1.xml" ContentType="application/vnd.ms-excel.threadedcomments+xml"/>
  <Override PartName="/xl/drawings/drawing22.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3.xml" ContentType="application/vnd.openxmlformats-officedocument.drawingml.chartshap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autoCompressPictures="0" defaultThemeVersion="166925"/>
  <mc:AlternateContent xmlns:mc="http://schemas.openxmlformats.org/markup-compatibility/2006">
    <mc:Choice Requires="x15">
      <x15ac:absPath xmlns:x15ac="http://schemas.microsoft.com/office/spreadsheetml/2010/11/ac" url="https://odepa-my.sharepoint.com/personal/cbuzzetti_odepa_gob_cl/Documents/1 Vitivinicultura/Boletin/2022/"/>
    </mc:Choice>
  </mc:AlternateContent>
  <xr:revisionPtr revIDLastSave="148" documentId="8_{5DAC13D8-6F46-49D7-AAFA-E7BAFC828D7F}" xr6:coauthVersionLast="47" xr6:coauthVersionMax="47" xr10:uidLastSave="{19E51804-A9C4-4935-9424-9E8E85EBDB8B}"/>
  <bookViews>
    <workbookView xWindow="-120" yWindow="-120" windowWidth="20730" windowHeight="11160" xr2:uid="{00000000-000D-0000-FFFF-FFFF00000000}"/>
  </bookViews>
  <sheets>
    <sheet name="Portada" sheetId="1" r:id="rId1"/>
    <sheet name="Colofón" sheetId="2" r:id="rId2"/>
    <sheet name="Tabla de contenidos" sheetId="3" r:id="rId3"/>
    <sheet name="Comentarios" sheetId="4" r:id="rId4"/>
    <sheet name="Exportaciones" sheetId="5" r:id="rId5"/>
    <sheet name="Evol export" sheetId="6" r:id="rId6"/>
    <sheet name="expo anual rango precios" sheetId="7" r:id="rId7"/>
    <sheet name="Expo var DO" sheetId="8" r:id="rId8"/>
    <sheet name="Graficos vinos DO" sheetId="10" r:id="rId9"/>
    <sheet name="Gráficos vino granel" sheetId="11" r:id="rId10"/>
    <sheet name="Gráfico vino entre 2 y 10 lts" sheetId="12" r:id="rId11"/>
    <sheet name="Gráficos vino espumoso" sheetId="13" r:id="rId12"/>
    <sheet name="Expo vinos por mercado" sheetId="9" r:id="rId13"/>
    <sheet name="Valor granel exp" sheetId="28" r:id="rId14"/>
    <sheet name="Precio uva" sheetId="30" r:id="rId15"/>
    <sheet name="Precio vino Nac." sheetId="29" r:id="rId16"/>
    <sheet name="Prod vino " sheetId="21" r:id="rId17"/>
    <sheet name="Evol. prod. vino DO por cepa" sheetId="27" r:id="rId18"/>
    <sheet name="Prod vino graf" sheetId="22" r:id="rId19"/>
    <sheet name="Existencias" sheetId="19" r:id="rId20"/>
    <sheet name="Sup plantada vides" sheetId="23" r:id="rId21"/>
    <sheet name="Sup plantada vides (2)" sheetId="24" r:id="rId22"/>
    <sheet name="Estadisticas" sheetId="14" r:id="rId23"/>
    <sheet name="Precios comparativos" sheetId="25" r:id="rId24"/>
    <sheet name="Pisco x mercado" sheetId="20" r:id="rId25"/>
  </sheets>
  <definedNames>
    <definedName name="_xlnm.Print_Area" localSheetId="3">Comentarios!$A$1:$G$43</definedName>
    <definedName name="_xlnm.Print_Area" localSheetId="5">'Evol export'!$A$1:$G$110</definedName>
    <definedName name="_xlnm.Print_Area" localSheetId="19">Existencias!$A$1:$M$51</definedName>
    <definedName name="_xlnm.Print_Area" localSheetId="10">'Gráfico vino entre 2 y 10 lts'!$A$1:$G$47</definedName>
    <definedName name="_xlnm.Print_Area" localSheetId="11">'Gráficos vino espumoso'!$A$1:$G$47</definedName>
    <definedName name="_xlnm.Print_Area" localSheetId="9">'Gráficos vino granel'!$A$1:$G$47</definedName>
    <definedName name="_xlnm.Print_Area" localSheetId="8">'Graficos vinos DO'!$A$1:$H$51</definedName>
    <definedName name="_xlnm.Print_Area" localSheetId="23">'Precios comparativos'!$A$1:$G$44</definedName>
    <definedName name="_xlnm.Print_Area" localSheetId="18">'Prod vino graf'!$A$1:$G$45</definedName>
    <definedName name="_xlnm.Print_Area" localSheetId="13">'Valor granel exp'!$A$1:$I$49</definedName>
    <definedName name="Print_Area" localSheetId="5">'Evol export'!$A$1:$G$141</definedName>
    <definedName name="Print_Area" localSheetId="19">Existencias!$A$1:$M$68</definedName>
    <definedName name="Print_Area" localSheetId="4">Exportaciones!$A$28:$I$29</definedName>
    <definedName name="Print_Area" localSheetId="10">'Gráfico vino entre 2 y 10 lts'!$A$1:$G$47</definedName>
    <definedName name="Print_Area" localSheetId="11">'Gráficos vino espumoso'!$A$1:$G$47</definedName>
    <definedName name="Print_Area" localSheetId="9">'Gráficos vino granel'!$A$1:$G$47</definedName>
    <definedName name="Print_Area" localSheetId="8">'Graficos vinos DO'!$A$1:$I$52</definedName>
    <definedName name="Print_Area" localSheetId="23">'Precios comparativos'!$A$1:$G$42</definedName>
    <definedName name="Print_Area" localSheetId="18">'Prod vino graf'!$A$1:$G$45</definedName>
  </definedNames>
  <calcPr calcId="191028"/>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20" l="1"/>
  <c r="E8" i="20"/>
  <c r="E9" i="20"/>
  <c r="E10" i="20"/>
  <c r="E11" i="20"/>
  <c r="E12" i="20"/>
  <c r="E6" i="20"/>
  <c r="AI23" i="28"/>
  <c r="AJ23" i="28"/>
  <c r="AK23" i="28"/>
  <c r="AL23" i="28"/>
  <c r="AI22" i="28"/>
  <c r="AG23" i="28"/>
  <c r="AE23" i="28"/>
  <c r="AF23" i="28"/>
  <c r="AD23" i="28"/>
  <c r="X23" i="28"/>
  <c r="AA23" i="28"/>
  <c r="X31" i="13"/>
  <c r="Y26" i="12"/>
  <c r="Y31" i="11"/>
  <c r="AG29" i="10"/>
  <c r="AL21" i="28" l="1"/>
  <c r="AE22" i="28"/>
  <c r="AG22" i="28" s="1"/>
  <c r="AL22" i="28" s="1"/>
  <c r="AF22" i="28"/>
  <c r="AE21" i="28"/>
  <c r="AD22" i="28"/>
  <c r="X22" i="28"/>
  <c r="AA22" i="28"/>
  <c r="P12" i="22"/>
  <c r="P14" i="22"/>
  <c r="L15" i="27"/>
  <c r="L13" i="21" l="1"/>
  <c r="H17" i="21"/>
  <c r="E17" i="21"/>
  <c r="B17" i="21"/>
  <c r="W31" i="13"/>
  <c r="X26" i="12"/>
  <c r="X31" i="11"/>
  <c r="AF29" i="10"/>
  <c r="AL5" i="28" l="1"/>
  <c r="AL6" i="28"/>
  <c r="AL7" i="28"/>
  <c r="AL8" i="28"/>
  <c r="AL9" i="28"/>
  <c r="AL10" i="28"/>
  <c r="AL11" i="28"/>
  <c r="AL12" i="28"/>
  <c r="AL13" i="28"/>
  <c r="AL14" i="28"/>
  <c r="AL15" i="28"/>
  <c r="AL16" i="28"/>
  <c r="AL17" i="28"/>
  <c r="AL18" i="28"/>
  <c r="AL19" i="28"/>
  <c r="AL20" i="28"/>
  <c r="AL4" i="28"/>
  <c r="AG5" i="28"/>
  <c r="AG6" i="28"/>
  <c r="AG7" i="28"/>
  <c r="AG8" i="28"/>
  <c r="AG9" i="28"/>
  <c r="AG10" i="28"/>
  <c r="AG11" i="28"/>
  <c r="AG12" i="28"/>
  <c r="AG13" i="28"/>
  <c r="AG14" i="28"/>
  <c r="AG15" i="28"/>
  <c r="AG16" i="28"/>
  <c r="AG17" i="28"/>
  <c r="AG18" i="28"/>
  <c r="AG19" i="28"/>
  <c r="AG20" i="28"/>
  <c r="AG21" i="28"/>
  <c r="AF5" i="28"/>
  <c r="AF6" i="28"/>
  <c r="AF7" i="28"/>
  <c r="AF8" i="28"/>
  <c r="AF9" i="28"/>
  <c r="AF10" i="28"/>
  <c r="AF11" i="28"/>
  <c r="AF12" i="28"/>
  <c r="AF13" i="28"/>
  <c r="AF14" i="28"/>
  <c r="AF15" i="28"/>
  <c r="AF16" i="28"/>
  <c r="AF17" i="28"/>
  <c r="AF18" i="28"/>
  <c r="AF19" i="28"/>
  <c r="AF20" i="28"/>
  <c r="AF21" i="28"/>
  <c r="AE5" i="28"/>
  <c r="AE6" i="28"/>
  <c r="AE7" i="28"/>
  <c r="AE8" i="28"/>
  <c r="AE9" i="28"/>
  <c r="AE10" i="28"/>
  <c r="AE11" i="28"/>
  <c r="AE12" i="28"/>
  <c r="AE13" i="28"/>
  <c r="AE14" i="28"/>
  <c r="AE15" i="28"/>
  <c r="AE16" i="28"/>
  <c r="AE17" i="28"/>
  <c r="AE18" i="28"/>
  <c r="AE19" i="28"/>
  <c r="AE20" i="28"/>
  <c r="AG4" i="28"/>
  <c r="AF4" i="28"/>
  <c r="AE4" i="28"/>
  <c r="X66" i="25" l="1"/>
  <c r="X65" i="25"/>
  <c r="X64" i="25"/>
  <c r="X63" i="25"/>
  <c r="X62" i="25"/>
  <c r="V66" i="25"/>
  <c r="V65" i="25"/>
  <c r="V64" i="25"/>
  <c r="V63" i="25"/>
  <c r="V62" i="25"/>
  <c r="I7" i="20"/>
  <c r="I8" i="20"/>
  <c r="I9" i="20"/>
  <c r="I10" i="20"/>
  <c r="I11" i="20"/>
  <c r="I12" i="20"/>
  <c r="E7" i="20"/>
  <c r="E108" i="9"/>
  <c r="E109" i="9"/>
  <c r="E110" i="9"/>
  <c r="E111" i="9"/>
  <c r="E112" i="9"/>
  <c r="E113" i="9"/>
  <c r="E102" i="9"/>
  <c r="E103" i="9"/>
  <c r="E104" i="9"/>
  <c r="E105" i="9"/>
  <c r="E106" i="9"/>
  <c r="E107" i="9"/>
  <c r="I109" i="9"/>
  <c r="I108" i="9"/>
  <c r="I107" i="9"/>
  <c r="I105" i="9"/>
  <c r="I106" i="9"/>
  <c r="I110" i="9"/>
  <c r="G35" i="9"/>
  <c r="AJ22" i="28" l="1"/>
  <c r="AK22" i="28"/>
  <c r="AD21" i="28"/>
  <c r="AK21" i="28" s="1"/>
  <c r="X21" i="28"/>
  <c r="AI21" i="28" s="1"/>
  <c r="AA21" i="28"/>
  <c r="AJ21" i="28" s="1"/>
  <c r="V31" i="13"/>
  <c r="W26" i="12"/>
  <c r="W31" i="11"/>
  <c r="AE29" i="10"/>
  <c r="AD20" i="28" l="1"/>
  <c r="X20" i="28"/>
  <c r="AI20" i="28" s="1"/>
  <c r="AK20" i="28"/>
  <c r="B4" i="14" l="1"/>
  <c r="D4" i="14"/>
  <c r="E4" i="14"/>
  <c r="F4" i="14"/>
  <c r="G4" i="14"/>
  <c r="H4" i="14"/>
  <c r="I4" i="14"/>
  <c r="J4" i="14"/>
  <c r="K4" i="14"/>
  <c r="L4" i="14"/>
  <c r="M4" i="14"/>
  <c r="C4" i="14"/>
  <c r="C9" i="14"/>
  <c r="D9" i="14"/>
  <c r="E9" i="14"/>
  <c r="F9" i="14"/>
  <c r="G9" i="14"/>
  <c r="H9" i="14"/>
  <c r="I9" i="14"/>
  <c r="J9" i="14"/>
  <c r="K9" i="14"/>
  <c r="L9" i="14"/>
  <c r="M9" i="14"/>
  <c r="B9" i="14"/>
  <c r="C5" i="14"/>
  <c r="D5" i="14"/>
  <c r="E5" i="14"/>
  <c r="F5" i="14"/>
  <c r="G5" i="14"/>
  <c r="H5" i="14"/>
  <c r="I5" i="14"/>
  <c r="J5" i="14"/>
  <c r="K5" i="14"/>
  <c r="L5" i="14"/>
  <c r="M5" i="14"/>
  <c r="B5" i="14"/>
  <c r="F3" i="14" l="1"/>
  <c r="G3" i="14"/>
  <c r="H3" i="14"/>
  <c r="I3" i="14"/>
  <c r="J3" i="14"/>
  <c r="K3" i="14"/>
  <c r="L3" i="14"/>
  <c r="M3" i="14"/>
  <c r="E3" i="14"/>
  <c r="I14" i="20"/>
  <c r="I15" i="20"/>
  <c r="I16" i="20"/>
  <c r="I17" i="20"/>
  <c r="E14" i="20"/>
  <c r="E15" i="20"/>
  <c r="E16" i="20"/>
  <c r="E17" i="20"/>
  <c r="U31" i="13"/>
  <c r="V26" i="12"/>
  <c r="V31" i="11"/>
  <c r="AD29" i="10"/>
  <c r="J5" i="9" l="1"/>
  <c r="T31" i="13" l="1"/>
  <c r="U26" i="12"/>
  <c r="U31" i="11"/>
  <c r="AC29" i="10"/>
  <c r="E6" i="9"/>
  <c r="E7" i="9"/>
  <c r="E8" i="9"/>
  <c r="E9" i="9"/>
  <c r="E10" i="9"/>
  <c r="E11" i="9"/>
  <c r="E12" i="9"/>
  <c r="E13" i="9"/>
  <c r="E14" i="9"/>
  <c r="E15" i="9"/>
  <c r="E16" i="9"/>
  <c r="E17" i="9"/>
  <c r="E5" i="9"/>
  <c r="AD19" i="28" l="1"/>
  <c r="AK19" i="28" s="1"/>
  <c r="X19" i="28"/>
  <c r="AI19" i="28" s="1"/>
  <c r="AA19" i="28"/>
  <c r="AJ19" i="28" s="1"/>
  <c r="AA20" i="28"/>
  <c r="AJ20" i="28" s="1"/>
  <c r="M15" i="14" l="1"/>
  <c r="N57" i="29" l="1"/>
  <c r="N58" i="29"/>
  <c r="N59" i="29"/>
  <c r="N60" i="29"/>
  <c r="N56" i="29"/>
  <c r="N40" i="29"/>
  <c r="N41" i="29"/>
  <c r="N42" i="29"/>
  <c r="N43" i="29"/>
  <c r="N39" i="29"/>
  <c r="N23" i="29"/>
  <c r="N24" i="29"/>
  <c r="N25" i="29"/>
  <c r="N26" i="29"/>
  <c r="N22" i="29"/>
  <c r="N6" i="29"/>
  <c r="N7" i="29"/>
  <c r="N8" i="29"/>
  <c r="N9" i="29"/>
  <c r="N5" i="29"/>
  <c r="AK16" i="28"/>
  <c r="X16" i="28"/>
  <c r="AI16" i="28" s="1"/>
  <c r="AD5" i="28"/>
  <c r="AK5" i="28" s="1"/>
  <c r="AD6" i="28"/>
  <c r="AK6" i="28" s="1"/>
  <c r="AD7" i="28"/>
  <c r="AK7" i="28" s="1"/>
  <c r="AD8" i="28"/>
  <c r="AK8" i="28" s="1"/>
  <c r="AD9" i="28"/>
  <c r="AK9" i="28" s="1"/>
  <c r="AD10" i="28"/>
  <c r="AK10" i="28" s="1"/>
  <c r="AD11" i="28"/>
  <c r="AK11" i="28" s="1"/>
  <c r="AD12" i="28"/>
  <c r="AK12" i="28" s="1"/>
  <c r="AD13" i="28"/>
  <c r="AK13" i="28" s="1"/>
  <c r="AD14" i="28"/>
  <c r="AK14" i="28" s="1"/>
  <c r="AD15" i="28"/>
  <c r="AK15" i="28" s="1"/>
  <c r="AD16" i="28"/>
  <c r="AD17" i="28"/>
  <c r="AK17" i="28" s="1"/>
  <c r="AD18" i="28"/>
  <c r="AK18" i="28" s="1"/>
  <c r="AD4" i="28"/>
  <c r="AK4" i="28" s="1"/>
  <c r="X5" i="28"/>
  <c r="AI5" i="28" s="1"/>
  <c r="AA5" i="28"/>
  <c r="AJ5" i="28" s="1"/>
  <c r="AA6" i="28"/>
  <c r="AJ6" i="28" s="1"/>
  <c r="AA7" i="28"/>
  <c r="AJ7" i="28" s="1"/>
  <c r="AA8" i="28"/>
  <c r="AJ8" i="28" s="1"/>
  <c r="AA9" i="28"/>
  <c r="AJ9" i="28" s="1"/>
  <c r="AA10" i="28"/>
  <c r="AJ10" i="28" s="1"/>
  <c r="AA11" i="28"/>
  <c r="AJ11" i="28" s="1"/>
  <c r="AA12" i="28"/>
  <c r="AJ12" i="28" s="1"/>
  <c r="AA13" i="28"/>
  <c r="AJ13" i="28" s="1"/>
  <c r="AA14" i="28"/>
  <c r="AJ14" i="28" s="1"/>
  <c r="AA15" i="28"/>
  <c r="AJ15" i="28" s="1"/>
  <c r="AA16" i="28"/>
  <c r="AJ16" i="28" s="1"/>
  <c r="AA17" i="28"/>
  <c r="AJ17" i="28" s="1"/>
  <c r="AA18" i="28"/>
  <c r="AJ18" i="28" s="1"/>
  <c r="AA4" i="28"/>
  <c r="AJ4" i="28" s="1"/>
  <c r="X6" i="28"/>
  <c r="AI6" i="28" s="1"/>
  <c r="X7" i="28"/>
  <c r="AI7" i="28" s="1"/>
  <c r="X8" i="28"/>
  <c r="AI8" i="28" s="1"/>
  <c r="X9" i="28"/>
  <c r="AI9" i="28" s="1"/>
  <c r="X10" i="28"/>
  <c r="AI10" i="28" s="1"/>
  <c r="X11" i="28"/>
  <c r="AI11" i="28" s="1"/>
  <c r="X12" i="28"/>
  <c r="AI12" i="28" s="1"/>
  <c r="X13" i="28"/>
  <c r="AI13" i="28" s="1"/>
  <c r="X14" i="28"/>
  <c r="AI14" i="28" s="1"/>
  <c r="X15" i="28"/>
  <c r="AI15" i="28" s="1"/>
  <c r="X17" i="28"/>
  <c r="AI17" i="28" s="1"/>
  <c r="X18" i="28"/>
  <c r="AI18" i="28" s="1"/>
  <c r="X4" i="28"/>
  <c r="AI4" i="28" s="1"/>
  <c r="G3" i="20" l="1"/>
  <c r="S31" i="13"/>
  <c r="T26" i="12"/>
  <c r="T31" i="11"/>
  <c r="AB29" i="10"/>
  <c r="G67" i="9"/>
  <c r="G99" i="9"/>
  <c r="G3" i="9"/>
  <c r="J49" i="19" l="1"/>
  <c r="G50" i="19"/>
  <c r="D49" i="19"/>
  <c r="D50" i="19" s="1"/>
  <c r="C50" i="19"/>
  <c r="C49" i="19"/>
  <c r="C48" i="19"/>
  <c r="C47" i="19"/>
  <c r="C46" i="19"/>
  <c r="C45" i="19"/>
  <c r="C44" i="19"/>
  <c r="C43" i="19"/>
  <c r="C42" i="19"/>
  <c r="C41" i="19"/>
  <c r="C40" i="19"/>
  <c r="J6" i="20"/>
  <c r="D17" i="19"/>
  <c r="V26" i="19"/>
  <c r="V25" i="19"/>
  <c r="I17" i="19"/>
  <c r="H17" i="19"/>
  <c r="F17" i="19"/>
  <c r="E17" i="19"/>
  <c r="C17" i="19"/>
  <c r="B17" i="19"/>
  <c r="R31" i="13"/>
  <c r="S26" i="12"/>
  <c r="S31" i="11"/>
  <c r="AA29" i="10"/>
  <c r="J111" i="9" l="1"/>
  <c r="I111" i="9"/>
  <c r="J101" i="9"/>
  <c r="I103" i="9"/>
  <c r="J69" i="9"/>
  <c r="J44" i="9"/>
  <c r="I44" i="9"/>
  <c r="E44" i="9"/>
  <c r="G3" i="8"/>
  <c r="Q31" i="13" l="1"/>
  <c r="R26" i="12"/>
  <c r="R31" i="11"/>
  <c r="Z29" i="10"/>
  <c r="J106" i="9" l="1"/>
  <c r="I113" i="9"/>
  <c r="E101" i="9"/>
  <c r="I70" i="9"/>
  <c r="J72" i="9"/>
  <c r="J75" i="9"/>
  <c r="I73" i="9"/>
  <c r="I78" i="9"/>
  <c r="I75" i="9"/>
  <c r="I69" i="9"/>
  <c r="G5" i="7" l="1"/>
  <c r="J5" i="7"/>
  <c r="J4" i="7"/>
  <c r="P16" i="24" l="1"/>
  <c r="O16" i="24"/>
  <c r="J8" i="20"/>
  <c r="J5" i="20"/>
  <c r="L15" i="14" l="1"/>
  <c r="AB30" i="13" l="1"/>
  <c r="AC25" i="12"/>
  <c r="AC30" i="11"/>
  <c r="AK28" i="10"/>
  <c r="AJ28" i="10"/>
  <c r="J109" i="9" l="1"/>
  <c r="E71" i="9"/>
  <c r="J73" i="9"/>
  <c r="J70" i="9"/>
  <c r="I5" i="9" l="1"/>
  <c r="I47" i="9" l="1"/>
  <c r="J6" i="9" l="1"/>
  <c r="J8" i="9"/>
  <c r="J7" i="9"/>
  <c r="J9" i="9"/>
  <c r="J10" i="9"/>
  <c r="J11" i="9"/>
  <c r="J12" i="9"/>
  <c r="J13" i="9"/>
  <c r="J14" i="9"/>
  <c r="J15" i="9"/>
  <c r="J16" i="9"/>
  <c r="J17" i="9"/>
  <c r="I17" i="9"/>
  <c r="I16" i="9"/>
  <c r="I15" i="9"/>
  <c r="I14" i="9"/>
  <c r="I13" i="9"/>
  <c r="I12" i="9"/>
  <c r="I11" i="9"/>
  <c r="I10" i="9"/>
  <c r="I9" i="9"/>
  <c r="I8" i="9"/>
  <c r="I7" i="9"/>
  <c r="I6" i="9"/>
  <c r="AL12" i="6" l="1"/>
  <c r="D36" i="7" l="1"/>
  <c r="J8" i="7" l="1"/>
  <c r="J7" i="7"/>
  <c r="G7" i="7"/>
  <c r="G9" i="7"/>
  <c r="G8" i="7"/>
  <c r="G6" i="7"/>
  <c r="G4" i="7"/>
  <c r="D6" i="7"/>
  <c r="D9" i="7"/>
  <c r="D8" i="7"/>
  <c r="D7" i="7"/>
  <c r="D5" i="7"/>
  <c r="D4" i="7"/>
  <c r="AK6" i="6" l="1"/>
  <c r="AL27" i="6"/>
  <c r="AL32" i="6"/>
  <c r="AL22" i="6"/>
  <c r="AL17" i="6"/>
  <c r="AL6" i="6"/>
  <c r="AL5" i="6"/>
  <c r="AK5" i="6"/>
  <c r="AL7" i="6" l="1"/>
  <c r="AA30" i="13" l="1"/>
  <c r="AB25" i="12"/>
  <c r="AB30" i="11"/>
  <c r="E75" i="9" l="1"/>
  <c r="H16" i="24"/>
  <c r="B16" i="24"/>
  <c r="O15" i="24"/>
  <c r="N15" i="24"/>
  <c r="M15" i="24"/>
  <c r="L15" i="24"/>
  <c r="K15" i="24"/>
  <c r="J15" i="24"/>
  <c r="I15" i="24"/>
  <c r="H15" i="24"/>
  <c r="G15" i="24"/>
  <c r="F15" i="24"/>
  <c r="E15" i="24"/>
  <c r="D15" i="24"/>
  <c r="C15" i="24"/>
  <c r="B15" i="24"/>
  <c r="M34" i="23"/>
  <c r="L34" i="23"/>
  <c r="N28" i="23"/>
  <c r="N24" i="23"/>
  <c r="N22" i="23"/>
  <c r="N21" i="23"/>
  <c r="N20" i="23"/>
  <c r="N33" i="23"/>
  <c r="N32" i="23"/>
  <c r="N31" i="23"/>
  <c r="N30" i="23"/>
  <c r="N29" i="23"/>
  <c r="N27" i="23"/>
  <c r="N26" i="23"/>
  <c r="N25" i="23"/>
  <c r="N23" i="23"/>
  <c r="K25" i="23"/>
  <c r="K23" i="23"/>
  <c r="M7" i="23"/>
  <c r="N7" i="23"/>
  <c r="O7" i="23"/>
  <c r="Z30" i="13"/>
  <c r="AA25" i="12"/>
  <c r="AA30" i="11"/>
  <c r="AI28" i="10"/>
  <c r="AH28" i="10"/>
  <c r="N34" i="23" l="1"/>
  <c r="Y30" i="13" l="1"/>
  <c r="Z25" i="12"/>
  <c r="Z30" i="11"/>
  <c r="J77" i="9" l="1"/>
  <c r="X30" i="13" l="1"/>
  <c r="Y25" i="12"/>
  <c r="X25" i="12"/>
  <c r="AC23" i="12"/>
  <c r="Y30" i="11"/>
  <c r="AG28" i="10"/>
  <c r="AF28" i="10"/>
  <c r="I101" i="9" l="1"/>
  <c r="E69" i="9"/>
  <c r="W30" i="13" l="1"/>
  <c r="V30" i="13"/>
  <c r="W25" i="12"/>
  <c r="X30" i="11"/>
  <c r="W30" i="11"/>
  <c r="Z28" i="10"/>
  <c r="J103" i="9"/>
  <c r="I80" i="9"/>
  <c r="E76" i="9"/>
  <c r="F17" i="21" l="1"/>
  <c r="D6" i="21"/>
  <c r="K5" i="21"/>
  <c r="K6" i="21"/>
  <c r="K7" i="21"/>
  <c r="K8" i="21"/>
  <c r="K9" i="21"/>
  <c r="K10" i="21"/>
  <c r="K11" i="21"/>
  <c r="K12" i="21"/>
  <c r="K13" i="21"/>
  <c r="K14" i="21"/>
  <c r="K15" i="21"/>
  <c r="K16" i="21"/>
  <c r="K4" i="21"/>
  <c r="R30" i="13"/>
  <c r="S30" i="13"/>
  <c r="T30" i="13"/>
  <c r="U30" i="13"/>
  <c r="R24" i="13"/>
  <c r="S24" i="13"/>
  <c r="T24" i="13"/>
  <c r="U24" i="13"/>
  <c r="V24" i="13"/>
  <c r="W24" i="13"/>
  <c r="X24" i="13"/>
  <c r="Y24" i="13"/>
  <c r="Z24" i="13"/>
  <c r="AA24" i="13"/>
  <c r="AB24" i="13"/>
  <c r="R25" i="13"/>
  <c r="S25" i="13"/>
  <c r="T25" i="13"/>
  <c r="U25" i="13"/>
  <c r="V25" i="13"/>
  <c r="W25" i="13"/>
  <c r="X25" i="13"/>
  <c r="Y25" i="13"/>
  <c r="Z25" i="13"/>
  <c r="AA25" i="13"/>
  <c r="AB25" i="13"/>
  <c r="R26" i="13"/>
  <c r="S26" i="13"/>
  <c r="T26" i="13"/>
  <c r="U26" i="13"/>
  <c r="V26" i="13"/>
  <c r="W26" i="13"/>
  <c r="X26" i="13"/>
  <c r="Y26" i="13"/>
  <c r="Z26" i="13"/>
  <c r="AA26" i="13"/>
  <c r="AB26" i="13"/>
  <c r="R27" i="13"/>
  <c r="S27" i="13"/>
  <c r="T27" i="13"/>
  <c r="U27" i="13"/>
  <c r="V27" i="13"/>
  <c r="W27" i="13"/>
  <c r="X27" i="13"/>
  <c r="Y27" i="13"/>
  <c r="Z27" i="13"/>
  <c r="AA27" i="13"/>
  <c r="AB27" i="13"/>
  <c r="R28" i="13"/>
  <c r="S28" i="13"/>
  <c r="T28" i="13"/>
  <c r="U28" i="13"/>
  <c r="V28" i="13"/>
  <c r="W28" i="13"/>
  <c r="X28" i="13"/>
  <c r="Y28" i="13"/>
  <c r="Z28" i="13"/>
  <c r="AA28" i="13"/>
  <c r="AB28" i="13"/>
  <c r="R29" i="13"/>
  <c r="S29" i="13"/>
  <c r="T29" i="13"/>
  <c r="U29" i="13"/>
  <c r="V29" i="13"/>
  <c r="W29" i="13"/>
  <c r="X29" i="13"/>
  <c r="Y29" i="13"/>
  <c r="Z29" i="13"/>
  <c r="AA29" i="13"/>
  <c r="AB29" i="13"/>
  <c r="Q24" i="13"/>
  <c r="Q25" i="13"/>
  <c r="Q26" i="13"/>
  <c r="Q27" i="13"/>
  <c r="Q28" i="13"/>
  <c r="Q29" i="13"/>
  <c r="S25" i="12"/>
  <c r="T25" i="12"/>
  <c r="U25" i="12"/>
  <c r="V25" i="12"/>
  <c r="S23" i="12"/>
  <c r="T23" i="12"/>
  <c r="U23" i="12"/>
  <c r="V23" i="12"/>
  <c r="W23" i="12"/>
  <c r="X23" i="12"/>
  <c r="Y23" i="12"/>
  <c r="Z23" i="12"/>
  <c r="AA23" i="12"/>
  <c r="AB23" i="12"/>
  <c r="S24" i="12"/>
  <c r="T24" i="12"/>
  <c r="U24" i="12"/>
  <c r="V24" i="12"/>
  <c r="W24" i="12"/>
  <c r="X24" i="12"/>
  <c r="Y24" i="12"/>
  <c r="Z24" i="12"/>
  <c r="AA24" i="12"/>
  <c r="AB24" i="12"/>
  <c r="AC24" i="12"/>
  <c r="S22" i="12"/>
  <c r="T22" i="12"/>
  <c r="U22" i="12"/>
  <c r="V22" i="12"/>
  <c r="W22" i="12"/>
  <c r="X22" i="12"/>
  <c r="Y22" i="12"/>
  <c r="Z22" i="12"/>
  <c r="AA22" i="12"/>
  <c r="AB22" i="12"/>
  <c r="AC22" i="12"/>
  <c r="S21" i="12"/>
  <c r="T21" i="12"/>
  <c r="U21" i="12"/>
  <c r="V21" i="12"/>
  <c r="W21" i="12"/>
  <c r="X21" i="12"/>
  <c r="Y21" i="12"/>
  <c r="Z21" i="12"/>
  <c r="AA21" i="12"/>
  <c r="AB21" i="12"/>
  <c r="AC21" i="12"/>
  <c r="R21" i="12"/>
  <c r="R22" i="12"/>
  <c r="R23" i="12"/>
  <c r="R24" i="12"/>
  <c r="S30" i="11"/>
  <c r="T30" i="11"/>
  <c r="U30" i="11"/>
  <c r="V30" i="11"/>
  <c r="S25" i="11"/>
  <c r="T25" i="11"/>
  <c r="U25" i="11"/>
  <c r="V25" i="11"/>
  <c r="W25" i="11"/>
  <c r="X25" i="11"/>
  <c r="Y25" i="11"/>
  <c r="Z25" i="11"/>
  <c r="AA25" i="11"/>
  <c r="AB25" i="11"/>
  <c r="AC25" i="11"/>
  <c r="S26" i="11"/>
  <c r="T26" i="11"/>
  <c r="U26" i="11"/>
  <c r="V26" i="11"/>
  <c r="W26" i="11"/>
  <c r="X26" i="11"/>
  <c r="Y26" i="11"/>
  <c r="Z26" i="11"/>
  <c r="AA26" i="11"/>
  <c r="AB26" i="11"/>
  <c r="AC26" i="11"/>
  <c r="S27" i="11"/>
  <c r="T27" i="11"/>
  <c r="U27" i="11"/>
  <c r="V27" i="11"/>
  <c r="W27" i="11"/>
  <c r="X27" i="11"/>
  <c r="Y27" i="11"/>
  <c r="Z27" i="11"/>
  <c r="AA27" i="11"/>
  <c r="AB27" i="11"/>
  <c r="AC27" i="11"/>
  <c r="S28" i="11"/>
  <c r="T28" i="11"/>
  <c r="U28" i="11"/>
  <c r="V28" i="11"/>
  <c r="W28" i="11"/>
  <c r="X28" i="11"/>
  <c r="Y28" i="11"/>
  <c r="Z28" i="11"/>
  <c r="AA28" i="11"/>
  <c r="AB28" i="11"/>
  <c r="AC28" i="11"/>
  <c r="S29" i="11"/>
  <c r="T29" i="11"/>
  <c r="U29" i="11"/>
  <c r="V29" i="11"/>
  <c r="W29" i="11"/>
  <c r="X29" i="11"/>
  <c r="Y29" i="11"/>
  <c r="Z29" i="11"/>
  <c r="AA29" i="11"/>
  <c r="AB29" i="11"/>
  <c r="AC29" i="11"/>
  <c r="T24" i="11"/>
  <c r="U24" i="11"/>
  <c r="V24" i="11"/>
  <c r="W24" i="11"/>
  <c r="X24" i="11"/>
  <c r="Y24" i="11"/>
  <c r="Z24" i="11"/>
  <c r="AA24" i="11"/>
  <c r="AB24" i="11"/>
  <c r="AC24" i="11"/>
  <c r="S24" i="11"/>
  <c r="R25" i="11"/>
  <c r="R26" i="11"/>
  <c r="R27" i="11"/>
  <c r="R28" i="11"/>
  <c r="R29" i="11"/>
  <c r="R30" i="11"/>
  <c r="R24" i="11"/>
  <c r="AA23" i="10"/>
  <c r="AB23" i="10"/>
  <c r="AC23" i="10"/>
  <c r="AD23" i="10"/>
  <c r="AE23" i="10"/>
  <c r="AF23" i="10"/>
  <c r="AG23" i="10"/>
  <c r="AH23" i="10"/>
  <c r="AI23" i="10"/>
  <c r="AJ23" i="10"/>
  <c r="AK23" i="10"/>
  <c r="AA24" i="10"/>
  <c r="AB24" i="10"/>
  <c r="AC24" i="10"/>
  <c r="AD24" i="10"/>
  <c r="AE24" i="10"/>
  <c r="AF24" i="10"/>
  <c r="AG24" i="10"/>
  <c r="AH24" i="10"/>
  <c r="AI24" i="10"/>
  <c r="AJ24" i="10"/>
  <c r="AK24" i="10"/>
  <c r="AA25" i="10"/>
  <c r="AB25" i="10"/>
  <c r="AC25" i="10"/>
  <c r="AD25" i="10"/>
  <c r="AE25" i="10"/>
  <c r="AF25" i="10"/>
  <c r="AG25" i="10"/>
  <c r="AH25" i="10"/>
  <c r="AI25" i="10"/>
  <c r="AJ25" i="10"/>
  <c r="AK25" i="10"/>
  <c r="AA26" i="10"/>
  <c r="AB26" i="10"/>
  <c r="AC26" i="10"/>
  <c r="AD26" i="10"/>
  <c r="AE26" i="10"/>
  <c r="AF26" i="10"/>
  <c r="AG26" i="10"/>
  <c r="AH26" i="10"/>
  <c r="AI26" i="10"/>
  <c r="AJ26" i="10"/>
  <c r="AK26" i="10"/>
  <c r="AA27" i="10"/>
  <c r="AB27" i="10"/>
  <c r="AC27" i="10"/>
  <c r="AD27" i="10"/>
  <c r="AE27" i="10"/>
  <c r="AF27" i="10"/>
  <c r="AG27" i="10"/>
  <c r="AH27" i="10"/>
  <c r="AI27" i="10"/>
  <c r="AJ27" i="10"/>
  <c r="AK27" i="10"/>
  <c r="AB22" i="10"/>
  <c r="AC22" i="10"/>
  <c r="AD22" i="10"/>
  <c r="AE22" i="10"/>
  <c r="AF22" i="10"/>
  <c r="AG22" i="10"/>
  <c r="AH22" i="10"/>
  <c r="AI22" i="10"/>
  <c r="AJ22" i="10"/>
  <c r="AK22" i="10"/>
  <c r="AA22" i="10"/>
  <c r="Z23" i="10"/>
  <c r="Z24" i="10"/>
  <c r="Z25" i="10"/>
  <c r="Z26" i="10"/>
  <c r="Z27" i="10"/>
  <c r="Z22" i="10"/>
  <c r="AE28" i="10"/>
  <c r="K17" i="21" l="1"/>
  <c r="AD28" i="10"/>
  <c r="D7" i="23" l="1"/>
  <c r="AC28" i="10"/>
  <c r="N16" i="24"/>
  <c r="L16" i="24"/>
  <c r="AB28" i="10" l="1"/>
  <c r="J50" i="19" l="1"/>
  <c r="J17" i="19"/>
  <c r="K15" i="14"/>
  <c r="J15" i="14"/>
  <c r="I15" i="14"/>
  <c r="AA28" i="10"/>
  <c r="L6" i="19" l="1"/>
  <c r="L7" i="19"/>
  <c r="L8" i="19"/>
  <c r="L9" i="19"/>
  <c r="L10" i="19"/>
  <c r="L11" i="19"/>
  <c r="L12" i="19"/>
  <c r="L13" i="19"/>
  <c r="L14" i="19"/>
  <c r="L15" i="19"/>
  <c r="L16" i="19"/>
  <c r="L5" i="19"/>
  <c r="K6" i="19"/>
  <c r="K7" i="19"/>
  <c r="K8" i="19"/>
  <c r="K9" i="19"/>
  <c r="K10" i="19"/>
  <c r="K11" i="19"/>
  <c r="K12" i="19"/>
  <c r="K13" i="19"/>
  <c r="K14" i="19"/>
  <c r="K15" i="19"/>
  <c r="K16" i="19"/>
  <c r="K5" i="19"/>
  <c r="L17" i="19" l="1"/>
  <c r="K17" i="19"/>
  <c r="Q30" i="13"/>
  <c r="R25" i="12"/>
  <c r="M16" i="24"/>
  <c r="K16" i="24"/>
  <c r="J16" i="24"/>
  <c r="I16" i="24"/>
  <c r="G16" i="24"/>
  <c r="F16" i="24"/>
  <c r="E16" i="24"/>
  <c r="D16" i="24"/>
  <c r="C16" i="24"/>
  <c r="K21" i="23"/>
  <c r="K22" i="23"/>
  <c r="K24" i="23"/>
  <c r="K26" i="23"/>
  <c r="K27" i="23"/>
  <c r="K28" i="23"/>
  <c r="K29" i="23"/>
  <c r="K30" i="23"/>
  <c r="K31" i="23"/>
  <c r="K32" i="23"/>
  <c r="K33" i="23"/>
  <c r="K20" i="23"/>
  <c r="G34" i="23"/>
  <c r="F34" i="23"/>
  <c r="H33" i="23"/>
  <c r="H32" i="23"/>
  <c r="H31" i="23"/>
  <c r="H30" i="23"/>
  <c r="H29" i="23"/>
  <c r="H28" i="23"/>
  <c r="H27" i="23"/>
  <c r="H26" i="23"/>
  <c r="H25" i="23"/>
  <c r="H24" i="23"/>
  <c r="H23" i="23"/>
  <c r="H22" i="23"/>
  <c r="H21" i="23"/>
  <c r="H20" i="23"/>
  <c r="E34" i="23"/>
  <c r="D34" i="23"/>
  <c r="C34" i="23"/>
  <c r="L7" i="23"/>
  <c r="K7" i="23"/>
  <c r="J7" i="23"/>
  <c r="I7" i="23"/>
  <c r="H7" i="23"/>
  <c r="G7" i="23"/>
  <c r="F7" i="23"/>
  <c r="E7" i="23"/>
  <c r="C7" i="23"/>
  <c r="B7" i="23"/>
  <c r="J37" i="7"/>
  <c r="J38" i="7"/>
  <c r="J39" i="7"/>
  <c r="J40" i="7"/>
  <c r="J41" i="7"/>
  <c r="J36" i="7"/>
  <c r="D37" i="7"/>
  <c r="D38" i="7"/>
  <c r="D39" i="7"/>
  <c r="D40" i="7"/>
  <c r="D41" i="7"/>
  <c r="G37" i="7"/>
  <c r="G38" i="7"/>
  <c r="G39" i="7"/>
  <c r="G40" i="7"/>
  <c r="G41" i="7"/>
  <c r="G36" i="7"/>
  <c r="R2" i="6"/>
  <c r="AK32" i="6"/>
  <c r="AK27" i="6"/>
  <c r="AK22" i="6"/>
  <c r="AK17" i="6"/>
  <c r="AK12" i="6"/>
  <c r="J9" i="21"/>
  <c r="J10" i="21"/>
  <c r="J11" i="21"/>
  <c r="J8" i="21"/>
  <c r="G6" i="21"/>
  <c r="G7" i="21"/>
  <c r="G8" i="21"/>
  <c r="G9" i="21"/>
  <c r="G10" i="21"/>
  <c r="G11" i="21"/>
  <c r="G12" i="21"/>
  <c r="G13" i="21"/>
  <c r="G16" i="21"/>
  <c r="D7" i="21"/>
  <c r="D8" i="21"/>
  <c r="D9" i="21"/>
  <c r="D10" i="21"/>
  <c r="D11" i="21"/>
  <c r="D12" i="21"/>
  <c r="D13" i="21"/>
  <c r="D14" i="21"/>
  <c r="L5" i="21"/>
  <c r="L6" i="21"/>
  <c r="M6" i="21" s="1"/>
  <c r="L7" i="21"/>
  <c r="M7" i="21" s="1"/>
  <c r="L8" i="21"/>
  <c r="M8" i="21" s="1"/>
  <c r="L9" i="21"/>
  <c r="M9" i="21" s="1"/>
  <c r="L10" i="21"/>
  <c r="M10" i="21" s="1"/>
  <c r="L11" i="21"/>
  <c r="M11" i="21" s="1"/>
  <c r="L12" i="21"/>
  <c r="M12" i="21" s="1"/>
  <c r="M13" i="21"/>
  <c r="L14" i="21"/>
  <c r="M14" i="21" s="1"/>
  <c r="L15" i="21"/>
  <c r="L16" i="21"/>
  <c r="M16" i="21" s="1"/>
  <c r="L4" i="21"/>
  <c r="I17" i="21"/>
  <c r="J17" i="21" s="1"/>
  <c r="G17" i="21"/>
  <c r="C17" i="21"/>
  <c r="D17" i="21" s="1"/>
  <c r="J7" i="20"/>
  <c r="J9" i="20"/>
  <c r="J10" i="20"/>
  <c r="J11" i="20"/>
  <c r="J12" i="20"/>
  <c r="J13" i="20"/>
  <c r="J14" i="20"/>
  <c r="J15" i="20"/>
  <c r="J16" i="20"/>
  <c r="J17" i="20"/>
  <c r="J38" i="9"/>
  <c r="J39" i="9"/>
  <c r="J40" i="9"/>
  <c r="J41" i="9"/>
  <c r="J42" i="9"/>
  <c r="J43" i="9"/>
  <c r="J45" i="9"/>
  <c r="J46" i="9"/>
  <c r="J47" i="9"/>
  <c r="J48" i="9"/>
  <c r="J49" i="9"/>
  <c r="J37" i="9"/>
  <c r="I38" i="9"/>
  <c r="I39" i="9"/>
  <c r="I40" i="9"/>
  <c r="I41" i="9"/>
  <c r="I42" i="9"/>
  <c r="I43" i="9"/>
  <c r="I45" i="9"/>
  <c r="I46" i="9"/>
  <c r="I48" i="9"/>
  <c r="I49" i="9"/>
  <c r="I37" i="9"/>
  <c r="E38" i="9"/>
  <c r="E39" i="9"/>
  <c r="E40" i="9"/>
  <c r="E41" i="9"/>
  <c r="E42" i="9"/>
  <c r="E43" i="9"/>
  <c r="E45" i="9"/>
  <c r="E46" i="9"/>
  <c r="E47" i="9"/>
  <c r="E48" i="9"/>
  <c r="E49" i="9"/>
  <c r="E37" i="9"/>
  <c r="L48" i="19"/>
  <c r="I34" i="23"/>
  <c r="J34" i="23"/>
  <c r="K50" i="19"/>
  <c r="L41" i="19"/>
  <c r="L42" i="19"/>
  <c r="L43" i="19"/>
  <c r="L44" i="19"/>
  <c r="L45" i="19"/>
  <c r="L46" i="19"/>
  <c r="L47" i="19"/>
  <c r="L40" i="19"/>
  <c r="M6" i="19"/>
  <c r="M7" i="19"/>
  <c r="M8" i="19"/>
  <c r="M9" i="19"/>
  <c r="M10" i="19"/>
  <c r="M11" i="19"/>
  <c r="M12" i="19"/>
  <c r="M13" i="19"/>
  <c r="M14" i="19"/>
  <c r="M15" i="19"/>
  <c r="M16" i="19"/>
  <c r="M5" i="19"/>
  <c r="I41" i="19"/>
  <c r="I42" i="19"/>
  <c r="I43" i="19"/>
  <c r="I44" i="19"/>
  <c r="I45" i="19"/>
  <c r="I46" i="19"/>
  <c r="I47" i="19"/>
  <c r="I48" i="19"/>
  <c r="I49" i="19"/>
  <c r="I50" i="19"/>
  <c r="I40" i="19"/>
  <c r="H41" i="19"/>
  <c r="H42" i="19"/>
  <c r="H43" i="19"/>
  <c r="H44" i="19"/>
  <c r="H45" i="19"/>
  <c r="H46" i="19"/>
  <c r="H47" i="19"/>
  <c r="H48" i="19"/>
  <c r="H49" i="19"/>
  <c r="H50" i="19"/>
  <c r="H40" i="19"/>
  <c r="F41" i="19"/>
  <c r="F42" i="19"/>
  <c r="F43" i="19"/>
  <c r="F44" i="19"/>
  <c r="F45" i="19"/>
  <c r="F46" i="19"/>
  <c r="F47" i="19"/>
  <c r="F48" i="19"/>
  <c r="F49" i="19"/>
  <c r="F50" i="19"/>
  <c r="F40" i="19"/>
  <c r="E41" i="19"/>
  <c r="E42" i="19"/>
  <c r="E43" i="19"/>
  <c r="E44" i="19"/>
  <c r="E45" i="19"/>
  <c r="E46" i="19"/>
  <c r="E47" i="19"/>
  <c r="E48" i="19"/>
  <c r="E49" i="19"/>
  <c r="E50" i="19"/>
  <c r="E40" i="19"/>
  <c r="L49" i="19"/>
  <c r="L50" i="19"/>
  <c r="V24" i="19"/>
  <c r="E70" i="9"/>
  <c r="E72" i="9"/>
  <c r="E74" i="9"/>
  <c r="E78" i="9"/>
  <c r="E73" i="9"/>
  <c r="E77" i="9"/>
  <c r="R14" i="22"/>
  <c r="Q3" i="22"/>
  <c r="Q4" i="22"/>
  <c r="Q5" i="22"/>
  <c r="Q6" i="22"/>
  <c r="Q7" i="22"/>
  <c r="Q8" i="22"/>
  <c r="Q9" i="22"/>
  <c r="Q10" i="22"/>
  <c r="Q11" i="22"/>
  <c r="Q12" i="22"/>
  <c r="Q2" i="22"/>
  <c r="J102" i="9"/>
  <c r="J108" i="9"/>
  <c r="J105" i="9"/>
  <c r="J104" i="9"/>
  <c r="J107" i="9"/>
  <c r="J110" i="9"/>
  <c r="J112" i="9"/>
  <c r="J113" i="9"/>
  <c r="J71" i="9"/>
  <c r="J74" i="9"/>
  <c r="J78" i="9"/>
  <c r="J76" i="9"/>
  <c r="J79" i="9"/>
  <c r="J80" i="9"/>
  <c r="J81" i="9"/>
  <c r="I112" i="9"/>
  <c r="I104" i="9"/>
  <c r="I102" i="9"/>
  <c r="I81" i="9"/>
  <c r="E81" i="9"/>
  <c r="E80" i="9"/>
  <c r="I79" i="9"/>
  <c r="E79" i="9"/>
  <c r="I76" i="9"/>
  <c r="I77" i="9"/>
  <c r="I74" i="9"/>
  <c r="I71" i="9"/>
  <c r="I72" i="9"/>
  <c r="J6" i="7"/>
  <c r="J9" i="7"/>
  <c r="AJ32" i="6"/>
  <c r="AJ27" i="6"/>
  <c r="AJ22" i="6"/>
  <c r="AJ17" i="6"/>
  <c r="AJ12" i="6"/>
  <c r="AJ6" i="6"/>
  <c r="AJ7" i="6" s="1"/>
  <c r="AJ5" i="6"/>
  <c r="AI32" i="6"/>
  <c r="AH32" i="6"/>
  <c r="AH27" i="6"/>
  <c r="AG27" i="6"/>
  <c r="AE27" i="6"/>
  <c r="AD27" i="6"/>
  <c r="AC27" i="6"/>
  <c r="AB27" i="6"/>
  <c r="AA27" i="6"/>
  <c r="Z27" i="6"/>
  <c r="Y27" i="6"/>
  <c r="X27" i="6"/>
  <c r="W27" i="6"/>
  <c r="V27" i="6"/>
  <c r="U27" i="6"/>
  <c r="T27" i="6"/>
  <c r="S27" i="6"/>
  <c r="R27" i="6"/>
  <c r="Q27" i="6"/>
  <c r="AI26" i="6"/>
  <c r="AI27" i="6" s="1"/>
  <c r="AI22" i="6"/>
  <c r="AH22" i="6"/>
  <c r="AG22" i="6"/>
  <c r="AE22" i="6"/>
  <c r="AD22" i="6"/>
  <c r="AC22" i="6"/>
  <c r="AB22" i="6"/>
  <c r="AA22" i="6"/>
  <c r="Z22" i="6"/>
  <c r="Y22" i="6"/>
  <c r="X22" i="6"/>
  <c r="W22" i="6"/>
  <c r="V22" i="6"/>
  <c r="U22" i="6"/>
  <c r="T22" i="6"/>
  <c r="S22" i="6"/>
  <c r="R22" i="6"/>
  <c r="Q22" i="6"/>
  <c r="AI17" i="6"/>
  <c r="AH17" i="6"/>
  <c r="AG17" i="6"/>
  <c r="AE17" i="6"/>
  <c r="AD17" i="6"/>
  <c r="AC17" i="6"/>
  <c r="AB17" i="6"/>
  <c r="AA17" i="6"/>
  <c r="Z17" i="6"/>
  <c r="Y17" i="6"/>
  <c r="X17" i="6"/>
  <c r="W17" i="6"/>
  <c r="V17" i="6"/>
  <c r="U17" i="6"/>
  <c r="T17" i="6"/>
  <c r="S17" i="6"/>
  <c r="R17" i="6"/>
  <c r="Q17" i="6"/>
  <c r="AI12" i="6"/>
  <c r="AH12" i="6"/>
  <c r="AG12" i="6"/>
  <c r="AE12" i="6"/>
  <c r="AD12" i="6"/>
  <c r="AC12" i="6"/>
  <c r="AB12" i="6"/>
  <c r="AA12" i="6"/>
  <c r="Z12" i="6"/>
  <c r="Y12" i="6"/>
  <c r="X12" i="6"/>
  <c r="W12" i="6"/>
  <c r="V12" i="6"/>
  <c r="U12" i="6"/>
  <c r="T12" i="6"/>
  <c r="S12" i="6"/>
  <c r="R12" i="6"/>
  <c r="Q12" i="6"/>
  <c r="AE7" i="6"/>
  <c r="AD7" i="6"/>
  <c r="AC7" i="6"/>
  <c r="AB7" i="6"/>
  <c r="AA7" i="6"/>
  <c r="Z7" i="6"/>
  <c r="Y7" i="6"/>
  <c r="X7" i="6"/>
  <c r="W7" i="6"/>
  <c r="V7" i="6"/>
  <c r="U7" i="6"/>
  <c r="T7" i="6"/>
  <c r="S7" i="6"/>
  <c r="R7" i="6"/>
  <c r="Q7" i="6"/>
  <c r="AI6" i="6"/>
  <c r="AH6" i="6"/>
  <c r="AH2" i="6" s="1"/>
  <c r="AG6" i="6"/>
  <c r="AG2" i="6"/>
  <c r="AI5" i="6"/>
  <c r="AI7" i="6" s="1"/>
  <c r="AH5" i="6"/>
  <c r="AG5" i="6"/>
  <c r="AF2" i="6"/>
  <c r="AE2" i="6"/>
  <c r="AD2" i="6"/>
  <c r="AC2" i="6"/>
  <c r="AB2" i="6"/>
  <c r="AA2" i="6"/>
  <c r="Z2" i="6"/>
  <c r="Y2" i="6"/>
  <c r="X2" i="6"/>
  <c r="W2" i="6"/>
  <c r="V2" i="6"/>
  <c r="U2" i="6"/>
  <c r="T2" i="6"/>
  <c r="S2" i="6"/>
  <c r="AH7" i="6"/>
  <c r="AI2" i="6"/>
  <c r="AG7" i="6"/>
  <c r="K41" i="19"/>
  <c r="K42" i="19"/>
  <c r="K43" i="19"/>
  <c r="K44" i="19"/>
  <c r="K45" i="19"/>
  <c r="K46" i="19"/>
  <c r="K47" i="19"/>
  <c r="K48" i="19"/>
  <c r="K49" i="19"/>
  <c r="K40" i="19"/>
  <c r="AK2" i="6" l="1"/>
  <c r="AK7" i="6"/>
  <c r="AL2" i="6"/>
  <c r="AJ2" i="6"/>
  <c r="H34" i="23"/>
  <c r="K34" i="23"/>
  <c r="L17" i="21"/>
  <c r="M17" i="21" s="1"/>
  <c r="M17"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tc={F9BD1B64-5757-41CC-B699-C162031ED6E3}</author>
    <author>tc={3672861F-D210-45C1-9970-4CF62457600D}</author>
    <author>tc={760D7E71-A72B-4024-ACF7-10CADA0BB627}</author>
  </authors>
  <commentList>
    <comment ref="A3" authorId="0" shapeId="0" xr:uid="{F9BD1B64-5757-41CC-B699-C162031ED6E3}">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Considera vino con DO, Granel y elaborado con uva de mesa</t>
      </text>
    </comment>
    <comment ref="A6" authorId="1" shapeId="0" xr:uid="{3672861F-D210-45C1-9970-4CF62457600D}">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Considera vino con DO, Espumoso y envasado menor a 2 lts</t>
      </text>
    </comment>
    <comment ref="A7" authorId="2" shapeId="0" xr:uid="{760D7E71-A72B-4024-ACF7-10CADA0BB627}">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Considera Vino a granely vinos envasados entre 2 y 10 lts</t>
      </text>
    </comment>
  </commentList>
</comments>
</file>

<file path=xl/sharedStrings.xml><?xml version="1.0" encoding="utf-8"?>
<sst xmlns="http://schemas.openxmlformats.org/spreadsheetml/2006/main" count="1667" uniqueCount="611">
  <si>
    <t>Boletín del Vino</t>
  </si>
  <si>
    <t>Boletín del vino:  producción, precios y comercio exterior</t>
  </si>
  <si>
    <t>Publicación de la Oficina de Estudios y Políticas Agrarias (Odepa)</t>
  </si>
  <si>
    <t>del Ministerio de Agricultura, Gobierno de Chile</t>
  </si>
  <si>
    <t xml:space="preserve"> </t>
  </si>
  <si>
    <t>Se puede reproducir total o parcialmente citando la fuente</t>
  </si>
  <si>
    <t>Teatinos 40, piso 8. Santiago, Chile</t>
  </si>
  <si>
    <t>Teléfono :(56- 2) 2397 3000</t>
  </si>
  <si>
    <t>Fax :(56- 2) 2397 3111</t>
  </si>
  <si>
    <t xml:space="preserve">www.odepa.gob.cl  </t>
  </si>
  <si>
    <t>TABLA DE CONTENIDO</t>
  </si>
  <si>
    <t>Comentario</t>
  </si>
  <si>
    <t>Descripción</t>
  </si>
  <si>
    <t>Página</t>
  </si>
  <si>
    <t>Comentarios</t>
  </si>
  <si>
    <t>Cuadro</t>
  </si>
  <si>
    <t>Exportación de vino embotellado por rango de precios</t>
  </si>
  <si>
    <t>Exportación de vino a granel por rango de precios</t>
  </si>
  <si>
    <t>Exportación de vinos y alcoholes según variedad</t>
  </si>
  <si>
    <t>Exportación de vinos con denominación de origen por país de destino</t>
  </si>
  <si>
    <t>Exportación de vinos a granel por país de destino</t>
  </si>
  <si>
    <t>Exportación de los demás vinos en envases entre 2 y 10 lts por país de destino</t>
  </si>
  <si>
    <t>Exportación de vino espumoso por país de destino</t>
  </si>
  <si>
    <t>Estadísticas del mercado del vino en Chile</t>
  </si>
  <si>
    <t>Existencias de vino por regiones</t>
  </si>
  <si>
    <t>Existencias de vinos con DO por variedades</t>
  </si>
  <si>
    <t>Exportación de pisco y similares por país de destino</t>
  </si>
  <si>
    <t>Producción de vinos años 2020 y 2021, por región y categoría</t>
  </si>
  <si>
    <t>Evolución de la superficie plantada con vides</t>
  </si>
  <si>
    <t>Plantaciones de vides para vinificación por regiones</t>
  </si>
  <si>
    <t>Evolución de la superficie plantada con los principales cepajes</t>
  </si>
  <si>
    <t>Gráfico</t>
  </si>
  <si>
    <t>Evolución de las exportaciones de vino (total)</t>
  </si>
  <si>
    <t>Evolución del precio medio de los vinos chilenos exportados según categoría</t>
  </si>
  <si>
    <t>Evolución de las exportaciones de vino con denominación de origen</t>
  </si>
  <si>
    <t>Evolución de las exportaciones de vino a granel</t>
  </si>
  <si>
    <t>Evolución de las exportaciones de los demás vinos envasados</t>
  </si>
  <si>
    <t>Evolución de las exportaciones de vinos espumantes</t>
  </si>
  <si>
    <t>Evolución de las exportaciones de vinos en envases entre 2 y 10 lts</t>
  </si>
  <si>
    <t>Exportación de vino embotellado por rangos de precios</t>
  </si>
  <si>
    <t>Exportación de vino a granel por rangos de precios</t>
  </si>
  <si>
    <t>Volumen de exportaciones de vino con denominación de origen</t>
  </si>
  <si>
    <t>Valor de las exportaciones de vino con denominación de origen</t>
  </si>
  <si>
    <t>Precio medio de exportación de vino con denominación de origen</t>
  </si>
  <si>
    <t>Volumen de exportaciones de vino a granel</t>
  </si>
  <si>
    <t>Valor de exportaciones de vino a granel</t>
  </si>
  <si>
    <t>Precio medio de exportación de vino a granel</t>
  </si>
  <si>
    <t>Volumen de exportaciones de los demás vinos en envases entre 2 y 10 lts</t>
  </si>
  <si>
    <t>Valor de exportaciones de los demás vinos en envases entre 2 y 10 lts</t>
  </si>
  <si>
    <t>Precio medio de exportación de los demás vinos en envases entre 2 y 10 lts</t>
  </si>
  <si>
    <t>Volumen de exportacionesn de vino espumoso</t>
  </si>
  <si>
    <t>Valor de exportaciones de vino espumoso</t>
  </si>
  <si>
    <t>Precio medio de exportación de vino espumoso</t>
  </si>
  <si>
    <t>Evolución de las existencias de vinos</t>
  </si>
  <si>
    <t>Evolución de la producción de vinos por categorías</t>
  </si>
  <si>
    <t>Evolución de la superficie de vides por cepaje</t>
  </si>
  <si>
    <t>Comparación de precios de vinos en Chile y Argentina</t>
  </si>
  <si>
    <t>VOLUMEN - Millones de litros</t>
  </si>
  <si>
    <t>Meses</t>
  </si>
  <si>
    <t>% Variación</t>
  </si>
  <si>
    <t>Vino con denominación de origen</t>
  </si>
  <si>
    <t>Vino a granel</t>
  </si>
  <si>
    <t>Demás vinos en envases entre 2 y 10 lts.</t>
  </si>
  <si>
    <t>Vinos espumosos</t>
  </si>
  <si>
    <t>Vinos con pulpa de frutas</t>
  </si>
  <si>
    <t>VALOR - Millones US$</t>
  </si>
  <si>
    <t>TOTAL EXPORTACIONES VINOS</t>
  </si>
  <si>
    <t>PRECIO MEDIO - US$ / litro</t>
  </si>
  <si>
    <r>
      <rPr>
        <sz val="9"/>
        <rFont val="Calibri"/>
        <family val="2"/>
        <scheme val="minor"/>
      </rPr>
      <t xml:space="preserve">Fuente: </t>
    </r>
    <r>
      <rPr>
        <sz val="9"/>
        <rFont val="Calibri"/>
        <family val="2"/>
      </rPr>
      <t>elaborado por ODEPA sobre la  base de antecedentes del Servicio Nacional de Aduanas</t>
    </r>
  </si>
  <si>
    <t>Nota: A partir de diciembre de 2015, en las exportaciones de mostos se agregó la glosa del Jugo de uva (incluido el mosto), código 20096000, como una forma de considerar todos los productos que inciden en el mercado del vino y, a partir de enero de 2017, se incorporó el código 220422, correspondiente a la glosa de "vinos en recipientes con capacidad superior a 2 lts. pero inferior o igual a 10 lts.", anteriormente las transacciones en estos envases quedaban clasificadas dentro del código 22042990, correspondiente a "los demás vinos con capacidad mayor a 2 lts.", que comprende a los vinos a granel.</t>
  </si>
  <si>
    <t>Zona de bases de datos</t>
  </si>
  <si>
    <t>Vino total</t>
  </si>
  <si>
    <t>Volumen total</t>
  </si>
  <si>
    <t>Mill. Litros</t>
  </si>
  <si>
    <t>Valor total</t>
  </si>
  <si>
    <t>Mill. USD</t>
  </si>
  <si>
    <t>Precio  medio (todos)</t>
  </si>
  <si>
    <t>USD/litro</t>
  </si>
  <si>
    <t>Volumen de vino con denominación de origen</t>
  </si>
  <si>
    <t>Valor vino con denominación de origen</t>
  </si>
  <si>
    <t>Precio medio vino con denominaicón de origen</t>
  </si>
  <si>
    <t>Volumen a granel</t>
  </si>
  <si>
    <t>Valor a granel</t>
  </si>
  <si>
    <t>Precio medio a granel</t>
  </si>
  <si>
    <t>Los demás vinos capacidad inferior o igual a 2 lts</t>
  </si>
  <si>
    <t>Volumen los demás envasados</t>
  </si>
  <si>
    <t>Valor los demás envasados</t>
  </si>
  <si>
    <t>Precio medio otros envasados</t>
  </si>
  <si>
    <t>Vino espumante</t>
  </si>
  <si>
    <t>Volumen espumante</t>
  </si>
  <si>
    <t>Valor espumante</t>
  </si>
  <si>
    <t>Precio medio espumantes</t>
  </si>
  <si>
    <t>Los demás vinos entre 2 y 10 lts</t>
  </si>
  <si>
    <t>Volumen</t>
  </si>
  <si>
    <t>Valor</t>
  </si>
  <si>
    <t>Precio medio</t>
  </si>
  <si>
    <t xml:space="preserve">Mill. USD </t>
  </si>
  <si>
    <t>Mill. cajas</t>
  </si>
  <si>
    <t>Part (%)</t>
  </si>
  <si>
    <t>Val 2019</t>
  </si>
  <si>
    <t>Vol 2019</t>
  </si>
  <si>
    <t>Val 2020</t>
  </si>
  <si>
    <t>Vol 2020</t>
  </si>
  <si>
    <t>Menor a USD 20 por caja</t>
  </si>
  <si>
    <t>Entre USD 20 y USD 29,9 por caja</t>
  </si>
  <si>
    <t>Entre USD 30 y USD 39,9 por caja</t>
  </si>
  <si>
    <t>Entre USD 40 y USD 59,9 por caja</t>
  </si>
  <si>
    <t>Entre USD 60 y USD 99,9 por caja</t>
  </si>
  <si>
    <t>Mayor a USD 100 por caja</t>
  </si>
  <si>
    <t>Fuente: elaborado por Odepa con antecedentes del Servicio Nacional de Aduanas</t>
  </si>
  <si>
    <t>Nota: 1 caja = 9 litros (12 botellas de 0,75 litros c/u)</t>
  </si>
  <si>
    <t>Menor que USD 0,8 por litro</t>
  </si>
  <si>
    <t>Entre USD 0,8 y USD 0,99 por litro</t>
  </si>
  <si>
    <t>Entre USD 1,0 y USD 1,49</t>
  </si>
  <si>
    <t>Entre USD 1,5 y USD 2,99 por litro</t>
  </si>
  <si>
    <t>Entre USD 3 y USD 9,99 por litro</t>
  </si>
  <si>
    <t>Mayor USD 10 por litro</t>
  </si>
  <si>
    <t>Productos</t>
  </si>
  <si>
    <t>Total vinos y alcoholes</t>
  </si>
  <si>
    <t>Chardonnay</t>
  </si>
  <si>
    <t>Chenin Blanc</t>
  </si>
  <si>
    <t>Pedro Jiménez</t>
  </si>
  <si>
    <t>Pinot Blanc</t>
  </si>
  <si>
    <t>Riesling y Viognier</t>
  </si>
  <si>
    <t>Sauvignon Blanc</t>
  </si>
  <si>
    <t>Los demás vinos blancos</t>
  </si>
  <si>
    <t>Mezclas de vinos blancos</t>
  </si>
  <si>
    <t>Cabernet Franc</t>
  </si>
  <si>
    <t>Cabernet Sauvignon</t>
  </si>
  <si>
    <t>Carménère</t>
  </si>
  <si>
    <t>Cot (Malbec)</t>
  </si>
  <si>
    <t>Merlot</t>
  </si>
  <si>
    <t>Pinot Noir</t>
  </si>
  <si>
    <t>Syrah</t>
  </si>
  <si>
    <t>Los demás vinos tintos</t>
  </si>
  <si>
    <t>Mezclas de vino tinto</t>
  </si>
  <si>
    <t>Los demás vinos (con D.O.)</t>
  </si>
  <si>
    <t>Otros vinos envasados</t>
  </si>
  <si>
    <t>Vinos en envases entre 2 y 10 lts.</t>
  </si>
  <si>
    <t>Vinos cap. inferior o igual a 2 lts</t>
  </si>
  <si>
    <t>Vinos con pulpa de frutas &lt;= 2 lts</t>
  </si>
  <si>
    <t>Vino espumoso</t>
  </si>
  <si>
    <t>Otros mostos y alcoholes</t>
  </si>
  <si>
    <t>Mostos</t>
  </si>
  <si>
    <t>Pisco</t>
  </si>
  <si>
    <t>Otros</t>
  </si>
  <si>
    <t>* Incluye exportaciones de cervezas y licores no incluidas en el cuadro 1 de este boletín.</t>
  </si>
  <si>
    <t>Fuente: Elaborado por Odepa en base a antecedentes del Servicio Nacional de Aduanas</t>
  </si>
  <si>
    <t>País</t>
  </si>
  <si>
    <t>Volumen (miles de litros)</t>
  </si>
  <si>
    <t>Valor (miles de USD FOB)</t>
  </si>
  <si>
    <t>China</t>
  </si>
  <si>
    <t>Brasil</t>
  </si>
  <si>
    <t>Reino Unido</t>
  </si>
  <si>
    <t>Japón</t>
  </si>
  <si>
    <t>Estados Unidos</t>
  </si>
  <si>
    <t>Corea del Sur</t>
  </si>
  <si>
    <t>Holanda</t>
  </si>
  <si>
    <t>Canadá</t>
  </si>
  <si>
    <t>México</t>
  </si>
  <si>
    <t>SUB - TOTAL</t>
  </si>
  <si>
    <t>OTROS PAÍSES</t>
  </si>
  <si>
    <t>TOTAL</t>
  </si>
  <si>
    <t>Fuente: Odepa con información del Servicio Nacional de Aduanas.</t>
  </si>
  <si>
    <t>Cifras sujetas a revisión por informes de variación de valor (IVV).</t>
  </si>
  <si>
    <t>Alemania</t>
  </si>
  <si>
    <t>Dinamarca</t>
  </si>
  <si>
    <t>Francia</t>
  </si>
  <si>
    <t>Suecia</t>
  </si>
  <si>
    <t>Colombia</t>
  </si>
  <si>
    <t>ene</t>
  </si>
  <si>
    <t>feb</t>
  </si>
  <si>
    <t>mar</t>
  </si>
  <si>
    <t>abr</t>
  </si>
  <si>
    <t>may</t>
  </si>
  <si>
    <t>jun</t>
  </si>
  <si>
    <t>jul</t>
  </si>
  <si>
    <t>ago</t>
  </si>
  <si>
    <t>sep</t>
  </si>
  <si>
    <t>oct</t>
  </si>
  <si>
    <t>nov</t>
  </si>
  <si>
    <t>dic</t>
  </si>
  <si>
    <t>Vol</t>
  </si>
  <si>
    <t>Precios medios de exportación</t>
  </si>
  <si>
    <t>Los demás vinos (a granel)</t>
  </si>
  <si>
    <t xml:space="preserve">Valor </t>
  </si>
  <si>
    <t xml:space="preserve">vinos en recipientes con capacidad superior a 2 lts pero inferior o igual a 10lts </t>
  </si>
  <si>
    <t>vol</t>
  </si>
  <si>
    <t>Item</t>
  </si>
  <si>
    <r>
      <t>Stock</t>
    </r>
    <r>
      <rPr>
        <sz val="11"/>
        <rFont val="Calibri"/>
        <family val="2"/>
      </rPr>
      <t xml:space="preserve"> inicial</t>
    </r>
    <r>
      <rPr>
        <i/>
        <sz val="11"/>
        <rFont val="Calibri"/>
        <family val="2"/>
      </rPr>
      <t xml:space="preserve"> *</t>
    </r>
  </si>
  <si>
    <t>Disponibilidad aparente **</t>
  </si>
  <si>
    <t>Exportaciones</t>
  </si>
  <si>
    <t xml:space="preserve">   Vino embotellado y envasado</t>
  </si>
  <si>
    <t>Importación</t>
  </si>
  <si>
    <t>Producción</t>
  </si>
  <si>
    <t xml:space="preserve">   Vinos con D.O.</t>
  </si>
  <si>
    <t xml:space="preserve">   Vinos sin D.O.</t>
  </si>
  <si>
    <t xml:space="preserve">   Vinos de uva de mesa</t>
  </si>
  <si>
    <t>Vino para pisco traspasado a vino</t>
  </si>
  <si>
    <r>
      <rPr>
        <i/>
        <sz val="11"/>
        <rFont val="Calibri"/>
        <family val="2"/>
      </rPr>
      <t>Stock</t>
    </r>
    <r>
      <rPr>
        <sz val="11"/>
        <rFont val="Calibri"/>
        <family val="2"/>
      </rPr>
      <t xml:space="preserve"> final</t>
    </r>
    <r>
      <rPr>
        <i/>
        <sz val="11"/>
        <rFont val="Calibri"/>
        <family val="2"/>
      </rPr>
      <t xml:space="preserve"> *</t>
    </r>
  </si>
  <si>
    <r>
      <t xml:space="preserve">% </t>
    </r>
    <r>
      <rPr>
        <i/>
        <sz val="11"/>
        <rFont val="Calibri"/>
        <family val="2"/>
      </rPr>
      <t>stock</t>
    </r>
    <r>
      <rPr>
        <sz val="11"/>
        <rFont val="Calibri"/>
        <family val="2"/>
      </rPr>
      <t xml:space="preserve"> sobre producción</t>
    </r>
  </si>
  <si>
    <r>
      <t xml:space="preserve">* Las cifras de </t>
    </r>
    <r>
      <rPr>
        <i/>
        <sz val="9"/>
        <rFont val="Calibri"/>
        <family val="2"/>
      </rPr>
      <t xml:space="preserve">stock </t>
    </r>
    <r>
      <rPr>
        <sz val="9"/>
        <rFont val="Calibri"/>
        <family val="2"/>
      </rPr>
      <t xml:space="preserve">inicial y </t>
    </r>
    <r>
      <rPr>
        <i/>
        <sz val="9"/>
        <rFont val="Calibri"/>
        <family val="2"/>
      </rPr>
      <t>stock</t>
    </r>
    <r>
      <rPr>
        <sz val="9"/>
        <rFont val="Calibri"/>
        <family val="2"/>
      </rPr>
      <t xml:space="preserve"> final no incluyen las existencias de vino para producción de pisco.</t>
    </r>
  </si>
  <si>
    <t>** Las cifras de disponibilidad aparente corresponden a la diferencia entre stock inicial y final, producción, importación y exportación. No son una estimación del consumo a nivel nacional.</t>
  </si>
  <si>
    <r>
      <rPr>
        <i/>
        <sz val="9"/>
        <rFont val="Calibri"/>
        <family val="2"/>
      </rPr>
      <t>Fuente</t>
    </r>
    <r>
      <rPr>
        <sz val="9"/>
        <rFont val="Calibri"/>
        <family val="2"/>
      </rPr>
      <t>: elaborado por Odepa sobre la base de antecedentes del SAG y el Servicio Nacional de Aduanas.</t>
    </r>
  </si>
  <si>
    <t>Región</t>
  </si>
  <si>
    <t>Vinos con DO</t>
  </si>
  <si>
    <t>Vinos sin DO</t>
  </si>
  <si>
    <t>Total</t>
  </si>
  <si>
    <t>Evolución de las Existencias de Vinos al 31 de diciembre entre los años 1996 y 2016 (litros)</t>
  </si>
  <si>
    <t>Vinos sin DO *</t>
  </si>
  <si>
    <t>Vinos de mesa</t>
  </si>
  <si>
    <t>VINOS CON DO</t>
  </si>
  <si>
    <t>VINOS SIN DO</t>
  </si>
  <si>
    <t>VINOS DE MESA</t>
  </si>
  <si>
    <t>Tarapacá</t>
  </si>
  <si>
    <t>Antofagasta</t>
  </si>
  <si>
    <t>Atacama</t>
  </si>
  <si>
    <t>Coquimbo</t>
  </si>
  <si>
    <t>Valparaíso</t>
  </si>
  <si>
    <t>Metropolitana</t>
  </si>
  <si>
    <t>O'Higgins</t>
  </si>
  <si>
    <t>Maule</t>
  </si>
  <si>
    <t>Ñuble</t>
  </si>
  <si>
    <t>Bío Bío</t>
  </si>
  <si>
    <t>Araucanía</t>
  </si>
  <si>
    <t>Los Lagos</t>
  </si>
  <si>
    <r>
      <rPr>
        <i/>
        <sz val="10"/>
        <color indexed="8"/>
        <rFont val="Calibri"/>
        <family val="2"/>
      </rPr>
      <t>Fuente</t>
    </r>
    <r>
      <rPr>
        <sz val="10"/>
        <color indexed="8"/>
        <rFont val="Calibri"/>
        <family val="2"/>
      </rPr>
      <t>: elaborado por Odepa con información del SAG.</t>
    </r>
  </si>
  <si>
    <t>* Incluye los vinos declarados con variedad sin denominación de origen y vinos viníferos corrientes.</t>
  </si>
  <si>
    <t>Si se considera el vino de cepas para producción de pisco</t>
  </si>
  <si>
    <t>Variedades</t>
  </si>
  <si>
    <t>Litros</t>
  </si>
  <si>
    <t>Part
%</t>
  </si>
  <si>
    <t>Var
%</t>
  </si>
  <si>
    <t>Otras</t>
  </si>
  <si>
    <t>Volumen (litros)</t>
  </si>
  <si>
    <t>Valor (USD FOB)</t>
  </si>
  <si>
    <t>España</t>
  </si>
  <si>
    <t>Fuente: Odepa con antecedentes del Servicio Nacional de Aduanas</t>
  </si>
  <si>
    <t xml:space="preserve">(*) De acuerdo con información proporcionada por la Asociación de Productores de Pisco, las exportaciones aparecidas en el código 22082010 no discriminan entre pisco y otros productos similares que no tienen denominación de origen, aunque sean elaborados a partir de uva pisquera. Esta situación, ocasionalmente, puede distorsionar los reales valores de las exportaciones de pisco, como sucedió en el año 2012 con una importante exportación de  "alcohol pisquero" (sin denominación de origen) a Francia. De todos modos se hace presente que serían exportaciones de un destilado exportado sin denominación de origen y que se elabora a partir de uvas pisqueras, lo que también contribuye al desarrollo del sector. </t>
  </si>
  <si>
    <t>Regiones</t>
  </si>
  <si>
    <t>Vinos con D.O.</t>
  </si>
  <si>
    <t>Vinos sin D.O. (*)</t>
  </si>
  <si>
    <t xml:space="preserve">Vinos de mesa </t>
  </si>
  <si>
    <t>Los Ríos</t>
  </si>
  <si>
    <r>
      <t xml:space="preserve">Fuente: Informe final Producción de Vinos 2021. </t>
    </r>
    <r>
      <rPr>
        <sz val="9"/>
        <color indexed="8"/>
        <rFont val="Calibri"/>
        <family val="2"/>
      </rPr>
      <t>Servicio Agrícola y Ganadero.</t>
    </r>
    <r>
      <rPr>
        <i/>
        <sz val="9"/>
        <color indexed="8"/>
        <rFont val="Calibri"/>
        <family val="2"/>
      </rPr>
      <t xml:space="preserve">    (*) Incluye los vinos viníferos corrientes.</t>
    </r>
  </si>
  <si>
    <t>Variedad</t>
  </si>
  <si>
    <t>Malbec</t>
  </si>
  <si>
    <t>País - Mission</t>
  </si>
  <si>
    <t xml:space="preserve">Otras </t>
  </si>
  <si>
    <t>HL</t>
  </si>
  <si>
    <t>Superficie plantada con vides (en hectáreas a diciembre de cada año)</t>
  </si>
  <si>
    <t>Vides</t>
  </si>
  <si>
    <t xml:space="preserve">2011 (a) </t>
  </si>
  <si>
    <t>2011 (b)</t>
  </si>
  <si>
    <t>Viníferas</t>
  </si>
  <si>
    <t>De mesa ( c )</t>
  </si>
  <si>
    <t>Pisqueras</t>
  </si>
  <si>
    <r>
      <rPr>
        <i/>
        <sz val="9"/>
        <color indexed="8"/>
        <rFont val="Calibri"/>
        <family val="2"/>
      </rPr>
      <t>Fuente</t>
    </r>
    <r>
      <rPr>
        <sz val="9"/>
        <color indexed="8"/>
        <rFont val="Calibri"/>
        <family val="2"/>
      </rPr>
      <t>: elaborado por Odepa con información del SAG.</t>
    </r>
  </si>
  <si>
    <t>Nota: las cifras de vides viníferas de los años 2008, 2009 y 2010 están ajustadas y no corresponden exactamente a las publicadas por el SAG, debido a dificultades en la recopilación de la información de ese tipo de plantaciones que se produjeron en dichos años, especialmente en las regiones del Maule y del Bío Bío.</t>
  </si>
  <si>
    <t>(a) Cifras de vides pisqueras son estimaciones sobre la base de la información de los años anteriores, considerando que la información oficial del SAG presenta una subestimación (ver nota b). En 2012 la cifra oficial (que no se presenta en el cuadro) se mantiene cierta subestimación de la vid pisquera.</t>
  </si>
  <si>
    <t>(c ) Las cifras de plantaciones de uva de mesa corresponden a estimaciones efectuadas por Odepa</t>
  </si>
  <si>
    <t>Catastro 2017</t>
  </si>
  <si>
    <t>Catastro 2018</t>
  </si>
  <si>
    <t>Catastro 2019</t>
  </si>
  <si>
    <t>Blancas</t>
  </si>
  <si>
    <t>Tintas</t>
  </si>
  <si>
    <t>Arica</t>
  </si>
  <si>
    <t>Tarapaca</t>
  </si>
  <si>
    <t>del Maule</t>
  </si>
  <si>
    <t>del Bío Bío</t>
  </si>
  <si>
    <t>La Araucanía</t>
  </si>
  <si>
    <t>Total nacional</t>
  </si>
  <si>
    <r>
      <rPr>
        <i/>
        <sz val="9"/>
        <rFont val="Calibri"/>
        <family val="2"/>
      </rPr>
      <t>Fuente</t>
    </r>
    <r>
      <rPr>
        <sz val="9"/>
        <rFont val="Calibri"/>
        <family val="2"/>
      </rPr>
      <t>: Catastros Vitícolas del SAG.</t>
    </r>
  </si>
  <si>
    <t>Cepaje</t>
  </si>
  <si>
    <t>Años</t>
  </si>
  <si>
    <t>C.  Sauv.</t>
  </si>
  <si>
    <t>S. Blanc</t>
  </si>
  <si>
    <t>Carmenère</t>
  </si>
  <si>
    <t>M. Alejandría</t>
  </si>
  <si>
    <t>C. Franc</t>
  </si>
  <si>
    <t>Totales</t>
  </si>
  <si>
    <r>
      <rPr>
        <i/>
        <sz val="9"/>
        <rFont val="Calibri"/>
        <family val="2"/>
      </rPr>
      <t>Fuente</t>
    </r>
    <r>
      <rPr>
        <sz val="9"/>
        <rFont val="Calibri"/>
        <family val="2"/>
      </rPr>
      <t>: Catastro Vitícola, SAG.</t>
    </r>
  </si>
  <si>
    <r>
      <t xml:space="preserve">Nota del SAG a las cifras anteriores: </t>
    </r>
    <r>
      <rPr>
        <sz val="9"/>
        <color indexed="8"/>
        <rFont val="Calibri"/>
        <family val="2"/>
      </rPr>
      <t xml:space="preserve">La baja en la superficie plantada del cepaje País entre los años 2007 y 2008 se debe a que los productores no actualizaron la información de plantación a través del sistema en línea implementado por el Servicio, lo que ha sido actualizado en operativos de catastro realizados en los años 2010 y 2011 en las regiones de Bío Bío y Maule, respectivamente. </t>
    </r>
  </si>
  <si>
    <t>TINTOS</t>
  </si>
  <si>
    <t>BLANCOS</t>
  </si>
  <si>
    <t>% Diferencia tintos</t>
  </si>
  <si>
    <t>% Diferencia blancos</t>
  </si>
  <si>
    <t>Chile genérico tinto</t>
  </si>
  <si>
    <t>Argentino tinto</t>
  </si>
  <si>
    <t>Chile Semillón</t>
  </si>
  <si>
    <t>Argentino blanco</t>
  </si>
  <si>
    <t>Moscatel de Alejandría</t>
  </si>
  <si>
    <r>
      <rPr>
        <i/>
        <sz val="9"/>
        <rFont val="Calibri"/>
        <family val="2"/>
      </rPr>
      <t>Fuente</t>
    </r>
    <r>
      <rPr>
        <sz val="9"/>
        <rFont val="Calibri"/>
        <family val="2"/>
      </rPr>
      <t>: elaborado por Odepa con información del SAG</t>
    </r>
  </si>
  <si>
    <t>Cepa</t>
  </si>
  <si>
    <t>Evolución de la producción de vinos con DO por cepa</t>
  </si>
  <si>
    <t>O’Higgins</t>
  </si>
  <si>
    <t>Producción de vinos con DO por variedad año 2021</t>
  </si>
  <si>
    <t>Los demás vinos envasados menores a 2 lts.</t>
  </si>
  <si>
    <t>Nigeria</t>
  </si>
  <si>
    <t>Catastro 2020</t>
  </si>
  <si>
    <t xml:space="preserve">(b) Cifras oficiales del Catastro Vitícola 2011, donde se advierte que en el caso de vides de mesa y pisqueras se presentaron dificultades en la recopilación de la información, debidas principalmente a que la declaración de plantación a través del sistema en línea implementado por el SAG no fue actualizada por parte de muchos de los productores de este tipo de uvas </t>
  </si>
  <si>
    <t>Costa Rica</t>
  </si>
  <si>
    <t>Año 2021</t>
  </si>
  <si>
    <t>Val 2021</t>
  </si>
  <si>
    <t>Vol 2021</t>
  </si>
  <si>
    <t>Acumulado 12 meses</t>
  </si>
  <si>
    <t>Cuadro 1. Exportaciones de vinos y mostos  2022 vs 2021</t>
  </si>
  <si>
    <t>Var % 
22/21</t>
  </si>
  <si>
    <t>Var. % 22/21</t>
  </si>
  <si>
    <t xml:space="preserve">% Part.2022 </t>
  </si>
  <si>
    <t>Argentina</t>
  </si>
  <si>
    <t>Acumulado años 2021 y 2022</t>
  </si>
  <si>
    <t>Director y Representante Legal</t>
  </si>
  <si>
    <t>Carolina Buzzetti Horta</t>
  </si>
  <si>
    <t>Exportación de vinos y mostos 2021 - 2022</t>
  </si>
  <si>
    <t>Irlanda</t>
  </si>
  <si>
    <t>Rep. Checa</t>
  </si>
  <si>
    <t>Perú</t>
  </si>
  <si>
    <t>USD/lts</t>
  </si>
  <si>
    <t>Dólar</t>
  </si>
  <si>
    <t>Vinos Blancos</t>
  </si>
  <si>
    <t>Otros vinos</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</si>
  <si>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</si>
  <si>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</si>
  <si>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</si>
  <si>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</si>
  <si>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</si>
  <si>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</si>
  <si>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</si>
  <si>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</si>
  <si>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</si>
  <si>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</si>
  <si>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</si>
  <si>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</si>
  <si>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</si>
  <si>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</si>
  <si>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</si>
  <si>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xml:space="preserve">Promedio </t>
  </si>
  <si>
    <r>
      <rPr>
        <i/>
        <sz val="10"/>
        <color indexed="8"/>
        <rFont val="Arial"/>
        <family val="2"/>
      </rPr>
      <t>Fuente</t>
    </r>
    <r>
      <rPr>
        <sz val="10"/>
        <color indexed="8"/>
        <rFont val="Arial"/>
        <family val="2"/>
      </rPr>
      <t xml:space="preserve">: elaborado por Odepa con antecedentes de la Seremi de Agricultura de la Región del Maule.  </t>
    </r>
  </si>
  <si>
    <t/>
  </si>
  <si>
    <r>
      <rPr>
        <i/>
        <sz val="9"/>
        <color indexed="8"/>
        <rFont val="Arial"/>
        <family val="2"/>
      </rPr>
      <t>Fuente</t>
    </r>
    <r>
      <rPr>
        <sz val="9"/>
        <color indexed="8"/>
        <rFont val="Arial"/>
        <family val="2"/>
      </rPr>
      <t xml:space="preserve">: elaborado por Odepa con antecedentes de la Seremi de Agricultura de la Región del Maule.  </t>
    </r>
  </si>
  <si>
    <r>
      <rPr>
        <i/>
        <sz val="9"/>
        <color indexed="8"/>
        <rFont val="Arial"/>
        <family val="2"/>
      </rPr>
      <t>Fuente</t>
    </r>
    <r>
      <rPr>
        <sz val="9"/>
        <color indexed="8"/>
        <rFont val="Arial"/>
        <family val="2"/>
      </rPr>
      <t>: elaborado por Odepa con antecedentes de la Seremi de Agricultura de la Región del Maule.  s/t = sin transacciones.</t>
    </r>
  </si>
  <si>
    <t>Comuna</t>
  </si>
  <si>
    <t>Poder comprador</t>
  </si>
  <si>
    <t>Fecha precio vigente</t>
  </si>
  <si>
    <t>Observaciones</t>
  </si>
  <si>
    <t>Vicuña</t>
  </si>
  <si>
    <t>COOPERATIVA AGRICOLA PISQUERA ELQUI LTDA</t>
  </si>
  <si>
    <t>Moscatel de Austria</t>
  </si>
  <si>
    <t>El termino de la vendimia varia entre el 15 al 25 de mayo, actualmente pleno proceso de vendimia.</t>
  </si>
  <si>
    <t>Ovalle</t>
  </si>
  <si>
    <t>CORRETAJES TORRES Y Cia LTDA - Ovalle</t>
  </si>
  <si>
    <t>RR WINE LTDA</t>
  </si>
  <si>
    <t>Santa María</t>
  </si>
  <si>
    <t>FLAHERTY WINES LTDA.</t>
  </si>
  <si>
    <t>compra con contrato, con iva y en dolares</t>
  </si>
  <si>
    <t>compra con contrato, con iva, zona de Panquehue</t>
  </si>
  <si>
    <t>Petit Verdot</t>
  </si>
  <si>
    <t>compra con contrato, con iva y en dolares. zona San Esteban</t>
  </si>
  <si>
    <t>Panquehue</t>
  </si>
  <si>
    <t>viña von siebenthal</t>
  </si>
  <si>
    <t>Syrah (Sirah)</t>
  </si>
  <si>
    <t>precio con iva, compra con contrato, compra en dolares</t>
  </si>
  <si>
    <t>San Felipe</t>
  </si>
  <si>
    <t>flaherty wine</t>
  </si>
  <si>
    <t>compra con contrato, de la zona de panquehue</t>
  </si>
  <si>
    <t>San Fernando</t>
  </si>
  <si>
    <t>MACAYA WAAK LIMITADA</t>
  </si>
  <si>
    <t xml:space="preserve">Mínimo garantizado. </t>
  </si>
  <si>
    <t>TERRAPURA S. A.</t>
  </si>
  <si>
    <t>Precio fijo</t>
  </si>
  <si>
    <t xml:space="preserve">Mínimo garantizado </t>
  </si>
  <si>
    <t>Pais - Mission, Criolla</t>
  </si>
  <si>
    <t>mimim</t>
  </si>
  <si>
    <t>Sauvignon Blanc (Fumé)</t>
  </si>
  <si>
    <t xml:space="preserve">mínimo garantizado </t>
  </si>
  <si>
    <t>Precio fijo.</t>
  </si>
  <si>
    <t>VIÑA KOYLE S.A.</t>
  </si>
  <si>
    <t>Con contrato en 8 cuotas.</t>
  </si>
  <si>
    <t>Tintoreras</t>
  </si>
  <si>
    <t>San Javier</t>
  </si>
  <si>
    <t>ANATOLIO SEGUNDO ALBORNOZ VARGAS</t>
  </si>
  <si>
    <t>Con contrato, precio en predio, pago en 1 a 4 cuotas, sin grado base.</t>
  </si>
  <si>
    <t>Torontel blanca</t>
  </si>
  <si>
    <t>Con contrato, pago en 1 a 4 cuotas. Sin grado base. Precio en predio.</t>
  </si>
  <si>
    <t>Sagrada Familia</t>
  </si>
  <si>
    <t>BODEGA Y VIÑEDOS KORTA BUCAREY LTDA.</t>
  </si>
  <si>
    <t>Merlot (t)</t>
  </si>
  <si>
    <t>Cauquenes</t>
  </si>
  <si>
    <t>COOPERATIVA AGRÍCOLA ESPECIAL VITIVINÍCOLA DE CAUQUENES LTDA.</t>
  </si>
  <si>
    <t>Blanca Ovoide</t>
  </si>
  <si>
    <t>Con contrato, precio en predio, pago contado, base 12 grados.</t>
  </si>
  <si>
    <t>Chardonnay (b)</t>
  </si>
  <si>
    <t>Con contrato, pago al contado. Precio en predio. Base 12 grados.</t>
  </si>
  <si>
    <t xml:space="preserve">Con contrato pago al contado, </t>
  </si>
  <si>
    <t>Semillón (b)</t>
  </si>
  <si>
    <t>Con contrato, precio en predio, pago contado, base 12 grados</t>
  </si>
  <si>
    <t>Curicó</t>
  </si>
  <si>
    <t xml:space="preserve">JUCOSOL </t>
  </si>
  <si>
    <t>Con contrato, pago en 8 cuotas. Precio en predio. Sin grado base.</t>
  </si>
  <si>
    <t>Con contrato, precio en predio, pago en 8 cuotas, sin grado base.</t>
  </si>
  <si>
    <t>Con contrato, pago en 6 a 9 cuotas. Precio en predio. Base 12 grados.</t>
  </si>
  <si>
    <t>Con contrato, precio en predio, pago en 6 a 9 cuotas, base 12 grados.</t>
  </si>
  <si>
    <t>Con contrato, precio en predio, pago en 6 a 9 cuotas, base 12 grados</t>
  </si>
  <si>
    <t>Con Contrato, pago en 6 a 9 cuotas. Precio en predio.</t>
  </si>
  <si>
    <t>Sociedad Agroindustrial Cerrillos LTDA.</t>
  </si>
  <si>
    <t>Con contrato, pago en 2 cuotas. Precio en predio. Sin grado base.</t>
  </si>
  <si>
    <t>Rauco</t>
  </si>
  <si>
    <t>VIÑA LAS PITRAS</t>
  </si>
  <si>
    <t>Con contrato, pago en 6 cuotas. Precio en bodega. Sin grado base.</t>
  </si>
  <si>
    <t>VIÑA MARTY S.P.A.</t>
  </si>
  <si>
    <t>Con contrato, precio en predio, pago 10 cuotas, sin grado base.</t>
  </si>
  <si>
    <t>Con contrato 10 cuotas, precio en predio. Sin grado base.</t>
  </si>
  <si>
    <t>Linares</t>
  </si>
  <si>
    <t>VIÑA PORTAL DEL SUR S.A.</t>
  </si>
  <si>
    <t>Teno</t>
  </si>
  <si>
    <t>VIÑA SANTA IRENE LTDA.</t>
  </si>
  <si>
    <t>Con contrato, precio en bodega, pago en tres cuotas, sin grado base.</t>
  </si>
  <si>
    <t>Con contrato en 3 cuotas. Precio en bodega. Sin grado base.</t>
  </si>
  <si>
    <t>VIÑEDOS GURFINKEL LTDA.</t>
  </si>
  <si>
    <t>Con contrato, precio en bodega, pago contado, base 12 grados.</t>
  </si>
  <si>
    <t>Ninhue</t>
  </si>
  <si>
    <t>Agrícola zunica ltda</t>
  </si>
  <si>
    <t>precio minimo garantizado, reajustable a final de temporada, se trabaja con agricultores con y sin contrato, sin grados brix.</t>
  </si>
  <si>
    <t>Ranquil</t>
  </si>
  <si>
    <t>Centinelas del Itata SPA</t>
  </si>
  <si>
    <t>precio minimo garantizado, sin considerar grados brix, con y sin contrato.</t>
  </si>
  <si>
    <t>precio minimo garantizado, reajustable a final de temporada, sin considerar grados brix, compra con y sin contrato.</t>
  </si>
  <si>
    <t>CUVAS DE NINHUE</t>
  </si>
  <si>
    <t>precio minimo garantizado, reajustable a final de temporada, se trabaja solo con contratos y se pide grados brix (23°).</t>
  </si>
  <si>
    <t>Portezuelo</t>
  </si>
  <si>
    <t>ECOPARRA SPA(Sociedad Agrícola y Comerci</t>
  </si>
  <si>
    <t>precio minimo garantizado, reajustable a final de temporada. se trabaja con productores con y sin contrato.</t>
  </si>
  <si>
    <t>precio minimo garantizado, reajustable a fin de temporada. Con y sin contrato.</t>
  </si>
  <si>
    <t>Viña Matori</t>
  </si>
  <si>
    <t>precio minimo garantizado, reajustable a final de temporada, se trabaja solo con contratos y se les pide (21°) grados brix.</t>
  </si>
  <si>
    <t>Florida</t>
  </si>
  <si>
    <t>VIÑEDOS DE RAHUIL ALTO. FLORIDA.</t>
  </si>
  <si>
    <t>Cinsault</t>
  </si>
  <si>
    <t>precio con consideracion de grados brix(23°), reliquidacion a final de temporada, pago a 30 dias con catrasto vitivinicola. se le compra a socios y no</t>
  </si>
  <si>
    <t>Val</t>
  </si>
  <si>
    <t>Vinos Tintos</t>
  </si>
  <si>
    <t>Otros Vinos</t>
  </si>
  <si>
    <t>Valor medio de exportación vino a granel (USD/litro)</t>
  </si>
  <si>
    <t>Valor medio de exportación vino a granel (CLP/litro)</t>
  </si>
  <si>
    <t>Precios a productor de vino genérico tinto</t>
  </si>
  <si>
    <t>Precios a productor de vino Cabernet</t>
  </si>
  <si>
    <t>Precios a productor de vino País</t>
  </si>
  <si>
    <t>Precios a productor de vino Semillón</t>
  </si>
  <si>
    <t>Precios de uva a productor. Región de Coquimbo</t>
  </si>
  <si>
    <t>Precios de uva a productor. Región de Valparaíso</t>
  </si>
  <si>
    <t>Precios de uva a productor. Región de O´Higgins</t>
  </si>
  <si>
    <t>Precios de uva a productor. Región del Maule</t>
  </si>
  <si>
    <t>Precios de uva a productor. Región de Ñuble</t>
  </si>
  <si>
    <t>Precios de uva a productor. Región de Biobío</t>
  </si>
  <si>
    <t>Cuadro 21. Existencias por regiones al 31 de diciembre de cada año ( mil litros)</t>
  </si>
  <si>
    <t xml:space="preserve">Cuadro 22. Existencias de vinos con DO por variedades </t>
  </si>
  <si>
    <r>
      <rPr>
        <i/>
        <sz val="10"/>
        <color indexed="8"/>
        <rFont val="Arial"/>
        <family val="2"/>
      </rPr>
      <t>Fuente</t>
    </r>
    <r>
      <rPr>
        <sz val="10"/>
        <color indexed="8"/>
        <rFont val="Arial"/>
        <family val="2"/>
      </rPr>
      <t>: Odepa</t>
    </r>
  </si>
  <si>
    <t>Ivan Rodriguez Rojas (S)</t>
  </si>
  <si>
    <t>Cuadro 3. Exportaciones de vino granel por rangos de precios 
2019 - 2020 - 2021</t>
  </si>
  <si>
    <t xml:space="preserve">Vinos tintos  </t>
  </si>
  <si>
    <t>Estimado junto con saludar se informa que la vendimia en las plantas Elqui y Limarí estan proyectadas para el 15 de mayo puede variar un par de dias p</t>
  </si>
  <si>
    <t>viña el almendral</t>
  </si>
  <si>
    <t>Casablanca</t>
  </si>
  <si>
    <t>VIÑA INDOMITA S. A.</t>
  </si>
  <si>
    <t>viña mendoza</t>
  </si>
  <si>
    <t>Pinot negro (Noir)</t>
  </si>
  <si>
    <t>Gewurstraminer</t>
  </si>
  <si>
    <t>Marselan</t>
  </si>
  <si>
    <t>Riesling</t>
  </si>
  <si>
    <t>Viognier</t>
  </si>
  <si>
    <t>con contrato, precio en dolares, con iva incluido</t>
  </si>
  <si>
    <t>con contrato, valor en dolares, con iva</t>
  </si>
  <si>
    <t>con contrato</t>
  </si>
  <si>
    <t>con contrato, valor en dolar, iva incluido</t>
  </si>
  <si>
    <t>con contrato, con iva, en dolares</t>
  </si>
  <si>
    <t>sin contrato, zona panquehue</t>
  </si>
  <si>
    <t>sin contrato, compra en san esteban</t>
  </si>
  <si>
    <t>precio sin iva, sin contrato</t>
  </si>
  <si>
    <t xml:space="preserve">precio más IVA </t>
  </si>
  <si>
    <t>sin contrato, de la zona del aconcagua</t>
  </si>
  <si>
    <t>sin contrato</t>
  </si>
  <si>
    <t>solo se compro esta variedad, con contrato</t>
  </si>
  <si>
    <t>Molina</t>
  </si>
  <si>
    <t>VINÍCOLA PATACON S.P.A.</t>
  </si>
  <si>
    <t>VIÑA PIRAZZOLI LTDA.</t>
  </si>
  <si>
    <t>VITIVINÍCOLA LOS CERRILLOS Y CÍA. LTDA.</t>
  </si>
  <si>
    <t>Río Claro</t>
  </si>
  <si>
    <t>ARESTI CHILE WINE S.A.</t>
  </si>
  <si>
    <t>SOC. AGRÍCOLA REQUINGUA LTDA.</t>
  </si>
  <si>
    <t>Viña Correa Albano</t>
  </si>
  <si>
    <t>AGUILERA Y BARRIOS LIMITADA</t>
  </si>
  <si>
    <t>Hacienda Zuñiga SPA</t>
  </si>
  <si>
    <t>VIÑA BALDUZZI</t>
  </si>
  <si>
    <t>Villa Alegre</t>
  </si>
  <si>
    <t>Viña Saavedra</t>
  </si>
  <si>
    <t>Carignan (Cariñena)</t>
  </si>
  <si>
    <t>Con contrato, precio en predio, pago en 3 a 8 cuotas, base 12 grados.</t>
  </si>
  <si>
    <t xml:space="preserve">Con contrato, pago de 3 a 8 cuotas. Precio en predio. </t>
  </si>
  <si>
    <t>Con contrato, pago de 3 a 8 cuotas. Precio en predio. Base 12 grados.</t>
  </si>
  <si>
    <t>Con contrato, precio en predio, pago en 3 a 8 cuotas, sin grado base</t>
  </si>
  <si>
    <t>Con contrato, pago de 3 a 8 cuotas. precio en predio. Base 12 grados.</t>
  </si>
  <si>
    <t>Con contrato, precio en predio, pago en 8 cuotas, base 12 grados.</t>
  </si>
  <si>
    <t>Con contrato. Pago en 8 cuotas. Precio en predio. Base 12 grados.</t>
  </si>
  <si>
    <t>Con contrato, pago en 8 cuotas, precio en predio, base 12 grados.</t>
  </si>
  <si>
    <t>Con contrato en 8 cuotas. Precio en predio. Base 12 grados.</t>
  </si>
  <si>
    <t>Con contrato, pago en 8 cuotas. precio en predio. Base 12 grados.</t>
  </si>
  <si>
    <t>Con contrato, pago en 8 cuotas. Precio en predio.</t>
  </si>
  <si>
    <t>Con contrato, pago en 6 cuotas. Precio en predio sin grado base.</t>
  </si>
  <si>
    <t>Con contrato, precio en predio, pago e 6 cuotas, sin grado base.</t>
  </si>
  <si>
    <t>Con contrato en 6 cuotas. Precio en predio. Sin grado base.</t>
  </si>
  <si>
    <t>Con contrato, pago en 6 cuotas. Precio en predio. Sin grado base.</t>
  </si>
  <si>
    <t>Con contrato, precio en predio, pago en 6 cuotas, sin grado base.</t>
  </si>
  <si>
    <t xml:space="preserve">Con contrato,sin cuotas. Precio en predio. </t>
  </si>
  <si>
    <t>Con contrato, pago en 6 cuotas. Precio en predio. Base 12 grados.</t>
  </si>
  <si>
    <t>Con contrato, pago en 12 cuotas. Precio en predio. Base 12 grados.</t>
  </si>
  <si>
    <t>Con contrato, pago en 8 cuotas, precio en predio,  base 12 grados.</t>
  </si>
  <si>
    <t>Con contrato 3 cuotas. Precio en predio. Sin grado base.</t>
  </si>
  <si>
    <t>Con contrato, precio en predio, pago en 4 a 10 cuotas, base 12 grados</t>
  </si>
  <si>
    <t>Con contrato de 4 a 10 cuotas. Precio en predio. Base 12 grados.</t>
  </si>
  <si>
    <t>Con contrato, precio en predio, pago en 4 a 10 cuotas, base 12 grados.</t>
  </si>
  <si>
    <t>Con contrato de 4 a 10 cuotas. Precio en predio base 12 grado.</t>
  </si>
  <si>
    <t>Con contrato, precio en predio, pago en 1 cuota, base 12 grados</t>
  </si>
  <si>
    <t>Con contrato de 4 a 10 cuotas. Precio en predio. Base 12 grado.</t>
  </si>
  <si>
    <t>Con contrato, precio en predio, pago en 4 a 10 cuotas base 12 grados.</t>
  </si>
  <si>
    <t>Con contrato, precio en predio, pago en 4 a 10 cuotas, sin grado base.</t>
  </si>
  <si>
    <t>Con contrato de 3 a 12 cuotas, precio en predio. Base 12 grados.</t>
  </si>
  <si>
    <t>Con contrato de 3 a 12 cuotas. Precio en predio. Base 12 grados.</t>
  </si>
  <si>
    <t>Con contrato, precio en predio, pago en 3 a 12 cuotas, base 12 grados.</t>
  </si>
  <si>
    <t>Con contrato de 3 a 12  cuotas. Precio en predio. Base 12 grados.</t>
  </si>
  <si>
    <t>Con contrato, precio en predio, pago en 3 a 12 cuotas, sin grado base.</t>
  </si>
  <si>
    <t>Con contrato, precio en predio, pago en 3 cuotas, sin grado base.</t>
  </si>
  <si>
    <t xml:space="preserve">Con contrato, precio en bodega, pago en 3 cuotas, sin grado base </t>
  </si>
  <si>
    <t>Con contrato, precio en predio, pago en 1 cuota, sin grado base.</t>
  </si>
  <si>
    <t>Con contrato, pago en 1 cuota. Precio en predio.</t>
  </si>
  <si>
    <t>Con contrato, precio en predio, pago en 2 cuotas, sin grado base.</t>
  </si>
  <si>
    <t xml:space="preserve">Con contrato en 1 cuota. Precio en predio. </t>
  </si>
  <si>
    <t>Con contrato pago en 6 cuotas. Precio en predio. Base 12 grados.</t>
  </si>
  <si>
    <t>Con contrato, precio en predio, pago en 6 cuotas, base 12 grados.</t>
  </si>
  <si>
    <t>Con contrato, precio en predio, pago en 1 cuota, base 12 grados.</t>
  </si>
  <si>
    <t>Con contrato, pago en 1 cuota . Precio en predio.</t>
  </si>
  <si>
    <t>Con contrato, precio en predio, pago en 3 a 6 cuotas, base 12 grados.</t>
  </si>
  <si>
    <t>Con contrato, de 3 a 5 cuotas. Precio en predio. Sin grado base.</t>
  </si>
  <si>
    <t>Coelemu</t>
  </si>
  <si>
    <t xml:space="preserve">Viña Matori </t>
  </si>
  <si>
    <t>Quillón</t>
  </si>
  <si>
    <t>BENIGNO CEA RUBIO ( SECTOR CERRO NEGRO - QUILLÓN )</t>
  </si>
  <si>
    <t>COMERCIALIZADORA LA PATAGUA SPA</t>
  </si>
  <si>
    <t xml:space="preserve">BENIGNO CEA RUBIOS </t>
  </si>
  <si>
    <t>COMERCIALIZADORA LA PATAGUA SPA( SECTOR EL MANZANO - RÁNQUIL )</t>
  </si>
  <si>
    <t>precios mínimo garantizado y reajustable a final de temporada, sin considerar grados brix y sin contrato.</t>
  </si>
  <si>
    <t>precios mínimo garantizado y reajustable a final de temporada, sin considerar grados brix, se le comprar a los socios y no socios.</t>
  </si>
  <si>
    <t xml:space="preserve">precio mínimo garantizado,  reajustable a final de temporada, sin considerar grados brix, con y sin contrato </t>
  </si>
  <si>
    <t>precios mínimo garantizado y reajustable a final de temporada, sin considerar grados brix con y sin contrato</t>
  </si>
  <si>
    <t>precios mínimo garantizado,  reajustable a final de temporada sin considerar grados brix  se compra a todos los productores.</t>
  </si>
  <si>
    <t>precios mínimo garantizado, reajustable a final de temporada, sin considerar grados brix, con y sin contrato.</t>
  </si>
  <si>
    <t xml:space="preserve">precios mínimo garantizado y reajustable a final de temporada, se le comprar a todos los productores </t>
  </si>
  <si>
    <t>Yumbel</t>
  </si>
  <si>
    <t>COMERCIALIZADORA LA PATAGUA SPA ( YUMBEL )</t>
  </si>
  <si>
    <t xml:space="preserve">precios sin considerar grados brix pero se hacen visita a terreno para verificar dichos grados y se comprar a los socios y no socios   acopio apoyado </t>
  </si>
  <si>
    <t>precios reajustable al final de la temporada, sin considerar grados brix se le comprar a los socios y no socios.</t>
  </si>
  <si>
    <t>Henrriquez Hnos. LTDA. (viña el Aromo).</t>
  </si>
  <si>
    <t>Cuadro 2. Exportaciones de vino con denominación de origen por rangos de precios 
2019 - 2020 - 2021</t>
  </si>
  <si>
    <t>Suiza</t>
  </si>
  <si>
    <t xml:space="preserve">   Vino a granel</t>
  </si>
  <si>
    <t>Precio vigente ($/kg)</t>
  </si>
  <si>
    <t>Esta información esta disponible en formato interactivo power bi</t>
  </si>
  <si>
    <t xml:space="preserve">Cuadro 4. Exportaciones de vinos y alcoholes según variedad </t>
  </si>
  <si>
    <t>Cuadro 5. Exportaciones  de vinos con denominación de origen por país de destino</t>
  </si>
  <si>
    <t>Cuadro 6. Exportaciones  de vinos a granel por país de destino</t>
  </si>
  <si>
    <t>Cuadro 7. Exportaciones  de los demás vinos en envases entre 2 y 10 lts por país de destino</t>
  </si>
  <si>
    <t>Cuadro 8. Exportaciones de vino espumoso por país de destino</t>
  </si>
  <si>
    <t>Cuadro 9. Precios de uva a productor. Región de Coquimbo</t>
  </si>
  <si>
    <t>Cuadro 10. Precios de uva a productor. Región de Valparaíso (continuación)</t>
  </si>
  <si>
    <t>Cuadro 10. Precios de uva a productor. Región de Valparaíso</t>
  </si>
  <si>
    <t>Cuadro 11. Precios de uva a productor. Región de O´Higgins</t>
  </si>
  <si>
    <t>Cuadro 12. Precios de uva a productor. Región del Maule</t>
  </si>
  <si>
    <t>Cuadro 12. Precios de uva a productor. Región del Maule (continuación)</t>
  </si>
  <si>
    <t>Cuadro 13. Precios de uva a productor. Región del Ñuble</t>
  </si>
  <si>
    <t>Cuadro 13. Precios de uva a productor. Región del Ñuble (continuación)</t>
  </si>
  <si>
    <t>Cuadro 14. Precios de uva a productor. Región del Biobío</t>
  </si>
  <si>
    <t>Cuadro 15. Precios a productor de vino genérico tinto</t>
  </si>
  <si>
    <t>Cuadro 16. Precios a productor de vino Cabernet</t>
  </si>
  <si>
    <t>Cuadro 17. Precios a productor de vino País</t>
  </si>
  <si>
    <t>Cuadro 18. Precios a productor de vino Semillón</t>
  </si>
  <si>
    <t>Cuadro 20. Evolución de la producción de vinos con DO por variedad (miles de litros)</t>
  </si>
  <si>
    <t>Cuadro 23. Evolución de la superficie plantada con vides, período 2008 a 2020 (ha)</t>
  </si>
  <si>
    <t>Cuadro 24. Plantaciones de vides para vinificación por cepajes blancos y tintos por regiones (ha)</t>
  </si>
  <si>
    <t>Cuadro 25. Evolución de la superficie plantada con los principales cepajes para exportación (ha)</t>
  </si>
  <si>
    <t>Cuadro 26. Estadísticas del mercado del vino en Chile (millones de litros)</t>
  </si>
  <si>
    <t>Cuadro 27. Exportaciones de pisco y similares por país de destino</t>
  </si>
  <si>
    <t>Cuadro 11. Precios de uva a productor. Región de O´Higgins (continuación)</t>
  </si>
  <si>
    <t>Cuadro 14. Precios de uva a productor. Región del Biobío (continuación)</t>
  </si>
  <si>
    <t>22-23-24</t>
  </si>
  <si>
    <t>24-25</t>
  </si>
  <si>
    <t>25-26-27-28-29-30-31</t>
  </si>
  <si>
    <t>32-33</t>
  </si>
  <si>
    <t>33-34</t>
  </si>
  <si>
    <t xml:space="preserve">TOTAL EXPORTACIONES VINOS </t>
  </si>
  <si>
    <t>Cuadro 19. Producción de vinos en los años 2021 y 2022, por regiones y categorías (miles de litros)</t>
  </si>
  <si>
    <t>Prod DO 2021</t>
  </si>
  <si>
    <t>Prod do 2022</t>
  </si>
  <si>
    <t>Septiembre 2022</t>
  </si>
  <si>
    <t>Avance a agosto 2022</t>
  </si>
  <si>
    <t>Ene - ago 21</t>
  </si>
  <si>
    <t>Ene - ago 22</t>
  </si>
  <si>
    <t>Sep 20 - ago 21</t>
  </si>
  <si>
    <t>Sep 21- ago 22</t>
  </si>
  <si>
    <t>Ene - ago</t>
  </si>
  <si>
    <t>Enero - agosto</t>
  </si>
  <si>
    <t>Var.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</si>
</sst>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1" formatCode="_ * #,##0_ ;_ * \-#,##0_ ;_ * &quot;-&quot;_ ;_ @_ "/>
    <numFmt numFmtId="43" formatCode="_ * #,##0.00_ ;_ * \-#,##0.00_ ;_ * &quot;-&quot;??_ ;_ @_ "/>
    <numFmt numFmtId="164" formatCode="_-* #,##0.00\ _€_-;\-* #,##0.00\ _€_-;_-* &quot;-&quot;??\ _€_-;_-@_-"/>
    <numFmt numFmtId="165" formatCode="_-* #,##0_-;\-* #,##0_-;_-* &quot;-&quot;_-;_-@_-"/>
    <numFmt numFmtId="166" formatCode="_-* #,##0.00_-;\-* #,##0.00_-;_-* &quot;-&quot;??_-;_-@_-"/>
    <numFmt numFmtId="167" formatCode="#,##0.0"/>
    <numFmt numFmtId="168" formatCode="0.0%"/>
    <numFmt numFmtId="169" formatCode="0.0"/>
    <numFmt numFmtId="170" formatCode="_-* #,##0.00\ _p_t_a_-;\-* #,##0.00\ _p_t_a_-;_-* &quot;-&quot;??\ _p_t_a_-;_-@_-"/>
    <numFmt numFmtId="171" formatCode="_-* #,##0_-;\-* #,##0_-;_-* &quot;-&quot;??_-;_-@_-"/>
    <numFmt numFmtId="172" formatCode="_ * #,##0.0_ ;_ * \-#,##0.0_ ;_ * &quot;-&quot;_ ;_ @_ "/>
    <numFmt numFmtId="173" formatCode="_ * #,##0.0_ ;_ * \-#,##0.0_ ;_ * &quot;-&quot;?_ ;_ @_ "/>
    <numFmt numFmtId="174" formatCode="#,##0.000"/>
    <numFmt numFmtId="175" formatCode="_ * #,##0.00_ ;_ * \-#,##0.00_ ;_ * &quot;-&quot;_ ;_ @_ "/>
  </numFmts>
  <fonts count="69" x14ac:knownFonts="1">
    <font>
      <sz val="11"/>
      <color theme="1"/>
      <name val="Calibri"/>
      <family val="2"/>
      <scheme val="minor"/>
    </font>
    <font>
      <sz val="11"/>
      <color theme="1"/>
      <name val="Calibri"/>
      <family val="2"/>
      <scheme val="minor"/>
    </font>
    <font>
      <b/>
      <sz val="11"/>
      <color theme="1"/>
      <name val="Calibri"/>
      <family val="2"/>
      <scheme val="minor"/>
    </font>
    <font>
      <sz val="24"/>
      <color theme="4" tint="-0.499984740745262"/>
      <name val="Calibri"/>
      <family val="2"/>
      <scheme val="minor"/>
    </font>
    <font>
      <sz val="12"/>
      <color theme="1"/>
      <name val="Calibri"/>
      <family val="2"/>
      <scheme val="minor"/>
    </font>
    <font>
      <sz val="14"/>
      <color theme="1"/>
      <name val="Calibri"/>
      <family val="2"/>
      <scheme val="minor"/>
    </font>
    <font>
      <sz val="7"/>
      <name val="Calibri"/>
      <family val="2"/>
      <scheme val="minor"/>
    </font>
    <font>
      <b/>
      <sz val="7"/>
      <color rgb="FF0066CC"/>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b/>
      <sz val="11"/>
      <name val="Calibri"/>
      <family val="2"/>
      <scheme val="minor"/>
    </font>
    <font>
      <sz val="10"/>
      <name val="Calibri"/>
      <family val="2"/>
      <scheme val="minor"/>
    </font>
    <font>
      <b/>
      <sz val="10"/>
      <name val="Calibri"/>
      <family val="2"/>
      <scheme val="minor"/>
    </font>
    <font>
      <sz val="10"/>
      <name val="Arial"/>
      <family val="2"/>
    </font>
    <font>
      <sz val="9"/>
      <name val="Calibri"/>
      <family val="2"/>
      <scheme val="minor"/>
    </font>
    <font>
      <sz val="9"/>
      <name val="Calibri"/>
      <family val="2"/>
    </font>
    <font>
      <b/>
      <sz val="10"/>
      <color rgb="FFFF0000"/>
      <name val="Calibri"/>
      <family val="2"/>
      <scheme val="minor"/>
    </font>
    <font>
      <sz val="10"/>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9"/>
      <color theme="1"/>
      <name val="Calibri"/>
      <family val="2"/>
      <scheme val="minor"/>
    </font>
    <font>
      <sz val="11"/>
      <name val="Arial"/>
      <family val="2"/>
    </font>
    <font>
      <sz val="11"/>
      <name val="Calibri"/>
      <family val="2"/>
      <scheme val="minor"/>
    </font>
    <font>
      <sz val="11"/>
      <color theme="1"/>
      <name val="Arial"/>
      <family val="2"/>
    </font>
    <font>
      <sz val="8"/>
      <name val="Arial"/>
      <family val="2"/>
    </font>
    <font>
      <sz val="10"/>
      <color indexed="8"/>
      <name val="Calibri"/>
      <family val="2"/>
    </font>
    <font>
      <u/>
      <sz val="10"/>
      <color indexed="12"/>
      <name val="Arial"/>
      <family val="2"/>
    </font>
    <font>
      <sz val="9"/>
      <color indexed="8"/>
      <name val="Calibri"/>
      <family val="2"/>
    </font>
    <font>
      <i/>
      <sz val="9"/>
      <color indexed="8"/>
      <name val="Calibri"/>
      <family val="2"/>
    </font>
    <font>
      <i/>
      <sz val="9"/>
      <name val="Calibri"/>
      <family val="2"/>
    </font>
    <font>
      <sz val="11"/>
      <name val="Calibri"/>
      <family val="2"/>
    </font>
    <font>
      <i/>
      <sz val="11"/>
      <name val="Calibri"/>
      <family val="2"/>
    </font>
    <font>
      <u/>
      <sz val="10"/>
      <color theme="10"/>
      <name val="Arial"/>
      <family val="2"/>
    </font>
    <font>
      <u/>
      <sz val="11"/>
      <color theme="10"/>
      <name val="Calibri"/>
      <family val="2"/>
      <scheme val="minor"/>
    </font>
    <font>
      <sz val="11"/>
      <color rgb="FF9C0006"/>
      <name val="Arial"/>
      <family val="2"/>
    </font>
    <font>
      <sz val="11"/>
      <color rgb="FF9C6500"/>
      <name val="Arial"/>
      <family val="2"/>
    </font>
    <font>
      <sz val="11"/>
      <color rgb="FF9C6500"/>
      <name val="Calibri"/>
      <family val="2"/>
      <scheme val="minor"/>
    </font>
    <font>
      <b/>
      <sz val="11"/>
      <color theme="1"/>
      <name val="Arial"/>
      <family val="2"/>
    </font>
    <font>
      <sz val="9"/>
      <color theme="1"/>
      <name val="Arial"/>
      <family val="2"/>
    </font>
    <font>
      <sz val="8"/>
      <color theme="1"/>
      <name val="Verdana"/>
      <family val="2"/>
    </font>
    <font>
      <sz val="10"/>
      <color theme="0"/>
      <name val="Calibri"/>
      <family val="2"/>
      <scheme val="minor"/>
    </font>
    <font>
      <i/>
      <sz val="11"/>
      <name val="Calibri"/>
      <family val="2"/>
      <scheme val="minor"/>
    </font>
    <font>
      <i/>
      <sz val="9"/>
      <color theme="1"/>
      <name val="Calibri"/>
      <family val="2"/>
      <scheme val="minor"/>
    </font>
    <font>
      <sz val="9"/>
      <name val="Arial"/>
      <family val="2"/>
    </font>
    <font>
      <i/>
      <sz val="10"/>
      <color indexed="8"/>
      <name val="Calibri"/>
      <family val="2"/>
    </font>
    <font>
      <sz val="8"/>
      <name val="Calibri"/>
      <family val="2"/>
      <scheme val="minor"/>
    </font>
    <font>
      <sz val="14"/>
      <color rgb="FF000000"/>
      <name val="Arial"/>
      <family val="2"/>
    </font>
    <font>
      <b/>
      <sz val="10"/>
      <name val="Arial"/>
      <family val="2"/>
    </font>
    <font>
      <sz val="11"/>
      <color rgb="FF000000"/>
      <name val="Calibri"/>
      <family val="2"/>
      <scheme val="minor"/>
    </font>
    <font>
      <sz val="10"/>
      <color theme="1"/>
      <name val="Arial"/>
      <family val="2"/>
    </font>
    <font>
      <sz val="9"/>
      <color indexed="8"/>
      <name val="Arial"/>
      <family val="2"/>
    </font>
    <font>
      <i/>
      <sz val="10"/>
      <color indexed="8"/>
      <name val="Arial"/>
      <family val="2"/>
    </font>
    <font>
      <sz val="10"/>
      <color indexed="8"/>
      <name val="Arial"/>
      <family val="2"/>
    </font>
    <font>
      <i/>
      <sz val="9"/>
      <color indexed="8"/>
      <name val="Arial"/>
      <family val="2"/>
    </font>
    <font>
      <b/>
      <sz val="9"/>
      <name val="Calibri"/>
      <family val="2"/>
      <scheme val="minor"/>
    </font>
  </fonts>
  <fills count="42">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6E6E6"/>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s>
  <borders count="8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auto="1"/>
      </left>
      <right/>
      <top style="medium">
        <color auto="1"/>
      </top>
      <bottom style="thin">
        <color auto="1"/>
      </bottom>
      <diagonal/>
    </border>
    <border>
      <left style="thin">
        <color rgb="FF999999"/>
      </left>
      <right/>
      <top/>
      <bottom/>
      <diagonal/>
    </border>
    <border>
      <left/>
      <right style="thin">
        <color rgb="FF999999"/>
      </right>
      <top/>
      <bottom/>
      <diagonal/>
    </border>
    <border>
      <left style="medium">
        <color auto="1"/>
      </left>
      <right style="thin">
        <color auto="1"/>
      </right>
      <top/>
      <bottom/>
      <diagonal/>
    </border>
    <border>
      <left style="thin">
        <color auto="1"/>
      </left>
      <right style="medium">
        <color indexed="64"/>
      </right>
      <top/>
      <bottom/>
      <diagonal/>
    </border>
    <border>
      <left style="medium">
        <color auto="1"/>
      </left>
      <right style="medium">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indexed="64"/>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406">
    <xf numFmtId="0" fontId="0" fillId="0" borderId="0"/>
    <xf numFmtId="9" fontId="1" fillId="0" borderId="0" applyFont="0" applyFill="0" applyBorder="0" applyAlignment="0" applyProtection="0"/>
    <xf numFmtId="0" fontId="1" fillId="0" borderId="0"/>
    <xf numFmtId="9" fontId="1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6" applyNumberFormat="0" applyAlignment="0" applyProtection="0"/>
    <xf numFmtId="0" fontId="27" fillId="10" borderId="17" applyNumberFormat="0" applyAlignment="0" applyProtection="0"/>
    <xf numFmtId="0" fontId="28" fillId="10" borderId="16" applyNumberFormat="0" applyAlignment="0" applyProtection="0"/>
    <xf numFmtId="0" fontId="29" fillId="0" borderId="18" applyNumberFormat="0" applyFill="0" applyAlignment="0" applyProtection="0"/>
    <xf numFmtId="0" fontId="30" fillId="11" borderId="19" applyNumberFormat="0" applyAlignment="0" applyProtection="0"/>
    <xf numFmtId="0" fontId="31" fillId="0" borderId="0" applyNumberFormat="0" applyFill="0" applyBorder="0" applyAlignment="0" applyProtection="0"/>
    <xf numFmtId="0" fontId="1" fillId="12" borderId="20" applyNumberFormat="0" applyFont="0" applyAlignment="0" applyProtection="0"/>
    <xf numFmtId="0" fontId="32" fillId="0" borderId="0" applyNumberFormat="0" applyFill="0" applyBorder="0" applyAlignment="0" applyProtection="0"/>
    <xf numFmtId="0" fontId="2" fillId="0" borderId="21"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4" fillId="0" borderId="0"/>
    <xf numFmtId="0" fontId="14" fillId="0" borderId="0"/>
    <xf numFmtId="41" fontId="1" fillId="0" borderId="0" applyFont="0" applyFill="0" applyBorder="0" applyAlignment="0" applyProtection="0"/>
    <xf numFmtId="0" fontId="37" fillId="0" borderId="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3" fillId="16" borderId="0" applyNumberFormat="0" applyBorder="0" applyAlignment="0" applyProtection="0"/>
    <xf numFmtId="0" fontId="1" fillId="16" borderId="0" applyNumberFormat="0" applyBorder="0" applyAlignment="0" applyProtection="0"/>
    <xf numFmtId="0" fontId="33" fillId="20" borderId="0" applyNumberFormat="0" applyBorder="0" applyAlignment="0" applyProtection="0"/>
    <xf numFmtId="0" fontId="1" fillId="20" borderId="0" applyNumberFormat="0" applyBorder="0" applyAlignment="0" applyProtection="0"/>
    <xf numFmtId="0" fontId="33" fillId="24" borderId="0" applyNumberFormat="0" applyBorder="0" applyAlignment="0" applyProtection="0"/>
    <xf numFmtId="0" fontId="1" fillId="24" borderId="0" applyNumberFormat="0" applyBorder="0" applyAlignment="0" applyProtection="0"/>
    <xf numFmtId="0" fontId="33" fillId="28" borderId="0" applyNumberFormat="0" applyBorder="0" applyAlignment="0" applyProtection="0"/>
    <xf numFmtId="0" fontId="1" fillId="28" borderId="0" applyNumberFormat="0" applyBorder="0" applyAlignment="0" applyProtection="0"/>
    <xf numFmtId="0" fontId="33" fillId="32" borderId="0" applyNumberFormat="0" applyBorder="0" applyAlignment="0" applyProtection="0"/>
    <xf numFmtId="0" fontId="1" fillId="32" borderId="0" applyNumberFormat="0" applyBorder="0" applyAlignment="0" applyProtection="0"/>
    <xf numFmtId="0" fontId="33" fillId="36" borderId="0" applyNumberFormat="0" applyBorder="0" applyAlignment="0" applyProtection="0"/>
    <xf numFmtId="0" fontId="1" fillId="3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8" fillId="10" borderId="16" applyNumberFormat="0" applyAlignment="0" applyProtection="0"/>
    <xf numFmtId="0" fontId="30" fillId="11" borderId="19" applyNumberFormat="0" applyAlignment="0" applyProtection="0"/>
    <xf numFmtId="0" fontId="29" fillId="0" borderId="18" applyNumberFormat="0" applyFill="0" applyAlignment="0" applyProtection="0"/>
    <xf numFmtId="0" fontId="22" fillId="0" borderId="0" applyNumberFormat="0" applyFill="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26" fillId="9" borderId="16" applyNumberFormat="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40" fillId="0" borderId="0" applyNumberFormat="0" applyFill="0" applyBorder="0" applyAlignment="0" applyProtection="0">
      <alignment vertical="top"/>
      <protection locked="0"/>
    </xf>
    <xf numFmtId="0" fontId="46" fillId="0" borderId="0" applyNumberFormat="0" applyFill="0" applyBorder="0" applyAlignment="0" applyProtection="0"/>
    <xf numFmtId="0" fontId="48" fillId="7" borderId="0" applyNumberFormat="0" applyBorder="0" applyAlignment="0" applyProtection="0"/>
    <xf numFmtId="0" fontId="24" fillId="7"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4" fontId="1"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70"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Alignment="0" applyProtection="0"/>
    <xf numFmtId="0" fontId="49" fillId="8" borderId="0" applyNumberFormat="0" applyBorder="0" applyAlignment="0" applyProtection="0"/>
    <xf numFmtId="0" fontId="50" fillId="8" borderId="0" applyNumberFormat="0" applyBorder="0" applyAlignment="0" applyProtection="0"/>
    <xf numFmtId="0" fontId="25" fillId="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0" fontId="1" fillId="12" borderId="20" applyNumberFormat="0" applyFont="0" applyAlignment="0" applyProtection="0"/>
    <xf numFmtId="9" fontId="37"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38" fillId="0" borderId="0" applyBorder="0" applyProtection="0">
      <alignment horizontal="left" vertical="top"/>
      <protection locked="0"/>
    </xf>
    <xf numFmtId="0" fontId="27" fillId="10" borderId="1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19" fillId="0" borderId="0" applyNumberFormat="0" applyFill="0" applyBorder="0" applyAlignment="0" applyProtection="0"/>
    <xf numFmtId="0" fontId="51" fillId="0" borderId="21" applyNumberFormat="0" applyFill="0" applyAlignment="0" applyProtection="0"/>
    <xf numFmtId="0" fontId="2" fillId="0" borderId="21" applyNumberFormat="0" applyFill="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0" fontId="47" fillId="0" borderId="0" applyNumberFormat="0" applyFill="0" applyBorder="0" applyAlignment="0" applyProtection="0"/>
  </cellStyleXfs>
  <cellXfs count="526">
    <xf numFmtId="0" fontId="0" fillId="0" borderId="0" xfId="0"/>
    <xf numFmtId="0" fontId="3" fillId="0" borderId="0" xfId="0" applyFont="1" applyAlignment="1">
      <alignment horizontal="center"/>
    </xf>
    <xf numFmtId="49" fontId="5" fillId="0" borderId="0" xfId="0" applyNumberFormat="1" applyFont="1" applyAlignment="1">
      <alignment horizontal="center"/>
    </xf>
    <xf numFmtId="0" fontId="0" fillId="0" borderId="0" xfId="0" applyAlignment="1">
      <alignment horizontal="center"/>
    </xf>
    <xf numFmtId="0" fontId="6" fillId="0" borderId="0" xfId="2" applyFont="1"/>
    <xf numFmtId="0" fontId="7" fillId="0" borderId="0" xfId="2" applyFont="1"/>
    <xf numFmtId="0" fontId="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0" fontId="10" fillId="0" borderId="0" xfId="0" applyFont="1" applyAlignment="1">
      <alignment horizontal="center"/>
    </xf>
    <xf numFmtId="0" fontId="12" fillId="0" borderId="0" xfId="2" applyFont="1" applyAlignment="1"/>
    <xf numFmtId="0" fontId="12" fillId="0" borderId="0" xfId="2" applyFont="1" applyAlignment="1">
      <alignment horizontal="left"/>
    </xf>
    <xf numFmtId="0" fontId="2" fillId="0" borderId="0" xfId="0" applyFont="1" applyBorder="1"/>
    <xf numFmtId="0" fontId="8" fillId="0" borderId="0" xfId="0" applyFont="1"/>
    <xf numFmtId="0" fontId="11" fillId="0" borderId="0" xfId="2" applyFont="1" applyFill="1" applyBorder="1" applyAlignment="1">
      <alignment horizontal="left"/>
    </xf>
    <xf numFmtId="0" fontId="1" fillId="0" borderId="1" xfId="0" applyFont="1" applyBorder="1"/>
    <xf numFmtId="0" fontId="17" fillId="0" borderId="0" xfId="0" applyFont="1"/>
    <xf numFmtId="9" fontId="18" fillId="0" borderId="0" xfId="1" applyFont="1"/>
    <xf numFmtId="3" fontId="9" fillId="3" borderId="8" xfId="0" applyNumberFormat="1" applyFont="1" applyFill="1" applyBorder="1"/>
    <xf numFmtId="3" fontId="9" fillId="3" borderId="9" xfId="0" applyNumberFormat="1" applyFont="1" applyFill="1" applyBorder="1"/>
    <xf numFmtId="0" fontId="8" fillId="3" borderId="9" xfId="0" applyFont="1" applyFill="1" applyBorder="1"/>
    <xf numFmtId="0" fontId="8" fillId="4" borderId="10" xfId="0" applyFont="1" applyFill="1" applyBorder="1"/>
    <xf numFmtId="0" fontId="8" fillId="4" borderId="0" xfId="0" applyFont="1" applyFill="1"/>
    <xf numFmtId="3" fontId="8" fillId="5" borderId="10" xfId="0" applyNumberFormat="1" applyFont="1" applyFill="1" applyBorder="1"/>
    <xf numFmtId="3" fontId="8" fillId="5" borderId="0" xfId="0" applyNumberFormat="1" applyFont="1" applyFill="1"/>
    <xf numFmtId="3" fontId="8" fillId="5" borderId="11" xfId="0" applyNumberFormat="1" applyFont="1" applyFill="1" applyBorder="1"/>
    <xf numFmtId="3" fontId="8" fillId="5" borderId="12" xfId="0" applyNumberFormat="1" applyFont="1" applyFill="1" applyBorder="1"/>
    <xf numFmtId="2" fontId="8" fillId="5" borderId="12" xfId="0" applyNumberFormat="1" applyFont="1" applyFill="1" applyBorder="1"/>
    <xf numFmtId="169" fontId="0" fillId="0" borderId="0" xfId="0" applyNumberFormat="1"/>
    <xf numFmtId="0" fontId="0" fillId="0" borderId="0" xfId="0" applyNumberFormat="1"/>
    <xf numFmtId="3" fontId="0" fillId="0" borderId="0" xfId="0" applyNumberFormat="1"/>
    <xf numFmtId="0" fontId="0" fillId="0" borderId="0" xfId="0"/>
    <xf numFmtId="169" fontId="12" fillId="0" borderId="0" xfId="47" applyNumberFormat="1" applyFont="1"/>
    <xf numFmtId="0" fontId="0" fillId="0" borderId="0" xfId="0" applyFont="1"/>
    <xf numFmtId="0" fontId="12" fillId="0" borderId="0" xfId="48" applyFont="1"/>
    <xf numFmtId="169" fontId="12" fillId="0" borderId="0" xfId="48" applyNumberFormat="1" applyFont="1"/>
    <xf numFmtId="0" fontId="12" fillId="0" borderId="0" xfId="0" applyFont="1"/>
    <xf numFmtId="169" fontId="12" fillId="0" borderId="0" xfId="0" applyNumberFormat="1" applyFont="1"/>
    <xf numFmtId="169" fontId="8" fillId="0" borderId="0" xfId="0" applyNumberFormat="1" applyFont="1"/>
    <xf numFmtId="2" fontId="12" fillId="0" borderId="0" xfId="0" applyNumberFormat="1" applyFont="1"/>
    <xf numFmtId="3" fontId="12" fillId="0" borderId="0" xfId="0" applyNumberFormat="1" applyFont="1"/>
    <xf numFmtId="3" fontId="8" fillId="0" borderId="0" xfId="0" applyNumberFormat="1" applyFont="1"/>
    <xf numFmtId="167" fontId="12" fillId="0" borderId="0" xfId="0" applyNumberFormat="1" applyFont="1"/>
    <xf numFmtId="169" fontId="37" fillId="0" borderId="0" xfId="50" applyNumberFormat="1"/>
    <xf numFmtId="0" fontId="35" fillId="0" borderId="0" xfId="50" applyFont="1"/>
    <xf numFmtId="169" fontId="35" fillId="0" borderId="0" xfId="50" applyNumberFormat="1" applyFont="1"/>
    <xf numFmtId="2" fontId="35" fillId="0" borderId="0" xfId="50" applyNumberFormat="1" applyFont="1"/>
    <xf numFmtId="0" fontId="35" fillId="0" borderId="0" xfId="50" applyFont="1" applyAlignment="1">
      <alignment horizontal="right"/>
    </xf>
    <xf numFmtId="41" fontId="57" fillId="0" borderId="0" xfId="5" applyFont="1"/>
    <xf numFmtId="41" fontId="52" fillId="0" borderId="0" xfId="5" applyFont="1"/>
    <xf numFmtId="2" fontId="57" fillId="0" borderId="0" xfId="50" applyNumberFormat="1" applyFont="1"/>
    <xf numFmtId="3" fontId="57" fillId="0" borderId="0" xfId="50" applyNumberFormat="1" applyFont="1"/>
    <xf numFmtId="169" fontId="57" fillId="0" borderId="0" xfId="50" applyNumberFormat="1" applyFont="1"/>
    <xf numFmtId="165" fontId="57" fillId="0" borderId="0" xfId="112" applyFont="1"/>
    <xf numFmtId="165" fontId="52" fillId="0" borderId="0" xfId="112" applyFont="1"/>
    <xf numFmtId="0" fontId="57" fillId="0" borderId="0" xfId="50" applyFont="1" applyAlignment="1">
      <alignment horizontal="right"/>
    </xf>
    <xf numFmtId="0" fontId="57" fillId="0" borderId="0" xfId="50" applyFont="1"/>
    <xf numFmtId="0" fontId="52" fillId="0" borderId="0" xfId="50" applyFont="1"/>
    <xf numFmtId="0" fontId="34" fillId="0" borderId="0" xfId="50" applyFont="1" applyBorder="1" applyAlignment="1">
      <alignment horizontal="left" vertical="center" wrapText="1"/>
    </xf>
    <xf numFmtId="0" fontId="8" fillId="0" borderId="24" xfId="50" applyFont="1" applyBorder="1" applyAlignment="1">
      <alignment horizontal="center" wrapText="1"/>
    </xf>
    <xf numFmtId="165" fontId="8" fillId="0" borderId="0" xfId="112" applyFont="1"/>
    <xf numFmtId="3" fontId="8" fillId="0" borderId="0" xfId="50" applyNumberFormat="1" applyFont="1"/>
    <xf numFmtId="171" fontId="8" fillId="0" borderId="0" xfId="50" applyNumberFormat="1" applyFont="1"/>
    <xf numFmtId="9" fontId="37" fillId="0" borderId="0" xfId="1" applyFont="1"/>
    <xf numFmtId="168" fontId="0" fillId="0" borderId="0" xfId="338" applyNumberFormat="1" applyFont="1"/>
    <xf numFmtId="3" fontId="0" fillId="0" borderId="0" xfId="50" applyNumberFormat="1" applyFont="1"/>
    <xf numFmtId="0" fontId="0" fillId="0" borderId="0" xfId="50" applyFont="1"/>
    <xf numFmtId="0" fontId="37" fillId="0" borderId="0" xfId="50"/>
    <xf numFmtId="0" fontId="53" fillId="37" borderId="25" xfId="50" applyFont="1" applyFill="1" applyBorder="1" applyAlignment="1">
      <alignment horizontal="center" vertical="top" wrapText="1"/>
    </xf>
    <xf numFmtId="0" fontId="53" fillId="37" borderId="26" xfId="50" applyFont="1" applyFill="1" applyBorder="1" applyAlignment="1">
      <alignment horizontal="center" vertical="top" wrapText="1"/>
    </xf>
    <xf numFmtId="0" fontId="53" fillId="0" borderId="27" xfId="50" applyFont="1" applyBorder="1" applyAlignment="1">
      <alignment horizontal="center" vertical="top" wrapText="1"/>
    </xf>
    <xf numFmtId="3" fontId="53" fillId="0" borderId="28" xfId="50" applyNumberFormat="1" applyFont="1" applyBorder="1" applyAlignment="1">
      <alignment horizontal="center" vertical="top" wrapText="1"/>
    </xf>
    <xf numFmtId="3" fontId="53" fillId="0" borderId="28" xfId="50" applyNumberFormat="1" applyFont="1" applyBorder="1" applyAlignment="1">
      <alignment horizontal="center" wrapText="1"/>
    </xf>
    <xf numFmtId="168" fontId="37" fillId="0" borderId="0" xfId="50" applyNumberFormat="1"/>
    <xf numFmtId="0" fontId="53" fillId="0" borderId="29" xfId="50" applyFont="1" applyBorder="1" applyAlignment="1">
      <alignment horizontal="center" vertical="top" wrapText="1"/>
    </xf>
    <xf numFmtId="3" fontId="53" fillId="0" borderId="30" xfId="50" applyNumberFormat="1" applyFont="1" applyBorder="1" applyAlignment="1">
      <alignment horizontal="center" wrapText="1"/>
    </xf>
    <xf numFmtId="3" fontId="53" fillId="0" borderId="30" xfId="50" applyNumberFormat="1" applyFont="1" applyBorder="1" applyAlignment="1">
      <alignment horizontal="center" vertical="top" wrapText="1"/>
    </xf>
    <xf numFmtId="168" fontId="37" fillId="0" borderId="0" xfId="338" applyNumberFormat="1"/>
    <xf numFmtId="0" fontId="53" fillId="0" borderId="29" xfId="50" applyFont="1" applyFill="1" applyBorder="1" applyAlignment="1">
      <alignment horizontal="center" vertical="top" wrapText="1"/>
    </xf>
    <xf numFmtId="3" fontId="53" fillId="0" borderId="30" xfId="50" applyNumberFormat="1" applyFont="1" applyFill="1" applyBorder="1" applyAlignment="1">
      <alignment horizontal="center" wrapText="1"/>
    </xf>
    <xf numFmtId="3" fontId="53" fillId="0" borderId="30" xfId="50" applyNumberFormat="1" applyFont="1" applyFill="1" applyBorder="1" applyAlignment="1">
      <alignment horizontal="center" vertical="top" wrapText="1"/>
    </xf>
    <xf numFmtId="0" fontId="1" fillId="0" borderId="0" xfId="50" applyFont="1"/>
    <xf numFmtId="0" fontId="8" fillId="0" borderId="0" xfId="50" applyFont="1"/>
    <xf numFmtId="0" fontId="54" fillId="0" borderId="0" xfId="50" applyFont="1"/>
    <xf numFmtId="0" fontId="33" fillId="0" borderId="0" xfId="50" applyFont="1"/>
    <xf numFmtId="9" fontId="33" fillId="0" borderId="0" xfId="3" applyFont="1"/>
    <xf numFmtId="2" fontId="1" fillId="0" borderId="0" xfId="50" applyNumberFormat="1" applyFont="1"/>
    <xf numFmtId="167" fontId="1" fillId="0" borderId="0" xfId="50" applyNumberFormat="1" applyFont="1"/>
    <xf numFmtId="17" fontId="1" fillId="0" borderId="0" xfId="50" applyNumberFormat="1" applyFont="1"/>
    <xf numFmtId="167" fontId="1" fillId="0" borderId="0" xfId="50" applyNumberFormat="1" applyFont="1" applyAlignment="1">
      <alignment horizontal="right" vertical="center" wrapText="1"/>
    </xf>
    <xf numFmtId="0" fontId="35" fillId="0" borderId="0" xfId="50" applyFont="1" applyFill="1"/>
    <xf numFmtId="2" fontId="0" fillId="0" borderId="0" xfId="0" applyNumberFormat="1"/>
    <xf numFmtId="0" fontId="57" fillId="0" borderId="0" xfId="50" applyFont="1" applyFill="1"/>
    <xf numFmtId="0" fontId="8" fillId="0" borderId="0" xfId="50" applyFont="1" applyFill="1" applyBorder="1" applyAlignment="1"/>
    <xf numFmtId="0" fontId="1" fillId="0" borderId="0" xfId="50" applyFont="1" applyFill="1"/>
    <xf numFmtId="167" fontId="1" fillId="0" borderId="0" xfId="50" applyNumberFormat="1" applyFont="1" applyFill="1" applyAlignment="1">
      <alignment horizontal="right" vertical="center" wrapText="1"/>
    </xf>
    <xf numFmtId="41" fontId="0" fillId="0" borderId="0" xfId="0" applyNumberFormat="1"/>
    <xf numFmtId="0" fontId="8" fillId="0" borderId="0" xfId="50" applyFont="1" applyFill="1"/>
    <xf numFmtId="3" fontId="8" fillId="0" borderId="0" xfId="50" applyNumberFormat="1" applyFont="1" applyFill="1"/>
    <xf numFmtId="41" fontId="8" fillId="0" borderId="0" xfId="50" applyNumberFormat="1" applyFont="1"/>
    <xf numFmtId="168" fontId="0" fillId="0" borderId="0" xfId="1" applyNumberFormat="1" applyFont="1"/>
    <xf numFmtId="0" fontId="60" fillId="0" borderId="0" xfId="0" applyFont="1" applyAlignment="1">
      <alignment horizontal="justify" vertical="center" wrapText="1"/>
    </xf>
    <xf numFmtId="0" fontId="2" fillId="0" borderId="39" xfId="0" applyFont="1" applyBorder="1"/>
    <xf numFmtId="0" fontId="11" fillId="0" borderId="39" xfId="2" applyFont="1" applyFill="1" applyBorder="1" applyAlignment="1">
      <alignment horizontal="left"/>
    </xf>
    <xf numFmtId="0" fontId="8" fillId="0" borderId="36" xfId="50" applyFont="1" applyBorder="1" applyAlignment="1">
      <alignment horizontal="center"/>
    </xf>
    <xf numFmtId="0" fontId="8" fillId="0" borderId="38" xfId="50" applyFont="1" applyBorder="1"/>
    <xf numFmtId="0" fontId="8" fillId="0" borderId="38" xfId="50" applyFont="1" applyBorder="1" applyAlignment="1">
      <alignment horizontal="left" vertical="center"/>
    </xf>
    <xf numFmtId="0" fontId="1" fillId="0" borderId="36" xfId="2" applyBorder="1"/>
    <xf numFmtId="3" fontId="53" fillId="41" borderId="30" xfId="50" applyNumberFormat="1" applyFont="1" applyFill="1" applyBorder="1" applyAlignment="1">
      <alignment horizontal="center" wrapText="1"/>
    </xf>
    <xf numFmtId="41" fontId="0" fillId="0" borderId="0" xfId="5" applyFont="1"/>
    <xf numFmtId="3" fontId="0" fillId="0" borderId="0" xfId="50" applyNumberFormat="1" applyFont="1" applyFill="1"/>
    <xf numFmtId="0" fontId="0" fillId="0" borderId="42" xfId="0" applyBorder="1"/>
    <xf numFmtId="0" fontId="0" fillId="0" borderId="42" xfId="0" applyBorder="1" applyAlignment="1">
      <alignment horizontal="center"/>
    </xf>
    <xf numFmtId="0" fontId="8" fillId="0" borderId="42" xfId="0" applyFont="1" applyBorder="1"/>
    <xf numFmtId="41" fontId="8" fillId="0" borderId="42" xfId="5" applyFont="1" applyBorder="1"/>
    <xf numFmtId="169" fontId="8" fillId="0" borderId="42" xfId="1" applyNumberFormat="1" applyFont="1" applyBorder="1"/>
    <xf numFmtId="3" fontId="1" fillId="0" borderId="42" xfId="0" applyNumberFormat="1" applyFont="1" applyBorder="1"/>
    <xf numFmtId="0" fontId="2" fillId="0" borderId="42" xfId="0" applyFont="1" applyBorder="1" applyAlignment="1">
      <alignment horizontal="left" vertical="center"/>
    </xf>
    <xf numFmtId="3" fontId="2" fillId="0" borderId="42" xfId="0" applyNumberFormat="1" applyFont="1" applyBorder="1"/>
    <xf numFmtId="0" fontId="1" fillId="0" borderId="42" xfId="0" applyFont="1" applyBorder="1" applyAlignment="1">
      <alignment horizontal="center" vertical="center"/>
    </xf>
    <xf numFmtId="0" fontId="2" fillId="0" borderId="42" xfId="0" applyFont="1" applyBorder="1"/>
    <xf numFmtId="3" fontId="1" fillId="0" borderId="42" xfId="0" applyNumberFormat="1" applyFont="1" applyBorder="1" applyAlignment="1">
      <alignment horizontal="left"/>
    </xf>
    <xf numFmtId="3" fontId="1" fillId="0" borderId="42" xfId="0" applyNumberFormat="1" applyFont="1" applyBorder="1" applyAlignment="1">
      <alignment horizontal="right"/>
    </xf>
    <xf numFmtId="3" fontId="2" fillId="0" borderId="42" xfId="0" applyNumberFormat="1" applyFont="1" applyBorder="1" applyAlignment="1">
      <alignment horizontal="right" vertical="center"/>
    </xf>
    <xf numFmtId="3" fontId="1" fillId="0" borderId="42" xfId="0" applyNumberFormat="1" applyFont="1" applyBorder="1" applyAlignment="1">
      <alignment horizontal="right" vertical="center"/>
    </xf>
    <xf numFmtId="3" fontId="2" fillId="0" borderId="42" xfId="0" applyNumberFormat="1" applyFont="1" applyBorder="1" applyAlignment="1">
      <alignment horizontal="right"/>
    </xf>
    <xf numFmtId="0" fontId="55" fillId="0" borderId="42" xfId="50" applyFont="1" applyFill="1" applyBorder="1"/>
    <xf numFmtId="0" fontId="36" fillId="0" borderId="42" xfId="50" applyFont="1" applyFill="1" applyBorder="1"/>
    <xf numFmtId="0" fontId="36" fillId="0" borderId="42" xfId="50" applyFont="1" applyFill="1" applyBorder="1" applyAlignment="1">
      <alignment vertical="center"/>
    </xf>
    <xf numFmtId="0" fontId="44" fillId="0" borderId="42" xfId="50" applyFont="1" applyFill="1" applyBorder="1"/>
    <xf numFmtId="0" fontId="36" fillId="40" borderId="42" xfId="50" applyFont="1" applyFill="1" applyBorder="1"/>
    <xf numFmtId="168" fontId="36" fillId="40" borderId="42" xfId="338" applyNumberFormat="1" applyFont="1" applyFill="1" applyBorder="1" applyAlignment="1">
      <alignment horizontal="center"/>
    </xf>
    <xf numFmtId="9" fontId="36" fillId="40" borderId="42" xfId="338" applyNumberFormat="1" applyFont="1" applyFill="1" applyBorder="1" applyAlignment="1">
      <alignment horizontal="center"/>
    </xf>
    <xf numFmtId="9" fontId="36" fillId="40" borderId="42" xfId="1" applyFont="1" applyFill="1" applyBorder="1" applyAlignment="1">
      <alignment horizontal="center"/>
    </xf>
    <xf numFmtId="0" fontId="8" fillId="0" borderId="42" xfId="50" applyFont="1" applyBorder="1" applyAlignment="1">
      <alignment horizontal="left" vertical="center"/>
    </xf>
    <xf numFmtId="41" fontId="8" fillId="0" borderId="42" xfId="5" applyFont="1" applyBorder="1" applyAlignment="1"/>
    <xf numFmtId="0" fontId="8" fillId="0" borderId="42" xfId="50" applyFont="1" applyBorder="1"/>
    <xf numFmtId="3" fontId="8" fillId="0" borderId="42" xfId="50" applyNumberFormat="1" applyFont="1" applyBorder="1"/>
    <xf numFmtId="9" fontId="8" fillId="0" borderId="42" xfId="50" applyNumberFormat="1" applyFont="1" applyBorder="1"/>
    <xf numFmtId="3" fontId="1" fillId="0" borderId="42" xfId="2" applyNumberFormat="1" applyBorder="1"/>
    <xf numFmtId="0" fontId="1" fillId="0" borderId="42" xfId="2" applyBorder="1"/>
    <xf numFmtId="0" fontId="0" fillId="0" borderId="42" xfId="2" applyFont="1" applyBorder="1"/>
    <xf numFmtId="3" fontId="2" fillId="0" borderId="42" xfId="50" applyNumberFormat="1" applyFont="1" applyBorder="1"/>
    <xf numFmtId="3" fontId="2" fillId="0" borderId="42" xfId="2" applyNumberFormat="1" applyFont="1" applyBorder="1"/>
    <xf numFmtId="3" fontId="1" fillId="0" borderId="42" xfId="50" applyNumberFormat="1" applyFont="1" applyBorder="1"/>
    <xf numFmtId="3" fontId="11" fillId="0" borderId="42" xfId="281" applyNumberFormat="1" applyFont="1" applyBorder="1"/>
    <xf numFmtId="0" fontId="1" fillId="0" borderId="42" xfId="50" applyFont="1" applyBorder="1" applyAlignment="1">
      <alignment horizontal="center" vertical="center"/>
    </xf>
    <xf numFmtId="0" fontId="0" fillId="0" borderId="42" xfId="50" applyFont="1" applyBorder="1" applyAlignment="1">
      <alignment horizontal="center" vertical="center"/>
    </xf>
    <xf numFmtId="0" fontId="2" fillId="0" borderId="42" xfId="50" applyFont="1" applyBorder="1" applyAlignment="1">
      <alignment horizontal="center" vertical="center"/>
    </xf>
    <xf numFmtId="0" fontId="9" fillId="0" borderId="42" xfId="50" applyFont="1" applyBorder="1" applyAlignment="1">
      <alignment horizontal="center" vertical="center"/>
    </xf>
    <xf numFmtId="3" fontId="8" fillId="39" borderId="42" xfId="50" applyNumberFormat="1" applyFont="1" applyFill="1" applyBorder="1"/>
    <xf numFmtId="3" fontId="8" fillId="0" borderId="42" xfId="50" applyNumberFormat="1" applyFont="1" applyFill="1" applyBorder="1"/>
    <xf numFmtId="0" fontId="13" fillId="0" borderId="42" xfId="50" applyFont="1" applyBorder="1" applyAlignment="1">
      <alignment horizontal="center" vertical="center"/>
    </xf>
    <xf numFmtId="167" fontId="12" fillId="0" borderId="42" xfId="50" applyNumberFormat="1" applyFont="1" applyBorder="1" applyAlignment="1">
      <alignment horizontal="right" vertical="center"/>
    </xf>
    <xf numFmtId="3" fontId="13" fillId="0" borderId="42" xfId="50" applyNumberFormat="1" applyFont="1" applyBorder="1" applyAlignment="1">
      <alignment horizontal="right" vertical="center"/>
    </xf>
    <xf numFmtId="3" fontId="36" fillId="0" borderId="42" xfId="50" applyNumberFormat="1" applyFont="1" applyFill="1" applyBorder="1"/>
    <xf numFmtId="3" fontId="1" fillId="0" borderId="42" xfId="50" applyNumberFormat="1" applyFont="1" applyFill="1" applyBorder="1"/>
    <xf numFmtId="0" fontId="36" fillId="0" borderId="42" xfId="50" applyFont="1" applyBorder="1" applyAlignment="1">
      <alignment horizontal="center" vertical="center"/>
    </xf>
    <xf numFmtId="3" fontId="36" fillId="0" borderId="42" xfId="50" applyNumberFormat="1" applyFont="1" applyBorder="1" applyAlignment="1">
      <alignment vertical="center"/>
    </xf>
    <xf numFmtId="0" fontId="9" fillId="0" borderId="42" xfId="0" applyFont="1" applyBorder="1"/>
    <xf numFmtId="41" fontId="9" fillId="0" borderId="42" xfId="5" applyFont="1" applyBorder="1"/>
    <xf numFmtId="169" fontId="9" fillId="0" borderId="42" xfId="1" applyNumberFormat="1" applyFont="1" applyBorder="1"/>
    <xf numFmtId="9" fontId="1" fillId="0" borderId="42" xfId="4" applyNumberFormat="1" applyFont="1" applyBorder="1" applyAlignment="1">
      <alignment horizontal="right" vertical="center" wrapText="1"/>
    </xf>
    <xf numFmtId="9" fontId="1" fillId="0" borderId="42" xfId="4" applyNumberFormat="1" applyFont="1" applyBorder="1" applyAlignment="1">
      <alignment horizontal="right" wrapText="1"/>
    </xf>
    <xf numFmtId="9" fontId="2" fillId="0" borderId="42" xfId="4" applyNumberFormat="1" applyFont="1" applyBorder="1" applyAlignment="1">
      <alignment horizontal="right" vertical="center" wrapText="1"/>
    </xf>
    <xf numFmtId="41" fontId="0" fillId="0" borderId="0" xfId="115" applyFont="1"/>
    <xf numFmtId="172" fontId="0" fillId="0" borderId="0" xfId="0" applyNumberFormat="1"/>
    <xf numFmtId="41" fontId="0" fillId="0" borderId="0" xfId="115" applyFont="1" applyFill="1"/>
    <xf numFmtId="9" fontId="1" fillId="0" borderId="42" xfId="1" applyBorder="1" applyAlignment="1">
      <alignment horizontal="right" vertical="center"/>
    </xf>
    <xf numFmtId="9" fontId="2" fillId="0" borderId="42" xfId="1" applyFont="1" applyBorder="1" applyAlignment="1">
      <alignment horizontal="right" vertical="center"/>
    </xf>
    <xf numFmtId="168" fontId="1" fillId="0" borderId="42" xfId="1" applyNumberFormat="1" applyBorder="1" applyAlignment="1">
      <alignment horizontal="right" vertical="center"/>
    </xf>
    <xf numFmtId="168" fontId="2" fillId="0" borderId="42" xfId="1" applyNumberFormat="1" applyFont="1" applyBorder="1" applyAlignment="1">
      <alignment horizontal="right" vertical="center"/>
    </xf>
    <xf numFmtId="41" fontId="0" fillId="0" borderId="0" xfId="5" applyNumberFormat="1" applyFont="1"/>
    <xf numFmtId="0" fontId="0" fillId="0" borderId="0" xfId="0" applyAlignment="1">
      <alignment horizontal="center"/>
    </xf>
    <xf numFmtId="0" fontId="36" fillId="0" borderId="42" xfId="50" applyFont="1" applyBorder="1" applyAlignment="1">
      <alignment horizontal="center" vertical="center" wrapText="1"/>
    </xf>
    <xf numFmtId="0" fontId="8" fillId="0" borderId="42" xfId="50" applyFont="1" applyBorder="1" applyAlignment="1">
      <alignment horizontal="center"/>
    </xf>
    <xf numFmtId="0" fontId="0" fillId="0" borderId="0" xfId="0" applyAlignment="1">
      <alignment horizontal="center"/>
    </xf>
    <xf numFmtId="3" fontId="11" fillId="0" borderId="42" xfId="50" applyNumberFormat="1" applyFont="1" applyFill="1" applyBorder="1"/>
    <xf numFmtId="3" fontId="2" fillId="0" borderId="42" xfId="50" applyNumberFormat="1" applyFont="1" applyFill="1" applyBorder="1"/>
    <xf numFmtId="0" fontId="11" fillId="0" borderId="42" xfId="50" applyFont="1" applyBorder="1" applyAlignment="1">
      <alignment horizontal="center"/>
    </xf>
    <xf numFmtId="0" fontId="2" fillId="0" borderId="42" xfId="50" applyFont="1" applyBorder="1" applyAlignment="1">
      <alignment horizontal="center"/>
    </xf>
    <xf numFmtId="0" fontId="36" fillId="0" borderId="45" xfId="50" applyFont="1" applyBorder="1" applyAlignment="1">
      <alignment horizontal="center" vertical="center" wrapText="1"/>
    </xf>
    <xf numFmtId="0" fontId="36" fillId="0" borderId="42" xfId="50" applyFont="1" applyBorder="1" applyAlignment="1">
      <alignment vertical="center" wrapText="1"/>
    </xf>
    <xf numFmtId="3" fontId="36" fillId="0" borderId="42" xfId="50" applyNumberFormat="1" applyFont="1" applyFill="1" applyBorder="1" applyAlignment="1">
      <alignment horizontal="right"/>
    </xf>
    <xf numFmtId="0" fontId="1" fillId="0" borderId="42" xfId="50" applyFont="1" applyBorder="1" applyAlignment="1">
      <alignment horizontal="right" vertical="center"/>
    </xf>
    <xf numFmtId="0" fontId="1" fillId="0" borderId="42" xfId="50" applyFont="1" applyBorder="1" applyAlignment="1">
      <alignment horizontal="right" vertical="center" wrapText="1"/>
    </xf>
    <xf numFmtId="3" fontId="1" fillId="0" borderId="42" xfId="50" applyNumberFormat="1" applyFont="1" applyBorder="1" applyAlignment="1">
      <alignment horizontal="right" vertical="center"/>
    </xf>
    <xf numFmtId="168" fontId="1" fillId="0" borderId="42" xfId="338" applyNumberFormat="1" applyFont="1" applyBorder="1" applyAlignment="1">
      <alignment horizontal="right" vertical="center"/>
    </xf>
    <xf numFmtId="3" fontId="2" fillId="0" borderId="42" xfId="50" applyNumberFormat="1" applyFont="1" applyBorder="1" applyAlignment="1">
      <alignment horizontal="right" vertical="center"/>
    </xf>
    <xf numFmtId="9" fontId="1" fillId="0" borderId="42" xfId="1" applyFont="1" applyBorder="1" applyAlignment="1">
      <alignment horizontal="right" vertical="center"/>
    </xf>
    <xf numFmtId="168" fontId="1" fillId="0" borderId="42" xfId="338" quotePrefix="1" applyNumberFormat="1" applyFont="1" applyBorder="1" applyAlignment="1">
      <alignment horizontal="right" vertical="center"/>
    </xf>
    <xf numFmtId="167" fontId="1" fillId="0" borderId="42" xfId="50" applyNumberFormat="1" applyFont="1" applyBorder="1" applyAlignment="1">
      <alignment horizontal="right" vertical="center"/>
    </xf>
    <xf numFmtId="168" fontId="1" fillId="0" borderId="42" xfId="1" applyNumberFormat="1" applyFont="1" applyBorder="1" applyAlignment="1">
      <alignment horizontal="right" vertical="center"/>
    </xf>
    <xf numFmtId="3" fontId="2" fillId="0" borderId="42" xfId="50" applyNumberFormat="1" applyFont="1" applyFill="1" applyBorder="1" applyAlignment="1">
      <alignment horizontal="right" vertical="center"/>
    </xf>
    <xf numFmtId="41" fontId="1" fillId="0" borderId="0" xfId="5" applyFont="1"/>
    <xf numFmtId="41" fontId="37" fillId="0" borderId="0" xfId="5" applyFont="1"/>
    <xf numFmtId="41" fontId="1" fillId="0" borderId="0" xfId="5" applyFont="1" applyFill="1"/>
    <xf numFmtId="167" fontId="12" fillId="0" borderId="5" xfId="0" applyNumberFormat="1" applyFont="1" applyBorder="1" applyAlignment="1">
      <alignment horizontal="right" vertical="center"/>
    </xf>
    <xf numFmtId="167" fontId="12" fillId="0" borderId="6" xfId="0" applyNumberFormat="1" applyFont="1" applyBorder="1" applyAlignment="1">
      <alignment horizontal="right" vertical="center"/>
    </xf>
    <xf numFmtId="167" fontId="12" fillId="0" borderId="32" xfId="0" applyNumberFormat="1" applyFont="1" applyBorder="1" applyAlignment="1">
      <alignment horizontal="right" vertical="center"/>
    </xf>
    <xf numFmtId="167" fontId="12" fillId="0" borderId="42" xfId="0" applyNumberFormat="1" applyFont="1" applyBorder="1" applyAlignment="1">
      <alignment horizontal="right" vertical="center"/>
    </xf>
    <xf numFmtId="168" fontId="13" fillId="0" borderId="33" xfId="1" applyNumberFormat="1" applyFont="1" applyBorder="1" applyAlignment="1">
      <alignment horizontal="right" vertical="center"/>
    </xf>
    <xf numFmtId="168" fontId="13" fillId="0" borderId="33" xfId="3" applyNumberFormat="1" applyFont="1" applyBorder="1" applyAlignment="1">
      <alignment horizontal="right" vertical="center"/>
    </xf>
    <xf numFmtId="167" fontId="13" fillId="2" borderId="34" xfId="0" applyNumberFormat="1" applyFont="1" applyFill="1" applyBorder="1" applyAlignment="1">
      <alignment horizontal="right" vertical="center"/>
    </xf>
    <xf numFmtId="167" fontId="13" fillId="2" borderId="35" xfId="0" applyNumberFormat="1" applyFont="1" applyFill="1" applyBorder="1" applyAlignment="1">
      <alignment horizontal="right" vertical="center"/>
    </xf>
    <xf numFmtId="168" fontId="13" fillId="2" borderId="41" xfId="3" applyNumberFormat="1" applyFont="1" applyFill="1" applyBorder="1" applyAlignment="1">
      <alignment horizontal="right" vertical="center"/>
    </xf>
    <xf numFmtId="4" fontId="12" fillId="0" borderId="32" xfId="0" applyNumberFormat="1" applyFont="1" applyBorder="1" applyAlignment="1">
      <alignment horizontal="right" vertical="center"/>
    </xf>
    <xf numFmtId="4" fontId="12" fillId="0" borderId="42" xfId="0" applyNumberFormat="1" applyFont="1" applyBorder="1" applyAlignment="1">
      <alignment horizontal="right" vertical="center"/>
    </xf>
    <xf numFmtId="167" fontId="13" fillId="2" borderId="35" xfId="3" applyNumberFormat="1" applyFont="1" applyFill="1" applyBorder="1" applyAlignment="1">
      <alignment horizontal="right" vertical="center"/>
    </xf>
    <xf numFmtId="4" fontId="12" fillId="0" borderId="5" xfId="0" applyNumberFormat="1" applyFont="1" applyBorder="1" applyAlignment="1">
      <alignment horizontal="right" vertical="center"/>
    </xf>
    <xf numFmtId="4" fontId="12" fillId="0" borderId="6" xfId="0" applyNumberFormat="1" applyFont="1" applyBorder="1" applyAlignment="1">
      <alignment horizontal="right" vertical="center"/>
    </xf>
    <xf numFmtId="168" fontId="13" fillId="0" borderId="7" xfId="3" applyNumberFormat="1" applyFont="1" applyBorder="1" applyAlignment="1">
      <alignment horizontal="right" vertical="center"/>
    </xf>
    <xf numFmtId="4" fontId="13" fillId="2" borderId="34" xfId="0" applyNumberFormat="1" applyFont="1" applyFill="1" applyBorder="1" applyAlignment="1">
      <alignment horizontal="right" vertical="center"/>
    </xf>
    <xf numFmtId="4" fontId="13" fillId="2" borderId="35" xfId="0" applyNumberFormat="1" applyFont="1" applyFill="1" applyBorder="1" applyAlignment="1">
      <alignment horizontal="right" vertical="center"/>
    </xf>
    <xf numFmtId="4" fontId="12" fillId="2" borderId="35" xfId="0" applyNumberFormat="1" applyFont="1" applyFill="1" applyBorder="1" applyAlignment="1">
      <alignment horizontal="right" vertical="center"/>
    </xf>
    <xf numFmtId="172" fontId="8" fillId="0" borderId="42" xfId="5" applyNumberFormat="1" applyFont="1" applyBorder="1"/>
    <xf numFmtId="9" fontId="1" fillId="0" borderId="42" xfId="1" applyNumberFormat="1" applyFont="1" applyBorder="1" applyAlignment="1">
      <alignment horizontal="right" vertical="center" wrapText="1"/>
    </xf>
    <xf numFmtId="9" fontId="2" fillId="0" borderId="42" xfId="1" applyNumberFormat="1" applyFont="1" applyBorder="1" applyAlignment="1">
      <alignment horizontal="right" vertical="center" wrapText="1"/>
    </xf>
    <xf numFmtId="14" fontId="0" fillId="0" borderId="0" xfId="0" applyNumberFormat="1"/>
    <xf numFmtId="0" fontId="2" fillId="0" borderId="42" xfId="50" applyFont="1" applyBorder="1" applyAlignment="1">
      <alignment horizontal="center"/>
    </xf>
    <xf numFmtId="0" fontId="9" fillId="0" borderId="42" xfId="50" applyFont="1" applyBorder="1" applyAlignment="1">
      <alignment horizontal="center" vertical="center"/>
    </xf>
    <xf numFmtId="172" fontId="0" fillId="0" borderId="0" xfId="5" applyNumberFormat="1" applyFont="1"/>
    <xf numFmtId="9" fontId="0" fillId="0" borderId="0" xfId="1" applyFont="1"/>
    <xf numFmtId="173" fontId="0" fillId="0" borderId="0" xfId="0" applyNumberFormat="1"/>
    <xf numFmtId="0" fontId="1" fillId="0" borderId="42" xfId="0" applyFont="1" applyBorder="1" applyAlignment="1">
      <alignment horizontal="center" vertical="center"/>
    </xf>
    <xf numFmtId="0" fontId="0" fillId="0" borderId="0" xfId="0" applyAlignment="1">
      <alignment horizontal="center"/>
    </xf>
    <xf numFmtId="1" fontId="0" fillId="0" borderId="0" xfId="0" applyNumberFormat="1"/>
    <xf numFmtId="0" fontId="0" fillId="0" borderId="42" xfId="0" applyFill="1" applyBorder="1" applyAlignment="1">
      <alignment horizontal="center"/>
    </xf>
    <xf numFmtId="0" fontId="0" fillId="0" borderId="0" xfId="0" applyFill="1" applyBorder="1" applyAlignment="1">
      <alignment horizontal="center"/>
    </xf>
    <xf numFmtId="169" fontId="0" fillId="0" borderId="0" xfId="0" applyNumberFormat="1" applyFill="1"/>
    <xf numFmtId="167" fontId="8" fillId="0" borderId="0" xfId="0" applyNumberFormat="1" applyFont="1" applyFill="1"/>
    <xf numFmtId="0" fontId="0" fillId="0" borderId="42" xfId="0" applyBorder="1" applyAlignment="1">
      <alignment horizontal="right"/>
    </xf>
    <xf numFmtId="169" fontId="0" fillId="0" borderId="42" xfId="0" applyNumberFormat="1" applyBorder="1" applyAlignment="1">
      <alignment horizontal="right"/>
    </xf>
    <xf numFmtId="169" fontId="0" fillId="0" borderId="42" xfId="0" applyNumberFormat="1" applyFill="1" applyBorder="1" applyAlignment="1">
      <alignment horizontal="right"/>
    </xf>
    <xf numFmtId="174" fontId="8" fillId="0" borderId="0" xfId="0" applyNumberFormat="1" applyFont="1" applyFill="1"/>
    <xf numFmtId="0" fontId="1" fillId="0" borderId="42" xfId="0" applyFont="1" applyBorder="1"/>
    <xf numFmtId="17" fontId="61" fillId="0" borderId="51" xfId="0" applyNumberFormat="1" applyFont="1" applyBorder="1" applyAlignment="1">
      <alignment horizontal="center" vertical="center" wrapText="1"/>
    </xf>
    <xf numFmtId="41" fontId="0" fillId="0" borderId="50" xfId="0" applyNumberFormat="1" applyBorder="1"/>
    <xf numFmtId="17" fontId="61" fillId="0" borderId="52" xfId="0" applyNumberFormat="1" applyFont="1" applyBorder="1" applyAlignment="1">
      <alignment horizontal="center" vertical="center" wrapText="1"/>
    </xf>
    <xf numFmtId="41" fontId="0" fillId="0" borderId="49" xfId="0" applyNumberFormat="1" applyBorder="1"/>
    <xf numFmtId="17" fontId="61" fillId="0" borderId="24" xfId="0" applyNumberFormat="1" applyFont="1" applyBorder="1" applyAlignment="1">
      <alignment horizontal="center" vertical="center" wrapText="1"/>
    </xf>
    <xf numFmtId="168" fontId="13" fillId="0" borderId="7" xfId="1" applyNumberFormat="1" applyFont="1" applyBorder="1" applyAlignment="1">
      <alignment horizontal="right" vertical="center"/>
    </xf>
    <xf numFmtId="0" fontId="0" fillId="0" borderId="0" xfId="0"/>
    <xf numFmtId="3" fontId="0" fillId="0" borderId="0" xfId="0" applyNumberFormat="1"/>
    <xf numFmtId="169" fontId="12" fillId="0" borderId="0" xfId="0" applyNumberFormat="1" applyFont="1"/>
    <xf numFmtId="2" fontId="12" fillId="0" borderId="0" xfId="0" applyNumberFormat="1" applyFont="1"/>
    <xf numFmtId="2" fontId="35" fillId="0" borderId="0" xfId="50" applyNumberFormat="1" applyFont="1"/>
    <xf numFmtId="17" fontId="1" fillId="0" borderId="0" xfId="50" applyNumberFormat="1" applyFont="1"/>
    <xf numFmtId="2" fontId="0" fillId="0" borderId="0" xfId="0" applyNumberFormat="1"/>
    <xf numFmtId="3" fontId="1" fillId="0" borderId="42" xfId="50" applyNumberFormat="1" applyFont="1" applyBorder="1"/>
    <xf numFmtId="169" fontId="0" fillId="0" borderId="42" xfId="0" applyNumberFormat="1" applyBorder="1" applyAlignment="1"/>
    <xf numFmtId="9" fontId="0" fillId="0" borderId="42" xfId="1" applyFont="1" applyBorder="1" applyAlignment="1"/>
    <xf numFmtId="169" fontId="0" fillId="0" borderId="42" xfId="0" applyNumberFormat="1" applyFill="1" applyBorder="1" applyAlignment="1"/>
    <xf numFmtId="9" fontId="0" fillId="0" borderId="42" xfId="1" applyFont="1" applyBorder="1" applyAlignment="1">
      <alignment horizontal="right"/>
    </xf>
    <xf numFmtId="0" fontId="1" fillId="0" borderId="57" xfId="0" applyFont="1" applyBorder="1" applyAlignment="1">
      <alignment vertical="center"/>
    </xf>
    <xf numFmtId="167" fontId="12" fillId="0" borderId="48" xfId="0" applyNumberFormat="1" applyFont="1" applyBorder="1" applyAlignment="1">
      <alignment horizontal="right" vertical="center"/>
    </xf>
    <xf numFmtId="168" fontId="13" fillId="0" borderId="58" xfId="1" applyNumberFormat="1" applyFont="1" applyBorder="1" applyAlignment="1">
      <alignment horizontal="right" vertical="center"/>
    </xf>
    <xf numFmtId="0" fontId="1" fillId="0" borderId="59" xfId="0" applyFont="1" applyBorder="1" applyAlignment="1">
      <alignment vertical="center"/>
    </xf>
    <xf numFmtId="167" fontId="12" fillId="0" borderId="31" xfId="0" applyNumberFormat="1" applyFont="1" applyBorder="1" applyAlignment="1">
      <alignment horizontal="right" vertical="center"/>
    </xf>
    <xf numFmtId="168" fontId="13" fillId="0" borderId="43" xfId="1" applyNumberFormat="1" applyFont="1" applyBorder="1" applyAlignment="1">
      <alignment horizontal="right" vertical="center"/>
    </xf>
    <xf numFmtId="168" fontId="13" fillId="0" borderId="43" xfId="3" applyNumberFormat="1" applyFont="1" applyBorder="1" applyAlignment="1">
      <alignment horizontal="right" vertical="center"/>
    </xf>
    <xf numFmtId="4" fontId="12" fillId="0" borderId="31" xfId="0" applyNumberFormat="1" applyFont="1" applyBorder="1" applyAlignment="1">
      <alignment horizontal="right" vertical="center"/>
    </xf>
    <xf numFmtId="167" fontId="13" fillId="2" borderId="31" xfId="0" applyNumberFormat="1" applyFont="1" applyFill="1" applyBorder="1" applyAlignment="1">
      <alignment horizontal="right" vertical="center"/>
    </xf>
    <xf numFmtId="0" fontId="13" fillId="2" borderId="59" xfId="0" applyFont="1" applyFill="1" applyBorder="1" applyAlignment="1">
      <alignment vertical="center"/>
    </xf>
    <xf numFmtId="168" fontId="13" fillId="2" borderId="60" xfId="3" applyNumberFormat="1" applyFont="1" applyFill="1" applyBorder="1" applyAlignment="1">
      <alignment horizontal="right" vertical="center"/>
    </xf>
    <xf numFmtId="167" fontId="12" fillId="0" borderId="57" xfId="0" applyNumberFormat="1" applyFont="1" applyBorder="1" applyAlignment="1">
      <alignment horizontal="right" vertical="center"/>
    </xf>
    <xf numFmtId="168" fontId="13" fillId="0" borderId="63" xfId="3" applyNumberFormat="1" applyFont="1" applyBorder="1" applyAlignment="1">
      <alignment horizontal="right" vertical="center"/>
    </xf>
    <xf numFmtId="167" fontId="12" fillId="0" borderId="59" xfId="0" applyNumberFormat="1" applyFont="1" applyBorder="1" applyAlignment="1">
      <alignment horizontal="right" vertical="center"/>
    </xf>
    <xf numFmtId="168" fontId="13" fillId="2" borderId="63" xfId="3" applyNumberFormat="1" applyFont="1" applyFill="1" applyBorder="1" applyAlignment="1">
      <alignment horizontal="right" vertical="center"/>
    </xf>
    <xf numFmtId="0" fontId="13" fillId="2" borderId="64" xfId="0" applyFont="1" applyFill="1" applyBorder="1" applyAlignment="1">
      <alignment vertical="center"/>
    </xf>
    <xf numFmtId="167" fontId="13" fillId="2" borderId="64" xfId="0" applyNumberFormat="1" applyFont="1" applyFill="1" applyBorder="1" applyAlignment="1">
      <alignment horizontal="right" vertical="center"/>
    </xf>
    <xf numFmtId="4" fontId="12" fillId="0" borderId="57" xfId="0" applyNumberFormat="1" applyFont="1" applyBorder="1" applyAlignment="1">
      <alignment horizontal="right" vertical="center"/>
    </xf>
    <xf numFmtId="4" fontId="12" fillId="0" borderId="59" xfId="0" applyNumberFormat="1" applyFont="1" applyBorder="1" applyAlignment="1">
      <alignment horizontal="right" vertical="center"/>
    </xf>
    <xf numFmtId="4" fontId="13" fillId="2" borderId="64" xfId="0" applyNumberFormat="1" applyFont="1" applyFill="1" applyBorder="1" applyAlignment="1">
      <alignment horizontal="right" vertical="center"/>
    </xf>
    <xf numFmtId="4" fontId="12" fillId="2" borderId="34" xfId="0" applyNumberFormat="1" applyFont="1" applyFill="1" applyBorder="1" applyAlignment="1">
      <alignment horizontal="right" vertical="center"/>
    </xf>
    <xf numFmtId="0" fontId="8" fillId="0" borderId="65" xfId="0" applyFont="1" applyBorder="1"/>
    <xf numFmtId="0" fontId="8" fillId="0" borderId="65" xfId="0" applyFont="1" applyBorder="1" applyAlignment="1">
      <alignment horizontal="center" vertical="center"/>
    </xf>
    <xf numFmtId="0" fontId="8" fillId="0" borderId="65" xfId="0" applyFont="1" applyBorder="1" applyAlignment="1">
      <alignment horizontal="center" vertical="center" wrapText="1"/>
    </xf>
    <xf numFmtId="0" fontId="9" fillId="0" borderId="0"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center" vertical="center" wrapText="1"/>
    </xf>
    <xf numFmtId="169" fontId="9" fillId="0" borderId="0" xfId="1" applyNumberFormat="1" applyFont="1" applyBorder="1"/>
    <xf numFmtId="169" fontId="8" fillId="0" borderId="0" xfId="1" applyNumberFormat="1" applyFont="1" applyBorder="1"/>
    <xf numFmtId="172" fontId="8" fillId="0" borderId="0" xfId="5" applyNumberFormat="1" applyFont="1" applyBorder="1"/>
    <xf numFmtId="9" fontId="8" fillId="0" borderId="0" xfId="1" applyFont="1" applyBorder="1"/>
    <xf numFmtId="0" fontId="0" fillId="0" borderId="0" xfId="0" applyBorder="1"/>
    <xf numFmtId="0" fontId="34" fillId="0" borderId="0" xfId="0" applyFont="1" applyBorder="1" applyAlignment="1">
      <alignment horizontal="left"/>
    </xf>
    <xf numFmtId="0" fontId="0" fillId="0" borderId="73" xfId="0" applyBorder="1" applyAlignment="1">
      <alignment horizontal="center" vertical="top"/>
    </xf>
    <xf numFmtId="0" fontId="0" fillId="0" borderId="72" xfId="0" applyBorder="1" applyAlignment="1">
      <alignment horizontal="center" vertical="top"/>
    </xf>
    <xf numFmtId="3" fontId="0" fillId="0" borderId="75" xfId="0" applyNumberFormat="1" applyBorder="1"/>
    <xf numFmtId="0" fontId="0" fillId="0" borderId="75" xfId="0" applyBorder="1"/>
    <xf numFmtId="9" fontId="1" fillId="0" borderId="42" xfId="1" applyNumberFormat="1" applyFont="1" applyBorder="1" applyAlignment="1">
      <alignment horizontal="right"/>
    </xf>
    <xf numFmtId="9" fontId="2" fillId="0" borderId="42" xfId="1" applyNumberFormat="1" applyFont="1" applyBorder="1" applyAlignment="1">
      <alignment horizontal="right"/>
    </xf>
    <xf numFmtId="172" fontId="0" fillId="0" borderId="0" xfId="115" applyNumberFormat="1" applyFont="1"/>
    <xf numFmtId="0" fontId="8" fillId="0" borderId="42" xfId="50" applyFont="1" applyBorder="1" applyAlignment="1">
      <alignment horizontal="center"/>
    </xf>
    <xf numFmtId="41" fontId="8" fillId="0" borderId="42" xfId="5" applyNumberFormat="1" applyFont="1" applyBorder="1"/>
    <xf numFmtId="41" fontId="8" fillId="0" borderId="42" xfId="5" applyFont="1" applyFill="1" applyBorder="1"/>
    <xf numFmtId="0" fontId="0" fillId="0" borderId="0" xfId="0" applyAlignment="1">
      <alignment horizontal="center"/>
    </xf>
    <xf numFmtId="41" fontId="0" fillId="0" borderId="0" xfId="5" applyFont="1" applyBorder="1"/>
    <xf numFmtId="175" fontId="0" fillId="0" borderId="0" xfId="5" applyNumberFormat="1" applyFont="1" applyBorder="1"/>
    <xf numFmtId="41" fontId="0" fillId="0" borderId="0" xfId="5" applyFont="1" applyFill="1" applyBorder="1" applyAlignment="1">
      <alignment horizontal="right"/>
    </xf>
    <xf numFmtId="0" fontId="36" fillId="0" borderId="0" xfId="0" applyFont="1"/>
    <xf numFmtId="2" fontId="36" fillId="0" borderId="0" xfId="0" applyNumberFormat="1" applyFont="1"/>
    <xf numFmtId="41" fontId="36" fillId="0" borderId="0" xfId="5" applyFont="1" applyBorder="1"/>
    <xf numFmtId="41" fontId="36" fillId="0" borderId="0" xfId="5" applyFont="1"/>
    <xf numFmtId="17" fontId="0" fillId="0" borderId="0" xfId="0" applyNumberFormat="1" applyFont="1"/>
    <xf numFmtId="0" fontId="61" fillId="38" borderId="76" xfId="0" applyFont="1" applyFill="1" applyBorder="1" applyAlignment="1">
      <alignment horizontal="center" vertical="center" wrapText="1"/>
    </xf>
    <xf numFmtId="1" fontId="63" fillId="0" borderId="77" xfId="0" applyNumberFormat="1" applyFont="1" applyBorder="1" applyAlignment="1">
      <alignment horizontal="left" vertical="center" wrapText="1"/>
    </xf>
    <xf numFmtId="1" fontId="63" fillId="0" borderId="78" xfId="0" applyNumberFormat="1" applyFont="1" applyBorder="1" applyAlignment="1">
      <alignment horizontal="left" vertical="center" wrapText="1"/>
    </xf>
    <xf numFmtId="0" fontId="64" fillId="0" borderId="0" xfId="0" applyFont="1" applyAlignment="1">
      <alignment horizontal="left" vertical="center" wrapText="1"/>
    </xf>
    <xf numFmtId="0" fontId="52" fillId="0" borderId="0" xfId="0" applyFont="1" applyAlignment="1">
      <alignment horizontal="left" vertical="center" wrapText="1"/>
    </xf>
    <xf numFmtId="0" fontId="63" fillId="0" borderId="0" xfId="0" applyFont="1"/>
    <xf numFmtId="3" fontId="63" fillId="0" borderId="79" xfId="0" applyNumberFormat="1" applyFont="1" applyBorder="1" applyAlignment="1">
      <alignment horizontal="right" vertical="center" wrapText="1"/>
    </xf>
    <xf numFmtId="3" fontId="63" fillId="0" borderId="80" xfId="0" applyNumberFormat="1" applyFont="1" applyBorder="1" applyAlignment="1">
      <alignment horizontal="right" vertical="center" wrapText="1"/>
    </xf>
    <xf numFmtId="0" fontId="2" fillId="0" borderId="5" xfId="0" quotePrefix="1" applyFont="1" applyBorder="1" applyAlignment="1">
      <alignment horizontal="center" vertical="center" wrapText="1"/>
    </xf>
    <xf numFmtId="0" fontId="2" fillId="0" borderId="6" xfId="0" quotePrefix="1" applyFont="1" applyBorder="1" applyAlignment="1">
      <alignment horizontal="center" vertical="center" wrapText="1"/>
    </xf>
    <xf numFmtId="3" fontId="2" fillId="0" borderId="6" xfId="0" quotePrefix="1" applyNumberFormat="1" applyFont="1" applyBorder="1" applyAlignment="1">
      <alignment horizontal="center" vertical="center" wrapText="1"/>
    </xf>
    <xf numFmtId="14" fontId="2" fillId="0" borderId="6" xfId="0" quotePrefix="1" applyNumberFormat="1" applyFont="1" applyBorder="1" applyAlignment="1">
      <alignment horizontal="center" vertical="center" wrapText="1"/>
    </xf>
    <xf numFmtId="0" fontId="2" fillId="0" borderId="7" xfId="0" quotePrefix="1" applyFont="1" applyBorder="1" applyAlignment="1">
      <alignment horizontal="center" vertical="center" wrapText="1"/>
    </xf>
    <xf numFmtId="0" fontId="0" fillId="0" borderId="32" xfId="0" quotePrefix="1" applyBorder="1" applyAlignment="1">
      <alignment vertical="center"/>
    </xf>
    <xf numFmtId="0" fontId="0" fillId="0" borderId="75" xfId="0" quotePrefix="1" applyBorder="1" applyAlignment="1">
      <alignment vertical="center"/>
    </xf>
    <xf numFmtId="3" fontId="0" fillId="0" borderId="75" xfId="0" quotePrefix="1" applyNumberFormat="1" applyBorder="1" applyAlignment="1">
      <alignment horizontal="center" vertical="center"/>
    </xf>
    <xf numFmtId="14" fontId="0" fillId="0" borderId="75" xfId="0" applyNumberFormat="1" applyBorder="1" applyAlignment="1">
      <alignment horizontal="center" vertical="center"/>
    </xf>
    <xf numFmtId="0" fontId="0" fillId="0" borderId="75" xfId="0" quotePrefix="1" applyBorder="1" applyAlignment="1">
      <alignment vertical="center" wrapText="1"/>
    </xf>
    <xf numFmtId="0" fontId="0" fillId="0" borderId="0" xfId="0" applyAlignment="1">
      <alignment vertical="center"/>
    </xf>
    <xf numFmtId="0" fontId="0" fillId="0" borderId="33" xfId="0" quotePrefix="1" applyBorder="1" applyAlignment="1">
      <alignment vertical="center"/>
    </xf>
    <xf numFmtId="0" fontId="0" fillId="0" borderId="41" xfId="0" quotePrefix="1" applyBorder="1" applyAlignment="1">
      <alignment vertical="center"/>
    </xf>
    <xf numFmtId="0" fontId="0" fillId="0" borderId="0" xfId="0" quotePrefix="1" applyAlignment="1">
      <alignment vertical="center"/>
    </xf>
    <xf numFmtId="3" fontId="0" fillId="0" borderId="0" xfId="0" quotePrefix="1" applyNumberFormat="1" applyAlignment="1">
      <alignment vertical="center"/>
    </xf>
    <xf numFmtId="14" fontId="0" fillId="0" borderId="0" xfId="0" applyNumberFormat="1" applyAlignment="1">
      <alignment vertical="center"/>
    </xf>
    <xf numFmtId="41" fontId="0" fillId="0" borderId="0" xfId="5" applyNumberFormat="1" applyFont="1" applyBorder="1"/>
    <xf numFmtId="0" fontId="64" fillId="0" borderId="0" xfId="0" applyFont="1" applyBorder="1" applyAlignment="1">
      <alignment horizontal="left" vertical="center" wrapText="1"/>
    </xf>
    <xf numFmtId="0" fontId="52" fillId="0" borderId="0" xfId="0" applyFont="1" applyBorder="1" applyAlignment="1">
      <alignment horizontal="left" vertical="center" wrapText="1"/>
    </xf>
    <xf numFmtId="0" fontId="0" fillId="0" borderId="0" xfId="0" quotePrefix="1" applyBorder="1" applyAlignment="1">
      <alignment vertical="center"/>
    </xf>
    <xf numFmtId="3" fontId="0" fillId="0" borderId="0" xfId="0" quotePrefix="1" applyNumberFormat="1" applyBorder="1" applyAlignment="1">
      <alignment horizontal="center" vertical="center"/>
    </xf>
    <xf numFmtId="14" fontId="0" fillId="0" borderId="0" xfId="0" applyNumberFormat="1" applyBorder="1" applyAlignment="1">
      <alignment horizontal="center" vertical="center"/>
    </xf>
    <xf numFmtId="0" fontId="0" fillId="0" borderId="0" xfId="0" quotePrefix="1" applyBorder="1" applyAlignment="1">
      <alignment vertical="center" wrapText="1"/>
    </xf>
    <xf numFmtId="0" fontId="66" fillId="0" borderId="0" xfId="0" applyFont="1" applyBorder="1" applyAlignment="1">
      <alignment horizontal="left" vertical="center" wrapText="1"/>
    </xf>
    <xf numFmtId="0" fontId="8" fillId="0" borderId="33" xfId="0" quotePrefix="1" applyFont="1" applyBorder="1" applyAlignment="1">
      <alignment vertical="center" wrapText="1"/>
    </xf>
    <xf numFmtId="0" fontId="34" fillId="0" borderId="33" xfId="0" quotePrefix="1" applyFont="1" applyBorder="1" applyAlignment="1">
      <alignment vertical="center" wrapText="1"/>
    </xf>
    <xf numFmtId="168" fontId="1" fillId="0" borderId="42" xfId="1" applyNumberFormat="1" applyFont="1" applyBorder="1" applyAlignment="1">
      <alignment horizontal="right"/>
    </xf>
    <xf numFmtId="168" fontId="2" fillId="0" borderId="42" xfId="1" applyNumberFormat="1" applyFont="1" applyBorder="1" applyAlignment="1">
      <alignment horizontal="right"/>
    </xf>
    <xf numFmtId="10" fontId="0" fillId="0" borderId="0" xfId="1" applyNumberFormat="1" applyFont="1"/>
    <xf numFmtId="168" fontId="0" fillId="0" borderId="0" xfId="0" applyNumberFormat="1"/>
    <xf numFmtId="0" fontId="36" fillId="0" borderId="45" xfId="50" applyFont="1" applyFill="1" applyBorder="1" applyAlignment="1">
      <alignment horizontal="center" vertical="center" wrapText="1"/>
    </xf>
    <xf numFmtId="167" fontId="36" fillId="0" borderId="42" xfId="50" applyNumberFormat="1" applyFont="1" applyFill="1" applyBorder="1" applyAlignment="1">
      <alignment horizontal="right"/>
    </xf>
    <xf numFmtId="0" fontId="0" fillId="0" borderId="0" xfId="0" applyFill="1"/>
    <xf numFmtId="175" fontId="0" fillId="0" borderId="0" xfId="5" applyNumberFormat="1" applyFont="1" applyFill="1" applyBorder="1"/>
    <xf numFmtId="0" fontId="47" fillId="0" borderId="0" xfId="405" applyBorder="1" applyAlignment="1">
      <alignment horizontal="left" vertical="center" wrapText="1"/>
    </xf>
    <xf numFmtId="0" fontId="47" fillId="0" borderId="0" xfId="405" applyAlignment="1">
      <alignment horizontal="center"/>
    </xf>
    <xf numFmtId="0" fontId="47" fillId="0" borderId="0" xfId="405" applyFill="1" applyAlignment="1">
      <alignment horizontal="center"/>
    </xf>
    <xf numFmtId="0" fontId="0" fillId="0" borderId="0" xfId="0" applyAlignment="1">
      <alignment horizontal="center"/>
    </xf>
    <xf numFmtId="0" fontId="0" fillId="0" borderId="84" xfId="0" applyBorder="1"/>
    <xf numFmtId="1" fontId="0" fillId="0" borderId="84" xfId="0" applyNumberFormat="1" applyBorder="1"/>
    <xf numFmtId="0" fontId="8" fillId="0" borderId="0" xfId="0" quotePrefix="1" applyFont="1" applyBorder="1" applyAlignment="1">
      <alignment vertical="center" wrapText="1"/>
    </xf>
    <xf numFmtId="0" fontId="47" fillId="0" borderId="61" xfId="405" applyBorder="1" applyAlignment="1">
      <alignment horizontal="left" vertical="center" wrapText="1"/>
    </xf>
    <xf numFmtId="0" fontId="0" fillId="0" borderId="85" xfId="0" quotePrefix="1" applyBorder="1" applyAlignment="1">
      <alignment vertical="center"/>
    </xf>
    <xf numFmtId="3" fontId="0" fillId="0" borderId="85" xfId="0" quotePrefix="1" applyNumberFormat="1" applyBorder="1" applyAlignment="1">
      <alignment horizontal="center" vertical="center"/>
    </xf>
    <xf numFmtId="14" fontId="0" fillId="0" borderId="85" xfId="0" applyNumberFormat="1" applyBorder="1" applyAlignment="1">
      <alignment horizontal="center" vertical="center"/>
    </xf>
    <xf numFmtId="0" fontId="8" fillId="0" borderId="85" xfId="0" quotePrefix="1" applyFont="1" applyBorder="1" applyAlignment="1">
      <alignment vertical="center" wrapText="1"/>
    </xf>
    <xf numFmtId="0" fontId="0" fillId="0" borderId="86" xfId="0" quotePrefix="1" applyBorder="1" applyAlignment="1">
      <alignment vertical="center" wrapText="1"/>
    </xf>
    <xf numFmtId="3" fontId="0" fillId="0" borderId="86" xfId="0" quotePrefix="1" applyNumberFormat="1" applyBorder="1" applyAlignment="1">
      <alignment horizontal="center" vertical="center"/>
    </xf>
    <xf numFmtId="14" fontId="0" fillId="0" borderId="86" xfId="0" applyNumberFormat="1" applyBorder="1" applyAlignment="1">
      <alignment horizontal="center" vertical="center"/>
    </xf>
    <xf numFmtId="0" fontId="0" fillId="0" borderId="61" xfId="0" quotePrefix="1" applyBorder="1" applyAlignment="1">
      <alignment vertical="center"/>
    </xf>
    <xf numFmtId="0" fontId="0" fillId="0" borderId="61" xfId="0" quotePrefix="1" applyBorder="1" applyAlignment="1">
      <alignment vertical="center" wrapText="1"/>
    </xf>
    <xf numFmtId="3" fontId="0" fillId="0" borderId="61" xfId="0" quotePrefix="1" applyNumberFormat="1" applyBorder="1" applyAlignment="1">
      <alignment horizontal="center" vertical="center"/>
    </xf>
    <xf numFmtId="14" fontId="0" fillId="0" borderId="61" xfId="0" applyNumberFormat="1" applyBorder="1" applyAlignment="1">
      <alignment horizontal="center" vertical="center"/>
    </xf>
    <xf numFmtId="0" fontId="8" fillId="0" borderId="61" xfId="0" quotePrefix="1" applyFont="1" applyBorder="1" applyAlignment="1">
      <alignment vertical="center" wrapText="1"/>
    </xf>
    <xf numFmtId="0" fontId="0" fillId="0" borderId="85" xfId="0" quotePrefix="1" applyBorder="1" applyAlignment="1">
      <alignment vertical="center" wrapText="1"/>
    </xf>
    <xf numFmtId="0" fontId="2" fillId="0" borderId="0" xfId="0" quotePrefix="1" applyFont="1" applyBorder="1" applyAlignment="1">
      <alignment horizontal="center" vertical="center" wrapText="1"/>
    </xf>
    <xf numFmtId="3" fontId="2" fillId="0" borderId="0" xfId="0" quotePrefix="1" applyNumberFormat="1" applyFont="1" applyBorder="1" applyAlignment="1">
      <alignment horizontal="center" vertical="center" wrapText="1"/>
    </xf>
    <xf numFmtId="14" fontId="2" fillId="0" borderId="0" xfId="0" quotePrefix="1" applyNumberFormat="1" applyFont="1" applyBorder="1" applyAlignment="1">
      <alignment horizontal="center" vertical="center" wrapText="1"/>
    </xf>
    <xf numFmtId="0" fontId="0" fillId="0" borderId="87" xfId="0" quotePrefix="1" applyBorder="1" applyAlignment="1">
      <alignment vertical="center"/>
    </xf>
    <xf numFmtId="0" fontId="8" fillId="0" borderId="88" xfId="0" quotePrefix="1" applyFont="1" applyBorder="1" applyAlignment="1">
      <alignment vertical="center" wrapText="1"/>
    </xf>
    <xf numFmtId="0" fontId="0" fillId="0" borderId="85" xfId="0" applyBorder="1" applyAlignment="1">
      <alignment vertical="center"/>
    </xf>
    <xf numFmtId="0" fontId="0" fillId="0" borderId="86" xfId="0" quotePrefix="1" applyBorder="1" applyAlignment="1">
      <alignment vertical="center"/>
    </xf>
    <xf numFmtId="0" fontId="0" fillId="0" borderId="32" xfId="0" quotePrefix="1" applyBorder="1" applyAlignment="1">
      <alignment vertical="center" wrapText="1"/>
    </xf>
    <xf numFmtId="0" fontId="0" fillId="0" borderId="0" xfId="0" applyBorder="1" applyAlignment="1">
      <alignment vertical="center"/>
    </xf>
    <xf numFmtId="0" fontId="8" fillId="0" borderId="42" xfId="0" applyFont="1" applyFill="1" applyBorder="1"/>
    <xf numFmtId="0" fontId="1" fillId="0" borderId="42" xfId="50" applyFont="1" applyBorder="1" applyAlignment="1">
      <alignment horizontal="center" vertical="center"/>
    </xf>
    <xf numFmtId="0" fontId="2" fillId="0" borderId="42" xfId="50" applyFont="1" applyBorder="1" applyAlignment="1">
      <alignment horizontal="center"/>
    </xf>
    <xf numFmtId="4" fontId="0" fillId="0" borderId="0" xfId="0" applyNumberFormat="1"/>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0" xfId="0" applyFont="1" applyBorder="1" applyAlignment="1">
      <alignment horizontal="left" wrapText="1"/>
    </xf>
    <xf numFmtId="0" fontId="15" fillId="0" borderId="0" xfId="0" applyFont="1" applyBorder="1" applyAlignment="1">
      <alignment horizontal="left" wrapText="1"/>
    </xf>
    <xf numFmtId="3" fontId="13" fillId="0" borderId="1" xfId="0" applyNumberFormat="1" applyFont="1" applyBorder="1" applyAlignment="1">
      <alignment horizontal="center" vertical="center"/>
    </xf>
    <xf numFmtId="3" fontId="13" fillId="0" borderId="2" xfId="0" applyNumberFormat="1" applyFont="1" applyBorder="1" applyAlignment="1">
      <alignment horizontal="center" vertical="center"/>
    </xf>
    <xf numFmtId="3" fontId="13" fillId="0" borderId="61" xfId="0" applyNumberFormat="1" applyFont="1" applyBorder="1" applyAlignment="1">
      <alignment horizontal="center" vertical="center"/>
    </xf>
    <xf numFmtId="3" fontId="13" fillId="0" borderId="62" xfId="0" applyNumberFormat="1" applyFont="1" applyBorder="1" applyAlignment="1">
      <alignment horizontal="center" vertical="center"/>
    </xf>
    <xf numFmtId="3" fontId="13" fillId="0" borderId="3"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 fillId="0" borderId="4" xfId="0" applyFont="1" applyBorder="1" applyAlignment="1">
      <alignment horizontal="center"/>
    </xf>
    <xf numFmtId="0" fontId="1" fillId="0" borderId="53" xfId="0" applyFont="1" applyBorder="1" applyAlignment="1">
      <alignment horizontal="center"/>
    </xf>
    <xf numFmtId="0" fontId="1" fillId="0" borderId="56" xfId="0" applyFont="1" applyBorder="1" applyAlignment="1">
      <alignment horizontal="center"/>
    </xf>
    <xf numFmtId="3" fontId="11" fillId="0" borderId="1" xfId="0" applyNumberFormat="1" applyFont="1" applyBorder="1" applyAlignment="1">
      <alignment horizontal="center" vertical="center"/>
    </xf>
    <xf numFmtId="3" fontId="11" fillId="0" borderId="2" xfId="0" applyNumberFormat="1" applyFont="1" applyBorder="1" applyAlignment="1">
      <alignment horizontal="center" vertical="center"/>
    </xf>
    <xf numFmtId="3" fontId="11" fillId="0" borderId="3" xfId="0" applyNumberFormat="1" applyFont="1" applyBorder="1" applyAlignment="1">
      <alignment horizontal="center" vertical="center"/>
    </xf>
    <xf numFmtId="0" fontId="13" fillId="0" borderId="4" xfId="0" applyFont="1" applyBorder="1" applyAlignment="1">
      <alignment horizontal="center" vertical="center"/>
    </xf>
    <xf numFmtId="0" fontId="13" fillId="0" borderId="56" xfId="0" applyFont="1" applyBorder="1" applyAlignment="1">
      <alignment horizontal="center" vertical="center"/>
    </xf>
    <xf numFmtId="3" fontId="13" fillId="0" borderId="48" xfId="0" applyNumberFormat="1" applyFont="1" applyBorder="1" applyAlignment="1">
      <alignment horizontal="center" vertical="center"/>
    </xf>
    <xf numFmtId="3" fontId="13" fillId="0" borderId="54" xfId="0" applyNumberFormat="1" applyFont="1" applyBorder="1" applyAlignment="1">
      <alignment horizontal="center" vertical="center"/>
    </xf>
    <xf numFmtId="3" fontId="13" fillId="0" borderId="55" xfId="0" applyNumberFormat="1" applyFont="1" applyBorder="1" applyAlignment="1">
      <alignment horizontal="center" vertical="center"/>
    </xf>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2" fillId="0" borderId="42" xfId="0" applyFont="1" applyBorder="1" applyAlignment="1">
      <alignment horizontal="center" wrapText="1"/>
    </xf>
    <xf numFmtId="0" fontId="2" fillId="0" borderId="42" xfId="0" applyFont="1" applyBorder="1" applyAlignment="1">
      <alignment horizontal="center"/>
    </xf>
    <xf numFmtId="0" fontId="0" fillId="0" borderId="42" xfId="0" applyBorder="1" applyAlignment="1">
      <alignment horizontal="left"/>
    </xf>
    <xf numFmtId="0" fontId="34" fillId="0" borderId="42" xfId="0" applyFont="1" applyBorder="1" applyAlignment="1">
      <alignment horizontal="left"/>
    </xf>
    <xf numFmtId="0" fontId="9" fillId="0" borderId="65" xfId="0" applyFont="1" applyBorder="1" applyAlignment="1">
      <alignment horizontal="center"/>
    </xf>
    <xf numFmtId="0" fontId="8" fillId="0" borderId="67" xfId="0" applyFont="1" applyBorder="1" applyAlignment="1">
      <alignment horizontal="center"/>
    </xf>
    <xf numFmtId="0" fontId="8" fillId="0" borderId="68" xfId="0" applyFont="1" applyBorder="1" applyAlignment="1">
      <alignment horizontal="center"/>
    </xf>
    <xf numFmtId="0" fontId="8" fillId="0" borderId="69" xfId="0" applyFont="1" applyBorder="1" applyAlignment="1">
      <alignment horizontal="center"/>
    </xf>
    <xf numFmtId="0" fontId="8" fillId="0" borderId="65" xfId="0" applyFont="1" applyBorder="1" applyAlignment="1">
      <alignment horizontal="center"/>
    </xf>
    <xf numFmtId="0" fontId="8" fillId="0" borderId="66" xfId="0" applyFont="1" applyBorder="1" applyAlignment="1">
      <alignment horizontal="center" vertical="center"/>
    </xf>
    <xf numFmtId="0" fontId="8" fillId="0" borderId="70"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0" fillId="0" borderId="71" xfId="0" applyBorder="1" applyAlignment="1">
      <alignment horizontal="center" vertical="center"/>
    </xf>
    <xf numFmtId="0" fontId="0" fillId="0" borderId="0" xfId="0" applyAlignment="1">
      <alignment horizontal="center" vertical="center"/>
    </xf>
    <xf numFmtId="0" fontId="0" fillId="0" borderId="73" xfId="0" applyBorder="1" applyAlignment="1">
      <alignment horizontal="center" vertical="top"/>
    </xf>
    <xf numFmtId="0" fontId="0" fillId="0" borderId="71" xfId="0" applyBorder="1" applyAlignment="1">
      <alignment horizontal="center" vertical="top"/>
    </xf>
    <xf numFmtId="0" fontId="0" fillId="0" borderId="74" xfId="0" applyBorder="1" applyAlignment="1">
      <alignment horizontal="center" vertical="top"/>
    </xf>
    <xf numFmtId="0" fontId="0" fillId="0" borderId="73" xfId="0" applyBorder="1" applyAlignment="1">
      <alignment horizontal="center" vertical="center"/>
    </xf>
    <xf numFmtId="0" fontId="0" fillId="0" borderId="10" xfId="0" applyBorder="1" applyAlignment="1">
      <alignment horizontal="center" vertical="center"/>
    </xf>
    <xf numFmtId="0" fontId="11" fillId="0" borderId="42" xfId="0" applyFont="1" applyBorder="1" applyAlignment="1">
      <alignment horizontal="center" vertical="center"/>
    </xf>
    <xf numFmtId="0" fontId="0" fillId="0" borderId="72" xfId="0" applyBorder="1" applyAlignment="1">
      <alignment horizontal="center" vertical="center"/>
    </xf>
    <xf numFmtId="0" fontId="0" fillId="0" borderId="24" xfId="0" applyBorder="1" applyAlignment="1">
      <alignment horizontal="center" vertical="center"/>
    </xf>
    <xf numFmtId="0" fontId="0" fillId="0" borderId="47" xfId="0" applyBorder="1" applyAlignment="1">
      <alignment horizontal="center" vertical="center"/>
    </xf>
    <xf numFmtId="0" fontId="11" fillId="0" borderId="42" xfId="0" applyFont="1" applyFill="1" applyBorder="1" applyAlignment="1">
      <alignment horizontal="center" vertical="center"/>
    </xf>
    <xf numFmtId="0" fontId="62" fillId="0" borderId="10" xfId="0" applyFont="1" applyBorder="1" applyAlignment="1">
      <alignment horizontal="center" vertical="center"/>
    </xf>
    <xf numFmtId="0" fontId="62" fillId="0" borderId="0" xfId="0" applyFont="1" applyBorder="1" applyAlignment="1">
      <alignment horizontal="center" vertical="center"/>
    </xf>
    <xf numFmtId="0" fontId="62" fillId="0" borderId="46" xfId="0" applyFont="1" applyBorder="1" applyAlignment="1">
      <alignment horizontal="center" vertical="center"/>
    </xf>
    <xf numFmtId="0" fontId="47" fillId="0" borderId="1" xfId="405" applyBorder="1" applyAlignment="1">
      <alignment horizontal="left" vertical="center" wrapText="1"/>
    </xf>
    <xf numFmtId="0" fontId="47" fillId="0" borderId="2" xfId="405" applyBorder="1" applyAlignment="1">
      <alignment horizontal="left" vertical="center" wrapText="1"/>
    </xf>
    <xf numFmtId="0" fontId="47" fillId="0" borderId="3" xfId="405" applyBorder="1" applyAlignment="1">
      <alignment horizontal="left" vertical="center" wrapText="1"/>
    </xf>
    <xf numFmtId="0" fontId="66" fillId="0" borderId="1" xfId="0" applyFont="1" applyBorder="1" applyAlignment="1">
      <alignment horizontal="left" vertical="center" wrapText="1"/>
    </xf>
    <xf numFmtId="0" fontId="64" fillId="0" borderId="2" xfId="0" applyFont="1" applyBorder="1" applyAlignment="1">
      <alignment horizontal="left" vertical="center" wrapText="1"/>
    </xf>
    <xf numFmtId="0" fontId="64" fillId="0" borderId="3" xfId="0" applyFont="1" applyBorder="1" applyAlignment="1">
      <alignment horizontal="left" vertical="center" wrapText="1"/>
    </xf>
    <xf numFmtId="0" fontId="61" fillId="0" borderId="1" xfId="0" applyFont="1" applyBorder="1" applyAlignment="1">
      <alignment horizontal="center" vertical="center" wrapText="1"/>
    </xf>
    <xf numFmtId="0" fontId="61" fillId="0" borderId="2" xfId="0" applyFont="1" applyBorder="1" applyAlignment="1">
      <alignment horizontal="center" vertical="center" wrapText="1"/>
    </xf>
    <xf numFmtId="0" fontId="61" fillId="0" borderId="3" xfId="0" applyFont="1" applyBorder="1" applyAlignment="1">
      <alignment horizontal="center" vertical="center" wrapText="1"/>
    </xf>
    <xf numFmtId="0" fontId="61" fillId="0" borderId="75" xfId="0" applyFont="1" applyBorder="1" applyAlignment="1">
      <alignment horizontal="center" vertical="center" wrapText="1"/>
    </xf>
    <xf numFmtId="0" fontId="63" fillId="0" borderId="75" xfId="0" applyFont="1" applyBorder="1"/>
    <xf numFmtId="0" fontId="64" fillId="0" borderId="67" xfId="0" applyFont="1" applyBorder="1" applyAlignment="1">
      <alignment horizontal="left" vertical="center" wrapText="1"/>
    </xf>
    <xf numFmtId="0" fontId="52" fillId="0" borderId="68" xfId="0" applyFont="1" applyBorder="1" applyAlignment="1">
      <alignment horizontal="left" vertical="center" wrapText="1"/>
    </xf>
    <xf numFmtId="0" fontId="52" fillId="0" borderId="69" xfId="0" applyFont="1" applyBorder="1" applyAlignment="1">
      <alignment horizontal="left" vertical="center" wrapText="1"/>
    </xf>
    <xf numFmtId="0" fontId="64" fillId="0" borderId="81" xfId="0" applyFont="1" applyBorder="1" applyAlignment="1">
      <alignment horizontal="left" vertical="center" wrapText="1"/>
    </xf>
    <xf numFmtId="0" fontId="52" fillId="0" borderId="82" xfId="0" applyFont="1" applyBorder="1" applyAlignment="1">
      <alignment horizontal="left" vertical="center" wrapText="1"/>
    </xf>
    <xf numFmtId="0" fontId="52" fillId="0" borderId="83" xfId="0" applyFont="1" applyBorder="1" applyAlignment="1">
      <alignment horizontal="left" vertical="center" wrapText="1"/>
    </xf>
    <xf numFmtId="0" fontId="63" fillId="0" borderId="0" xfId="0" applyFont="1" applyAlignment="1">
      <alignment horizontal="left" vertical="center" wrapText="1"/>
    </xf>
    <xf numFmtId="0" fontId="64" fillId="0" borderId="75" xfId="0" applyFont="1" applyBorder="1" applyAlignment="1">
      <alignment horizontal="left" vertical="center" wrapText="1"/>
    </xf>
    <xf numFmtId="0" fontId="52" fillId="0" borderId="75" xfId="0" applyFont="1" applyBorder="1" applyAlignment="1">
      <alignment horizontal="left" vertical="center" wrapText="1"/>
    </xf>
    <xf numFmtId="0" fontId="56" fillId="0" borderId="38" xfId="50" applyFont="1" applyBorder="1" applyAlignment="1">
      <alignment horizontal="left" vertical="center"/>
    </xf>
    <xf numFmtId="0" fontId="56" fillId="0" borderId="39" xfId="50" applyFont="1" applyBorder="1" applyAlignment="1">
      <alignment horizontal="left" vertical="center"/>
    </xf>
    <xf numFmtId="0" fontId="56" fillId="0" borderId="40" xfId="50" applyFont="1" applyBorder="1" applyAlignment="1">
      <alignment horizontal="left" vertical="center"/>
    </xf>
    <xf numFmtId="0" fontId="1" fillId="0" borderId="42" xfId="50" applyFont="1" applyBorder="1" applyAlignment="1">
      <alignment horizontal="center" vertical="center"/>
    </xf>
    <xf numFmtId="0" fontId="1" fillId="0" borderId="42" xfId="50" applyFont="1" applyBorder="1" applyAlignment="1">
      <alignment horizontal="center" vertical="center" wrapText="1"/>
    </xf>
    <xf numFmtId="0" fontId="2" fillId="0" borderId="42" xfId="50" applyFont="1" applyBorder="1" applyAlignment="1">
      <alignment horizontal="center" vertical="center"/>
    </xf>
    <xf numFmtId="0" fontId="2" fillId="0" borderId="42" xfId="50" applyFont="1" applyBorder="1" applyAlignment="1">
      <alignment horizontal="center"/>
    </xf>
    <xf numFmtId="0" fontId="11" fillId="0" borderId="42" xfId="50" applyFont="1" applyBorder="1" applyAlignment="1">
      <alignment horizontal="center" vertical="center" wrapText="1"/>
    </xf>
    <xf numFmtId="0" fontId="16" fillId="0" borderId="42" xfId="50" applyFont="1" applyBorder="1" applyAlignment="1">
      <alignment horizontal="left" vertical="center"/>
    </xf>
    <xf numFmtId="0" fontId="11" fillId="0" borderId="42" xfId="50" applyFont="1" applyBorder="1" applyAlignment="1">
      <alignment horizontal="center" vertical="center"/>
    </xf>
    <xf numFmtId="0" fontId="8" fillId="0" borderId="67" xfId="50" applyFont="1" applyBorder="1" applyAlignment="1">
      <alignment horizontal="center"/>
    </xf>
    <xf numFmtId="0" fontId="8" fillId="0" borderId="68" xfId="50" applyFont="1" applyBorder="1" applyAlignment="1">
      <alignment horizontal="center"/>
    </xf>
    <xf numFmtId="0" fontId="8" fillId="0" borderId="69" xfId="50" applyFont="1" applyBorder="1" applyAlignment="1">
      <alignment horizontal="center"/>
    </xf>
    <xf numFmtId="0" fontId="9" fillId="0" borderId="67" xfId="50" applyFont="1" applyBorder="1" applyAlignment="1">
      <alignment horizontal="center"/>
    </xf>
    <xf numFmtId="0" fontId="9" fillId="0" borderId="68" xfId="50" applyFont="1" applyBorder="1" applyAlignment="1">
      <alignment horizontal="center"/>
    </xf>
    <xf numFmtId="0" fontId="9" fillId="0" borderId="69" xfId="50" applyFont="1" applyBorder="1" applyAlignment="1">
      <alignment horizontal="center"/>
    </xf>
    <xf numFmtId="0" fontId="39" fillId="0" borderId="42" xfId="50" applyFont="1" applyBorder="1" applyAlignment="1">
      <alignment horizontal="left"/>
    </xf>
    <xf numFmtId="0" fontId="8" fillId="0" borderId="42" xfId="50" applyFont="1" applyBorder="1" applyAlignment="1">
      <alignment horizontal="left"/>
    </xf>
    <xf numFmtId="0" fontId="8" fillId="0" borderId="37" xfId="50" applyFont="1" applyBorder="1" applyAlignment="1">
      <alignment horizontal="center" vertical="center"/>
    </xf>
    <xf numFmtId="0" fontId="8" fillId="0" borderId="24" xfId="50" applyFont="1" applyBorder="1" applyAlignment="1">
      <alignment horizontal="center" vertical="center"/>
    </xf>
    <xf numFmtId="0" fontId="8" fillId="0" borderId="36" xfId="50" applyFont="1" applyBorder="1" applyAlignment="1">
      <alignment horizontal="center" vertical="center"/>
    </xf>
    <xf numFmtId="0" fontId="8" fillId="0" borderId="73" xfId="50" applyFont="1" applyBorder="1" applyAlignment="1">
      <alignment horizontal="center" vertical="center"/>
    </xf>
    <xf numFmtId="0" fontId="8" fillId="0" borderId="71" xfId="50" applyFont="1" applyBorder="1" applyAlignment="1">
      <alignment horizontal="center" vertical="center"/>
    </xf>
    <xf numFmtId="0" fontId="8" fillId="0" borderId="74" xfId="50" applyFont="1" applyBorder="1" applyAlignment="1">
      <alignment horizontal="center" vertical="center"/>
    </xf>
    <xf numFmtId="0" fontId="8" fillId="0" borderId="11" xfId="50" applyFont="1" applyBorder="1" applyAlignment="1">
      <alignment horizontal="center" vertical="center"/>
    </xf>
    <xf numFmtId="0" fontId="8" fillId="0" borderId="12" xfId="50" applyFont="1" applyBorder="1" applyAlignment="1">
      <alignment horizontal="center" vertical="center"/>
    </xf>
    <xf numFmtId="0" fontId="8" fillId="0" borderId="23" xfId="50" applyFont="1" applyBorder="1" applyAlignment="1">
      <alignment horizontal="center" vertical="center"/>
    </xf>
    <xf numFmtId="0" fontId="39" fillId="0" borderId="38" xfId="50" applyFont="1" applyBorder="1" applyAlignment="1">
      <alignment horizontal="left"/>
    </xf>
    <xf numFmtId="0" fontId="39" fillId="0" borderId="39" xfId="50" applyFont="1" applyBorder="1" applyAlignment="1">
      <alignment horizontal="left"/>
    </xf>
    <xf numFmtId="0" fontId="39" fillId="0" borderId="40" xfId="50" applyFont="1" applyBorder="1" applyAlignment="1">
      <alignment horizontal="left"/>
    </xf>
    <xf numFmtId="0" fontId="9" fillId="0" borderId="38" xfId="50" applyFont="1" applyBorder="1" applyAlignment="1">
      <alignment horizontal="center"/>
    </xf>
    <xf numFmtId="0" fontId="9" fillId="0" borderId="39" xfId="50" applyFont="1" applyBorder="1" applyAlignment="1">
      <alignment horizontal="center"/>
    </xf>
    <xf numFmtId="0" fontId="9" fillId="0" borderId="40" xfId="50" applyFont="1" applyBorder="1" applyAlignment="1">
      <alignment horizontal="center"/>
    </xf>
    <xf numFmtId="0" fontId="8" fillId="0" borderId="42" xfId="50" applyFont="1" applyFill="1" applyBorder="1" applyAlignment="1">
      <alignment horizontal="left"/>
    </xf>
    <xf numFmtId="0" fontId="8" fillId="0" borderId="8" xfId="50" applyFont="1" applyBorder="1" applyAlignment="1">
      <alignment horizontal="center" vertical="center"/>
    </xf>
    <xf numFmtId="0" fontId="8" fillId="0" borderId="38" xfId="50" applyFont="1" applyBorder="1" applyAlignment="1">
      <alignment horizontal="center"/>
    </xf>
    <xf numFmtId="0" fontId="8" fillId="0" borderId="40" xfId="50" applyFont="1" applyBorder="1" applyAlignment="1">
      <alignment horizontal="center"/>
    </xf>
    <xf numFmtId="0" fontId="8" fillId="0" borderId="39" xfId="50" applyFont="1" applyBorder="1" applyAlignment="1">
      <alignment horizontal="center"/>
    </xf>
    <xf numFmtId="0" fontId="34" fillId="0" borderId="42" xfId="50" applyFont="1" applyBorder="1" applyAlignment="1">
      <alignment horizontal="left" vertical="center" wrapText="1"/>
    </xf>
    <xf numFmtId="0" fontId="15" fillId="0" borderId="42" xfId="50" applyFont="1" applyBorder="1" applyAlignment="1">
      <alignment horizontal="left" vertical="center"/>
    </xf>
    <xf numFmtId="0" fontId="12" fillId="0" borderId="38" xfId="50" applyFont="1" applyBorder="1" applyAlignment="1">
      <alignment horizontal="left" vertical="center"/>
    </xf>
    <xf numFmtId="0" fontId="12" fillId="0" borderId="40" xfId="50" applyFont="1" applyBorder="1" applyAlignment="1">
      <alignment horizontal="left" vertical="center"/>
    </xf>
    <xf numFmtId="0" fontId="12" fillId="0" borderId="42" xfId="50" applyFont="1" applyBorder="1" applyAlignment="1">
      <alignment horizontal="left" vertical="center"/>
    </xf>
    <xf numFmtId="0" fontId="9" fillId="0" borderId="42" xfId="50" applyFont="1" applyBorder="1" applyAlignment="1">
      <alignment horizontal="center" wrapText="1"/>
    </xf>
    <xf numFmtId="0" fontId="13" fillId="0" borderId="42" xfId="50" applyFont="1" applyBorder="1" applyAlignment="1">
      <alignment horizontal="center" vertical="center"/>
    </xf>
    <xf numFmtId="0" fontId="13" fillId="0" borderId="38" xfId="50" applyFont="1" applyBorder="1" applyAlignment="1">
      <alignment horizontal="center" vertical="center" wrapText="1"/>
    </xf>
    <xf numFmtId="0" fontId="13" fillId="0" borderId="39" xfId="50" applyFont="1" applyBorder="1" applyAlignment="1">
      <alignment horizontal="center" vertical="center" wrapText="1"/>
    </xf>
    <xf numFmtId="0" fontId="13" fillId="0" borderId="40" xfId="50" applyFont="1" applyBorder="1" applyAlignment="1">
      <alignment horizontal="center" vertical="center" wrapText="1"/>
    </xf>
    <xf numFmtId="0" fontId="13" fillId="0" borderId="42" xfId="50" applyFont="1" applyBorder="1" applyAlignment="1">
      <alignment horizontal="center" vertical="center" wrapText="1"/>
    </xf>
    <xf numFmtId="0" fontId="13" fillId="0" borderId="42" xfId="50" applyFont="1" applyBorder="1" applyAlignment="1">
      <alignment horizontal="left" vertical="center"/>
    </xf>
    <xf numFmtId="0" fontId="9" fillId="0" borderId="42" xfId="50" applyFont="1" applyBorder="1" applyAlignment="1">
      <alignment horizontal="center" vertical="center"/>
    </xf>
    <xf numFmtId="0" fontId="8" fillId="0" borderId="42" xfId="50" applyFont="1" applyBorder="1" applyAlignment="1">
      <alignment horizontal="center"/>
    </xf>
    <xf numFmtId="0" fontId="11" fillId="0" borderId="42" xfId="50" applyFont="1" applyBorder="1" applyAlignment="1">
      <alignment horizontal="left" vertical="center"/>
    </xf>
    <xf numFmtId="0" fontId="11" fillId="0" borderId="8" xfId="50" applyFont="1" applyBorder="1" applyAlignment="1">
      <alignment horizontal="center" vertical="center"/>
    </xf>
    <xf numFmtId="0" fontId="11" fillId="0" borderId="9" xfId="50" applyFont="1" applyBorder="1" applyAlignment="1">
      <alignment horizontal="center" vertical="center"/>
    </xf>
    <xf numFmtId="0" fontId="11" fillId="0" borderId="22" xfId="50" applyFont="1" applyBorder="1" applyAlignment="1">
      <alignment horizontal="center" vertical="center"/>
    </xf>
    <xf numFmtId="0" fontId="16" fillId="0" borderId="11" xfId="50" applyFont="1" applyBorder="1" applyAlignment="1">
      <alignment horizontal="left"/>
    </xf>
    <xf numFmtId="0" fontId="16" fillId="0" borderId="12" xfId="50" applyFont="1" applyBorder="1" applyAlignment="1">
      <alignment horizontal="left"/>
    </xf>
    <xf numFmtId="0" fontId="16" fillId="0" borderId="23" xfId="50" applyFont="1" applyBorder="1" applyAlignment="1">
      <alignment horizontal="left"/>
    </xf>
    <xf numFmtId="0" fontId="15" fillId="0" borderId="8" xfId="50" applyFont="1" applyBorder="1" applyAlignment="1">
      <alignment horizontal="left"/>
    </xf>
    <xf numFmtId="0" fontId="15" fillId="0" borderId="9" xfId="50" applyFont="1" applyBorder="1" applyAlignment="1">
      <alignment horizontal="left"/>
    </xf>
    <xf numFmtId="0" fontId="15" fillId="0" borderId="22" xfId="50" applyFont="1" applyBorder="1" applyAlignment="1">
      <alignment horizontal="left"/>
    </xf>
    <xf numFmtId="0" fontId="68" fillId="0" borderId="10" xfId="50" applyFont="1" applyBorder="1" applyAlignment="1">
      <alignment horizontal="left" wrapText="1"/>
    </xf>
    <xf numFmtId="0" fontId="68" fillId="0" borderId="0" xfId="50" applyFont="1" applyBorder="1" applyAlignment="1">
      <alignment horizontal="left" wrapText="1"/>
    </xf>
    <xf numFmtId="0" fontId="68" fillId="0" borderId="46" xfId="50" applyFont="1" applyBorder="1" applyAlignment="1">
      <alignment horizontal="left" wrapText="1"/>
    </xf>
    <xf numFmtId="0" fontId="0" fillId="0" borderId="0" xfId="0" applyAlignment="1">
      <alignment horizontal="center"/>
    </xf>
    <xf numFmtId="0" fontId="33" fillId="0" borderId="0" xfId="50" applyFont="1" applyAlignment="1">
      <alignment horizontal="center" wrapText="1"/>
    </xf>
    <xf numFmtId="0" fontId="15" fillId="0" borderId="42" xfId="281" applyFont="1" applyBorder="1" applyAlignment="1">
      <alignment horizontal="left"/>
    </xf>
    <xf numFmtId="0" fontId="34" fillId="0" borderId="42" xfId="50" applyFont="1" applyBorder="1" applyAlignment="1">
      <alignment horizontal="justify" vertical="top" wrapText="1"/>
    </xf>
  </cellXfs>
  <cellStyles count="406">
    <cellStyle name="20% - Énfasis1" xfId="24" builtinId="30" customBuiltin="1"/>
    <cellStyle name="20% - Énfasis1 2" xfId="51" xr:uid="{00000000-0005-0000-0000-000001000000}"/>
    <cellStyle name="20% - Énfasis1 3" xfId="52" xr:uid="{00000000-0005-0000-0000-000002000000}"/>
    <cellStyle name="20% - Énfasis2" xfId="28" builtinId="34" customBuiltin="1"/>
    <cellStyle name="20% - Énfasis2 2" xfId="53" xr:uid="{00000000-0005-0000-0000-000004000000}"/>
    <cellStyle name="20% - Énfasis2 3" xfId="54" xr:uid="{00000000-0005-0000-0000-000005000000}"/>
    <cellStyle name="20% - Énfasis3" xfId="32" builtinId="38" customBuiltin="1"/>
    <cellStyle name="20% - Énfasis3 2" xfId="55" xr:uid="{00000000-0005-0000-0000-000007000000}"/>
    <cellStyle name="20% - Énfasis3 3" xfId="56" xr:uid="{00000000-0005-0000-0000-000008000000}"/>
    <cellStyle name="20% - Énfasis4" xfId="36" builtinId="42" customBuiltin="1"/>
    <cellStyle name="20% - Énfasis4 2" xfId="57" xr:uid="{00000000-0005-0000-0000-00000A000000}"/>
    <cellStyle name="20% - Énfasis4 3" xfId="58" xr:uid="{00000000-0005-0000-0000-00000B000000}"/>
    <cellStyle name="20% - Énfasis5" xfId="40" builtinId="46" customBuiltin="1"/>
    <cellStyle name="20% - Énfasis5 2" xfId="59" xr:uid="{00000000-0005-0000-0000-00000D000000}"/>
    <cellStyle name="20% - Énfasis5 3" xfId="60" xr:uid="{00000000-0005-0000-0000-00000E000000}"/>
    <cellStyle name="20% - Énfasis6" xfId="44" builtinId="50" customBuiltin="1"/>
    <cellStyle name="20% - Énfasis6 2" xfId="61" xr:uid="{00000000-0005-0000-0000-000010000000}"/>
    <cellStyle name="20% - Énfasis6 3" xfId="62" xr:uid="{00000000-0005-0000-0000-000011000000}"/>
    <cellStyle name="40% - Énfasis1" xfId="25" builtinId="31" customBuiltin="1"/>
    <cellStyle name="40% - Énfasis1 2" xfId="63" xr:uid="{00000000-0005-0000-0000-000013000000}"/>
    <cellStyle name="40% - Énfasis1 3" xfId="64" xr:uid="{00000000-0005-0000-0000-000014000000}"/>
    <cellStyle name="40% - Énfasis2" xfId="29" builtinId="35" customBuiltin="1"/>
    <cellStyle name="40% - Énfasis2 2" xfId="65" xr:uid="{00000000-0005-0000-0000-000016000000}"/>
    <cellStyle name="40% - Énfasis2 3" xfId="66" xr:uid="{00000000-0005-0000-0000-000017000000}"/>
    <cellStyle name="40% - Énfasis3" xfId="33" builtinId="39" customBuiltin="1"/>
    <cellStyle name="40% - Énfasis3 2" xfId="67" xr:uid="{00000000-0005-0000-0000-000019000000}"/>
    <cellStyle name="40% - Énfasis3 3" xfId="68" xr:uid="{00000000-0005-0000-0000-00001A000000}"/>
    <cellStyle name="40% - Énfasis4" xfId="37" builtinId="43" customBuiltin="1"/>
    <cellStyle name="40% - Énfasis4 2" xfId="69" xr:uid="{00000000-0005-0000-0000-00001C000000}"/>
    <cellStyle name="40% - Énfasis4 3" xfId="70" xr:uid="{00000000-0005-0000-0000-00001D000000}"/>
    <cellStyle name="40% - Énfasis5" xfId="41" builtinId="47" customBuiltin="1"/>
    <cellStyle name="40% - Énfasis5 2" xfId="71" xr:uid="{00000000-0005-0000-0000-00001F000000}"/>
    <cellStyle name="40% - Énfasis5 3" xfId="72" xr:uid="{00000000-0005-0000-0000-000020000000}"/>
    <cellStyle name="40% - Énfasis6" xfId="45" builtinId="51" customBuiltin="1"/>
    <cellStyle name="40% - Énfasis6 2" xfId="73" xr:uid="{00000000-0005-0000-0000-000022000000}"/>
    <cellStyle name="40% - Énfasis6 3" xfId="74" xr:uid="{00000000-0005-0000-0000-000023000000}"/>
    <cellStyle name="60% - Énfasis1" xfId="26" builtinId="32" customBuiltin="1"/>
    <cellStyle name="60% - Énfasis1 2" xfId="75" xr:uid="{00000000-0005-0000-0000-000025000000}"/>
    <cellStyle name="60% - Énfasis1 3" xfId="76" xr:uid="{00000000-0005-0000-0000-000026000000}"/>
    <cellStyle name="60% - Énfasis2" xfId="30" builtinId="36" customBuiltin="1"/>
    <cellStyle name="60% - Énfasis2 2" xfId="77" xr:uid="{00000000-0005-0000-0000-000028000000}"/>
    <cellStyle name="60% - Énfasis2 3" xfId="78" xr:uid="{00000000-0005-0000-0000-000029000000}"/>
    <cellStyle name="60% - Énfasis3" xfId="34" builtinId="40" customBuiltin="1"/>
    <cellStyle name="60% - Énfasis3 2" xfId="79" xr:uid="{00000000-0005-0000-0000-00002B000000}"/>
    <cellStyle name="60% - Énfasis3 3" xfId="80" xr:uid="{00000000-0005-0000-0000-00002C000000}"/>
    <cellStyle name="60% - Énfasis4" xfId="38" builtinId="44" customBuiltin="1"/>
    <cellStyle name="60% - Énfasis4 2" xfId="81" xr:uid="{00000000-0005-0000-0000-00002E000000}"/>
    <cellStyle name="60% - Énfasis4 3" xfId="82" xr:uid="{00000000-0005-0000-0000-00002F000000}"/>
    <cellStyle name="60% - Énfasis5" xfId="42" builtinId="48" customBuiltin="1"/>
    <cellStyle name="60% - Énfasis5 2" xfId="83" xr:uid="{00000000-0005-0000-0000-000031000000}"/>
    <cellStyle name="60% - Énfasis5 3" xfId="84" xr:uid="{00000000-0005-0000-0000-000032000000}"/>
    <cellStyle name="60% - Énfasis6" xfId="46" builtinId="52" customBuiltin="1"/>
    <cellStyle name="60% - Énfasis6 2" xfId="85" xr:uid="{00000000-0005-0000-0000-000034000000}"/>
    <cellStyle name="60% - Énfasis6 3" xfId="86" xr:uid="{00000000-0005-0000-0000-000035000000}"/>
    <cellStyle name="Buena 2" xfId="87" xr:uid="{00000000-0005-0000-0000-000036000000}"/>
    <cellStyle name="Bueno" xfId="11" builtinId="26" customBuiltin="1"/>
    <cellStyle name="Bueno 2" xfId="88" xr:uid="{00000000-0005-0000-0000-000038000000}"/>
    <cellStyle name="Cálculo" xfId="16" builtinId="22" customBuiltin="1"/>
    <cellStyle name="Cálculo 2" xfId="89" xr:uid="{00000000-0005-0000-0000-00003A000000}"/>
    <cellStyle name="Celda de comprobación" xfId="18" builtinId="23" customBuiltin="1"/>
    <cellStyle name="Celda de comprobación 2" xfId="90" xr:uid="{00000000-0005-0000-0000-00003C000000}"/>
    <cellStyle name="Celda vinculada" xfId="17" builtinId="24" customBuiltin="1"/>
    <cellStyle name="Celda vinculada 2" xfId="91" xr:uid="{00000000-0005-0000-0000-00003E000000}"/>
    <cellStyle name="Encabezado 1" xfId="7" builtinId="16" customBuiltin="1"/>
    <cellStyle name="Encabezado 4" xfId="10" builtinId="19" customBuiltin="1"/>
    <cellStyle name="Encabezado 4 2" xfId="92" xr:uid="{00000000-0005-0000-0000-000040000000}"/>
    <cellStyle name="Énfasis1" xfId="23" builtinId="29" customBuiltin="1"/>
    <cellStyle name="Énfasis1 2" xfId="93" xr:uid="{00000000-0005-0000-0000-000042000000}"/>
    <cellStyle name="Énfasis2" xfId="27" builtinId="33" customBuiltin="1"/>
    <cellStyle name="Énfasis2 2" xfId="94" xr:uid="{00000000-0005-0000-0000-000044000000}"/>
    <cellStyle name="Énfasis3" xfId="31" builtinId="37" customBuiltin="1"/>
    <cellStyle name="Énfasis3 2" xfId="95" xr:uid="{00000000-0005-0000-0000-000046000000}"/>
    <cellStyle name="Énfasis4" xfId="35" builtinId="41" customBuiltin="1"/>
    <cellStyle name="Énfasis4 2" xfId="96" xr:uid="{00000000-0005-0000-0000-000048000000}"/>
    <cellStyle name="Énfasis5" xfId="39" builtinId="45" customBuiltin="1"/>
    <cellStyle name="Énfasis5 2" xfId="97" xr:uid="{00000000-0005-0000-0000-00004A000000}"/>
    <cellStyle name="Énfasis6" xfId="43" builtinId="49" customBuiltin="1"/>
    <cellStyle name="Énfasis6 2" xfId="98" xr:uid="{00000000-0005-0000-0000-00004C000000}"/>
    <cellStyle name="Entrada" xfId="14" builtinId="20" customBuiltin="1"/>
    <cellStyle name="Entrada 2" xfId="99" xr:uid="{00000000-0005-0000-0000-00004E000000}"/>
    <cellStyle name="Hipervínculo" xfId="405" builtinId="8"/>
    <cellStyle name="Hipervínculo 2" xfId="100" xr:uid="{00000000-0005-0000-0000-00004F000000}"/>
    <cellStyle name="Hipervínculo 2 2" xfId="101" xr:uid="{00000000-0005-0000-0000-000050000000}"/>
    <cellStyle name="Hipervínculo 3" xfId="102" xr:uid="{00000000-0005-0000-0000-000051000000}"/>
    <cellStyle name="Hipervínculo 4" xfId="103" xr:uid="{00000000-0005-0000-0000-000052000000}"/>
    <cellStyle name="Incorrecto" xfId="12" builtinId="27" customBuiltin="1"/>
    <cellStyle name="Incorrecto 2" xfId="105" xr:uid="{00000000-0005-0000-0000-000054000000}"/>
    <cellStyle name="Incorrecto 3" xfId="104" xr:uid="{00000000-0005-0000-0000-000055000000}"/>
    <cellStyle name="Millares" xfId="4" builtinId="3"/>
    <cellStyle name="Millares [0]" xfId="5" builtinId="6"/>
    <cellStyle name="Millares [0] 2" xfId="49" xr:uid="{00000000-0005-0000-0000-000058000000}"/>
    <cellStyle name="Millares [0] 2 2" xfId="109" xr:uid="{00000000-0005-0000-0000-000059000000}"/>
    <cellStyle name="Millares [0] 2 2 2" xfId="110" xr:uid="{00000000-0005-0000-0000-00005A000000}"/>
    <cellStyle name="Millares [0] 2 3" xfId="111" xr:uid="{00000000-0005-0000-0000-00005B000000}"/>
    <cellStyle name="Millares [0] 2 4" xfId="108" xr:uid="{00000000-0005-0000-0000-00005C000000}"/>
    <cellStyle name="Millares [0] 2 5" xfId="376" xr:uid="{58125B69-8FB1-45EF-931F-27B3913D5F78}"/>
    <cellStyle name="Millares [0] 3" xfId="112" xr:uid="{00000000-0005-0000-0000-00005D000000}"/>
    <cellStyle name="Millares [0] 3 2" xfId="113" xr:uid="{00000000-0005-0000-0000-00005E000000}"/>
    <cellStyle name="Millares [0] 4" xfId="114" xr:uid="{00000000-0005-0000-0000-00005F000000}"/>
    <cellStyle name="Millares [0] 5" xfId="115" xr:uid="{00000000-0005-0000-0000-000060000000}"/>
    <cellStyle name="Millares [0] 5 2" xfId="377" xr:uid="{53BB5434-0E81-4FA3-8F25-7A5279C593AF}"/>
    <cellStyle name="Millares [0] 6" xfId="107" xr:uid="{00000000-0005-0000-0000-000061000000}"/>
    <cellStyle name="Millares [0] 7" xfId="374" xr:uid="{104975EF-394F-4F82-ACDA-52BBB331DFA9}"/>
    <cellStyle name="Millares 10" xfId="116" xr:uid="{00000000-0005-0000-0000-000062000000}"/>
    <cellStyle name="Millares 10 2" xfId="117" xr:uid="{00000000-0005-0000-0000-000063000000}"/>
    <cellStyle name="Millares 10 3" xfId="118" xr:uid="{00000000-0005-0000-0000-000064000000}"/>
    <cellStyle name="Millares 10 3 2" xfId="379" xr:uid="{C90F4C69-8825-4F39-A02F-5D4293DD8633}"/>
    <cellStyle name="Millares 10 4" xfId="378" xr:uid="{C19B014F-F779-48B9-8F4D-DD2C86BB4A58}"/>
    <cellStyle name="Millares 11" xfId="119" xr:uid="{00000000-0005-0000-0000-000065000000}"/>
    <cellStyle name="Millares 11 2" xfId="120" xr:uid="{00000000-0005-0000-0000-000066000000}"/>
    <cellStyle name="Millares 11 3" xfId="121" xr:uid="{00000000-0005-0000-0000-000067000000}"/>
    <cellStyle name="Millares 11 3 2" xfId="381" xr:uid="{88B89D6E-8263-41AC-B74A-B0BD0810C05B}"/>
    <cellStyle name="Millares 11 4" xfId="380" xr:uid="{15F052BE-CDF0-4ACD-85ED-9127A44E3484}"/>
    <cellStyle name="Millares 12" xfId="122" xr:uid="{00000000-0005-0000-0000-000068000000}"/>
    <cellStyle name="Millares 12 2" xfId="123" xr:uid="{00000000-0005-0000-0000-000069000000}"/>
    <cellStyle name="Millares 12 2 2" xfId="124" xr:uid="{00000000-0005-0000-0000-00006A000000}"/>
    <cellStyle name="Millares 12 3" xfId="125" xr:uid="{00000000-0005-0000-0000-00006B000000}"/>
    <cellStyle name="Millares 13" xfId="126" xr:uid="{00000000-0005-0000-0000-00006C000000}"/>
    <cellStyle name="Millares 13 2" xfId="127" xr:uid="{00000000-0005-0000-0000-00006D000000}"/>
    <cellStyle name="Millares 13 3" xfId="128" xr:uid="{00000000-0005-0000-0000-00006E000000}"/>
    <cellStyle name="Millares 13 3 2" xfId="383" xr:uid="{0F1B913A-12EF-4E00-91B5-7E92A184C4F3}"/>
    <cellStyle name="Millares 13 4" xfId="382" xr:uid="{D71F3F58-917F-4AFD-9634-63F406C2BF5D}"/>
    <cellStyle name="Millares 14" xfId="129" xr:uid="{00000000-0005-0000-0000-00006F000000}"/>
    <cellStyle name="Millares 14 2" xfId="130" xr:uid="{00000000-0005-0000-0000-000070000000}"/>
    <cellStyle name="Millares 14 3" xfId="131" xr:uid="{00000000-0005-0000-0000-000071000000}"/>
    <cellStyle name="Millares 14 3 2" xfId="385" xr:uid="{6E61372C-D67F-4E03-AFFF-6D3ADEF554A9}"/>
    <cellStyle name="Millares 14 4" xfId="384" xr:uid="{856984C3-53A3-48B8-A404-B5A4F84CDEB0}"/>
    <cellStyle name="Millares 15" xfId="132" xr:uid="{00000000-0005-0000-0000-000072000000}"/>
    <cellStyle name="Millares 15 2" xfId="133" xr:uid="{00000000-0005-0000-0000-000073000000}"/>
    <cellStyle name="Millares 15 3" xfId="134" xr:uid="{00000000-0005-0000-0000-000074000000}"/>
    <cellStyle name="Millares 15 3 2" xfId="387" xr:uid="{A81FE4AB-FFFB-4BE4-ABCF-E883F33795B9}"/>
    <cellStyle name="Millares 15 4" xfId="386" xr:uid="{975A474A-2B9C-41D5-A439-C8FBC741BB48}"/>
    <cellStyle name="Millares 16" xfId="135" xr:uid="{00000000-0005-0000-0000-000075000000}"/>
    <cellStyle name="Millares 16 2" xfId="136" xr:uid="{00000000-0005-0000-0000-000076000000}"/>
    <cellStyle name="Millares 16 3" xfId="137" xr:uid="{00000000-0005-0000-0000-000077000000}"/>
    <cellStyle name="Millares 16 3 2" xfId="389" xr:uid="{9D710906-9EF1-460D-B2FB-9888CB2A718C}"/>
    <cellStyle name="Millares 16 4" xfId="388" xr:uid="{C179BEFD-AC78-457E-A900-ED459E24E047}"/>
    <cellStyle name="Millares 17" xfId="138" xr:uid="{00000000-0005-0000-0000-000078000000}"/>
    <cellStyle name="Millares 17 2" xfId="139" xr:uid="{00000000-0005-0000-0000-000079000000}"/>
    <cellStyle name="Millares 18" xfId="140" xr:uid="{00000000-0005-0000-0000-00007A000000}"/>
    <cellStyle name="Millares 18 2" xfId="141" xr:uid="{00000000-0005-0000-0000-00007B000000}"/>
    <cellStyle name="Millares 19" xfId="142" xr:uid="{00000000-0005-0000-0000-00007C000000}"/>
    <cellStyle name="Millares 19 2" xfId="143" xr:uid="{00000000-0005-0000-0000-00007D000000}"/>
    <cellStyle name="Millares 2" xfId="144" xr:uid="{00000000-0005-0000-0000-00007E000000}"/>
    <cellStyle name="Millares 2 2" xfId="145" xr:uid="{00000000-0005-0000-0000-00007F000000}"/>
    <cellStyle name="Millares 2 2 2" xfId="146" xr:uid="{00000000-0005-0000-0000-000080000000}"/>
    <cellStyle name="Millares 20" xfId="147" xr:uid="{00000000-0005-0000-0000-000081000000}"/>
    <cellStyle name="Millares 20 2" xfId="148" xr:uid="{00000000-0005-0000-0000-000082000000}"/>
    <cellStyle name="Millares 21" xfId="149" xr:uid="{00000000-0005-0000-0000-000083000000}"/>
    <cellStyle name="Millares 21 2" xfId="150" xr:uid="{00000000-0005-0000-0000-000084000000}"/>
    <cellStyle name="Millares 22" xfId="151" xr:uid="{00000000-0005-0000-0000-000085000000}"/>
    <cellStyle name="Millares 22 2" xfId="152" xr:uid="{00000000-0005-0000-0000-000086000000}"/>
    <cellStyle name="Millares 23" xfId="153" xr:uid="{00000000-0005-0000-0000-000087000000}"/>
    <cellStyle name="Millares 23 2" xfId="154" xr:uid="{00000000-0005-0000-0000-000088000000}"/>
    <cellStyle name="Millares 24" xfId="155" xr:uid="{00000000-0005-0000-0000-000089000000}"/>
    <cellStyle name="Millares 24 2" xfId="156" xr:uid="{00000000-0005-0000-0000-00008A000000}"/>
    <cellStyle name="Millares 25" xfId="157" xr:uid="{00000000-0005-0000-0000-00008B000000}"/>
    <cellStyle name="Millares 25 2" xfId="158" xr:uid="{00000000-0005-0000-0000-00008C000000}"/>
    <cellStyle name="Millares 26" xfId="159" xr:uid="{00000000-0005-0000-0000-00008D000000}"/>
    <cellStyle name="Millares 26 2" xfId="160" xr:uid="{00000000-0005-0000-0000-00008E000000}"/>
    <cellStyle name="Millares 27" xfId="161" xr:uid="{00000000-0005-0000-0000-00008F000000}"/>
    <cellStyle name="Millares 27 2" xfId="162" xr:uid="{00000000-0005-0000-0000-000090000000}"/>
    <cellStyle name="Millares 28" xfId="163" xr:uid="{00000000-0005-0000-0000-000091000000}"/>
    <cellStyle name="Millares 28 2" xfId="164" xr:uid="{00000000-0005-0000-0000-000092000000}"/>
    <cellStyle name="Millares 29" xfId="165" xr:uid="{00000000-0005-0000-0000-000093000000}"/>
    <cellStyle name="Millares 29 2" xfId="166" xr:uid="{00000000-0005-0000-0000-000094000000}"/>
    <cellStyle name="Millares 3" xfId="167" xr:uid="{00000000-0005-0000-0000-000095000000}"/>
    <cellStyle name="Millares 3 2" xfId="168" xr:uid="{00000000-0005-0000-0000-000096000000}"/>
    <cellStyle name="Millares 3 3" xfId="169" xr:uid="{00000000-0005-0000-0000-000097000000}"/>
    <cellStyle name="Millares 3 4" xfId="170" xr:uid="{00000000-0005-0000-0000-000098000000}"/>
    <cellStyle name="Millares 3 4 2" xfId="391" xr:uid="{CBE3884B-E3E1-4195-A7EF-F08756B09008}"/>
    <cellStyle name="Millares 3 5" xfId="390" xr:uid="{E97C16DB-64B1-405E-ABDB-AF83EBDE09FB}"/>
    <cellStyle name="Millares 30" xfId="171" xr:uid="{00000000-0005-0000-0000-000099000000}"/>
    <cellStyle name="Millares 30 2" xfId="172" xr:uid="{00000000-0005-0000-0000-00009A000000}"/>
    <cellStyle name="Millares 31" xfId="173" xr:uid="{00000000-0005-0000-0000-00009B000000}"/>
    <cellStyle name="Millares 31 2" xfId="174" xr:uid="{00000000-0005-0000-0000-00009C000000}"/>
    <cellStyle name="Millares 32" xfId="175" xr:uid="{00000000-0005-0000-0000-00009D000000}"/>
    <cellStyle name="Millares 32 2" xfId="176" xr:uid="{00000000-0005-0000-0000-00009E000000}"/>
    <cellStyle name="Millares 33" xfId="177" xr:uid="{00000000-0005-0000-0000-00009F000000}"/>
    <cellStyle name="Millares 33 2" xfId="178" xr:uid="{00000000-0005-0000-0000-0000A0000000}"/>
    <cellStyle name="Millares 34" xfId="179" xr:uid="{00000000-0005-0000-0000-0000A1000000}"/>
    <cellStyle name="Millares 34 2" xfId="180" xr:uid="{00000000-0005-0000-0000-0000A2000000}"/>
    <cellStyle name="Millares 35" xfId="181" xr:uid="{00000000-0005-0000-0000-0000A3000000}"/>
    <cellStyle name="Millares 35 2" xfId="182" xr:uid="{00000000-0005-0000-0000-0000A4000000}"/>
    <cellStyle name="Millares 36" xfId="183" xr:uid="{00000000-0005-0000-0000-0000A5000000}"/>
    <cellStyle name="Millares 36 2" xfId="184" xr:uid="{00000000-0005-0000-0000-0000A6000000}"/>
    <cellStyle name="Millares 37" xfId="185" xr:uid="{00000000-0005-0000-0000-0000A7000000}"/>
    <cellStyle name="Millares 37 2" xfId="186" xr:uid="{00000000-0005-0000-0000-0000A8000000}"/>
    <cellStyle name="Millares 38" xfId="187" xr:uid="{00000000-0005-0000-0000-0000A9000000}"/>
    <cellStyle name="Millares 38 2" xfId="188" xr:uid="{00000000-0005-0000-0000-0000AA000000}"/>
    <cellStyle name="Millares 39" xfId="189" xr:uid="{00000000-0005-0000-0000-0000AB000000}"/>
    <cellStyle name="Millares 39 2" xfId="190" xr:uid="{00000000-0005-0000-0000-0000AC000000}"/>
    <cellStyle name="Millares 4" xfId="191" xr:uid="{00000000-0005-0000-0000-0000AD000000}"/>
    <cellStyle name="Millares 4 2" xfId="192" xr:uid="{00000000-0005-0000-0000-0000AE000000}"/>
    <cellStyle name="Millares 4 3" xfId="193" xr:uid="{00000000-0005-0000-0000-0000AF000000}"/>
    <cellStyle name="Millares 4 3 2" xfId="393" xr:uid="{5F1F8DC6-C4C2-49F8-A3B6-8CE59A181E26}"/>
    <cellStyle name="Millares 4 4" xfId="392" xr:uid="{E3A3F787-FA09-43AD-8865-15BAC4988AF6}"/>
    <cellStyle name="Millares 40" xfId="194" xr:uid="{00000000-0005-0000-0000-0000B0000000}"/>
    <cellStyle name="Millares 40 2" xfId="195" xr:uid="{00000000-0005-0000-0000-0000B1000000}"/>
    <cellStyle name="Millares 41" xfId="196" xr:uid="{00000000-0005-0000-0000-0000B2000000}"/>
    <cellStyle name="Millares 41 2" xfId="197" xr:uid="{00000000-0005-0000-0000-0000B3000000}"/>
    <cellStyle name="Millares 42" xfId="198" xr:uid="{00000000-0005-0000-0000-0000B4000000}"/>
    <cellStyle name="Millares 42 2" xfId="199" xr:uid="{00000000-0005-0000-0000-0000B5000000}"/>
    <cellStyle name="Millares 43" xfId="200" xr:uid="{00000000-0005-0000-0000-0000B6000000}"/>
    <cellStyle name="Millares 43 2" xfId="201" xr:uid="{00000000-0005-0000-0000-0000B7000000}"/>
    <cellStyle name="Millares 44" xfId="202" xr:uid="{00000000-0005-0000-0000-0000B8000000}"/>
    <cellStyle name="Millares 44 2" xfId="203" xr:uid="{00000000-0005-0000-0000-0000B9000000}"/>
    <cellStyle name="Millares 45" xfId="204" xr:uid="{00000000-0005-0000-0000-0000BA000000}"/>
    <cellStyle name="Millares 45 2" xfId="205" xr:uid="{00000000-0005-0000-0000-0000BB000000}"/>
    <cellStyle name="Millares 46" xfId="206" xr:uid="{00000000-0005-0000-0000-0000BC000000}"/>
    <cellStyle name="Millares 47" xfId="207" xr:uid="{00000000-0005-0000-0000-0000BD000000}"/>
    <cellStyle name="Millares 47 2" xfId="208" xr:uid="{00000000-0005-0000-0000-0000BE000000}"/>
    <cellStyle name="Millares 47 2 2" xfId="209" xr:uid="{00000000-0005-0000-0000-0000BF000000}"/>
    <cellStyle name="Millares 47 3" xfId="210" xr:uid="{00000000-0005-0000-0000-0000C0000000}"/>
    <cellStyle name="Millares 48" xfId="211" xr:uid="{00000000-0005-0000-0000-0000C1000000}"/>
    <cellStyle name="Millares 48 2" xfId="212" xr:uid="{00000000-0005-0000-0000-0000C2000000}"/>
    <cellStyle name="Millares 48 2 2" xfId="213" xr:uid="{00000000-0005-0000-0000-0000C3000000}"/>
    <cellStyle name="Millares 48 3" xfId="214" xr:uid="{00000000-0005-0000-0000-0000C4000000}"/>
    <cellStyle name="Millares 49" xfId="215" xr:uid="{00000000-0005-0000-0000-0000C5000000}"/>
    <cellStyle name="Millares 49 2" xfId="216" xr:uid="{00000000-0005-0000-0000-0000C6000000}"/>
    <cellStyle name="Millares 49 2 2" xfId="217" xr:uid="{00000000-0005-0000-0000-0000C7000000}"/>
    <cellStyle name="Millares 49 3" xfId="218" xr:uid="{00000000-0005-0000-0000-0000C8000000}"/>
    <cellStyle name="Millares 5" xfId="219" xr:uid="{00000000-0005-0000-0000-0000C9000000}"/>
    <cellStyle name="Millares 5 2" xfId="220" xr:uid="{00000000-0005-0000-0000-0000CA000000}"/>
    <cellStyle name="Millares 5 3" xfId="221" xr:uid="{00000000-0005-0000-0000-0000CB000000}"/>
    <cellStyle name="Millares 5 3 2" xfId="395" xr:uid="{94278EAA-949C-4C63-9F77-88089104DDCF}"/>
    <cellStyle name="Millares 5 4" xfId="394" xr:uid="{690BA986-FF36-41B1-B322-FADE1F56459B}"/>
    <cellStyle name="Millares 50" xfId="222" xr:uid="{00000000-0005-0000-0000-0000CC000000}"/>
    <cellStyle name="Millares 50 2" xfId="223" xr:uid="{00000000-0005-0000-0000-0000CD000000}"/>
    <cellStyle name="Millares 50 2 2" xfId="224" xr:uid="{00000000-0005-0000-0000-0000CE000000}"/>
    <cellStyle name="Millares 50 3" xfId="225" xr:uid="{00000000-0005-0000-0000-0000CF000000}"/>
    <cellStyle name="Millares 51" xfId="226" xr:uid="{00000000-0005-0000-0000-0000D0000000}"/>
    <cellStyle name="Millares 52" xfId="227" xr:uid="{00000000-0005-0000-0000-0000D1000000}"/>
    <cellStyle name="Millares 53" xfId="228" xr:uid="{00000000-0005-0000-0000-0000D2000000}"/>
    <cellStyle name="Millares 54" xfId="229" xr:uid="{00000000-0005-0000-0000-0000D3000000}"/>
    <cellStyle name="Millares 54 2" xfId="230" xr:uid="{00000000-0005-0000-0000-0000D4000000}"/>
    <cellStyle name="Millares 55" xfId="231" xr:uid="{00000000-0005-0000-0000-0000D5000000}"/>
    <cellStyle name="Millares 55 2" xfId="232" xr:uid="{00000000-0005-0000-0000-0000D6000000}"/>
    <cellStyle name="Millares 56" xfId="233" xr:uid="{00000000-0005-0000-0000-0000D7000000}"/>
    <cellStyle name="Millares 56 2" xfId="234" xr:uid="{00000000-0005-0000-0000-0000D8000000}"/>
    <cellStyle name="Millares 57" xfId="235" xr:uid="{00000000-0005-0000-0000-0000D9000000}"/>
    <cellStyle name="Millares 57 2" xfId="236" xr:uid="{00000000-0005-0000-0000-0000DA000000}"/>
    <cellStyle name="Millares 58" xfId="237" xr:uid="{00000000-0005-0000-0000-0000DB000000}"/>
    <cellStyle name="Millares 58 2" xfId="238" xr:uid="{00000000-0005-0000-0000-0000DC000000}"/>
    <cellStyle name="Millares 59" xfId="239" xr:uid="{00000000-0005-0000-0000-0000DD000000}"/>
    <cellStyle name="Millares 6" xfId="240" xr:uid="{00000000-0005-0000-0000-0000DE000000}"/>
    <cellStyle name="Millares 6 2" xfId="241" xr:uid="{00000000-0005-0000-0000-0000DF000000}"/>
    <cellStyle name="Millares 6 3" xfId="242" xr:uid="{00000000-0005-0000-0000-0000E0000000}"/>
    <cellStyle name="Millares 6 3 2" xfId="397" xr:uid="{85D7D73D-E13F-4E76-B48A-05008B9EFF2C}"/>
    <cellStyle name="Millares 6 4" xfId="396" xr:uid="{73FCEC60-3EE9-4C60-A417-AC6D3CC7460C}"/>
    <cellStyle name="Millares 60" xfId="243" xr:uid="{00000000-0005-0000-0000-0000E1000000}"/>
    <cellStyle name="Millares 61" xfId="244" xr:uid="{00000000-0005-0000-0000-0000E2000000}"/>
    <cellStyle name="Millares 62" xfId="245" xr:uid="{00000000-0005-0000-0000-0000E3000000}"/>
    <cellStyle name="Millares 63" xfId="246" xr:uid="{00000000-0005-0000-0000-0000E4000000}"/>
    <cellStyle name="Millares 64" xfId="247" xr:uid="{00000000-0005-0000-0000-0000E5000000}"/>
    <cellStyle name="Millares 65" xfId="248" xr:uid="{00000000-0005-0000-0000-0000E6000000}"/>
    <cellStyle name="Millares 66" xfId="249" xr:uid="{00000000-0005-0000-0000-0000E7000000}"/>
    <cellStyle name="Millares 67" xfId="250" xr:uid="{00000000-0005-0000-0000-0000E8000000}"/>
    <cellStyle name="Millares 68" xfId="251" xr:uid="{00000000-0005-0000-0000-0000E9000000}"/>
    <cellStyle name="Millares 69" xfId="106" xr:uid="{00000000-0005-0000-0000-0000EA000000}"/>
    <cellStyle name="Millares 7" xfId="252" xr:uid="{00000000-0005-0000-0000-0000EB000000}"/>
    <cellStyle name="Millares 7 2" xfId="253" xr:uid="{00000000-0005-0000-0000-0000EC000000}"/>
    <cellStyle name="Millares 7 3" xfId="254" xr:uid="{00000000-0005-0000-0000-0000ED000000}"/>
    <cellStyle name="Millares 7 3 2" xfId="399" xr:uid="{7F66E4A8-0CE9-4A6F-B279-1BF3E09A7CFC}"/>
    <cellStyle name="Millares 7 4" xfId="398" xr:uid="{16F47124-74C6-46C4-9069-F94CC4CC6628}"/>
    <cellStyle name="Millares 70" xfId="361" xr:uid="{00000000-0005-0000-0000-0000EE000000}"/>
    <cellStyle name="Millares 71" xfId="368" xr:uid="{00000000-0005-0000-0000-0000EF000000}"/>
    <cellStyle name="Millares 72" xfId="360" xr:uid="{00000000-0005-0000-0000-0000F0000000}"/>
    <cellStyle name="Millares 73" xfId="367" xr:uid="{00000000-0005-0000-0000-0000F1000000}"/>
    <cellStyle name="Millares 74" xfId="357" xr:uid="{00000000-0005-0000-0000-0000F2000000}"/>
    <cellStyle name="Millares 75" xfId="355" xr:uid="{00000000-0005-0000-0000-0000F3000000}"/>
    <cellStyle name="Millares 76" xfId="356" xr:uid="{00000000-0005-0000-0000-0000F4000000}"/>
    <cellStyle name="Millares 77" xfId="363" xr:uid="{00000000-0005-0000-0000-0000F5000000}"/>
    <cellStyle name="Millares 78" xfId="359" xr:uid="{00000000-0005-0000-0000-0000F6000000}"/>
    <cellStyle name="Millares 79" xfId="370" xr:uid="{00000000-0005-0000-0000-0000F7000000}"/>
    <cellStyle name="Millares 8" xfId="255" xr:uid="{00000000-0005-0000-0000-0000F8000000}"/>
    <cellStyle name="Millares 8 2" xfId="256" xr:uid="{00000000-0005-0000-0000-0000F9000000}"/>
    <cellStyle name="Millares 8 3" xfId="257" xr:uid="{00000000-0005-0000-0000-0000FA000000}"/>
    <cellStyle name="Millares 8 3 2" xfId="401" xr:uid="{C083892E-B4E9-43E1-9E90-CD7E5AAE62B3}"/>
    <cellStyle name="Millares 8 4" xfId="400" xr:uid="{56B0DD6C-B223-407F-AF25-69D8AB6D4C0A}"/>
    <cellStyle name="Millares 80" xfId="362" xr:uid="{00000000-0005-0000-0000-0000FB000000}"/>
    <cellStyle name="Millares 81" xfId="366" xr:uid="{00000000-0005-0000-0000-0000FC000000}"/>
    <cellStyle name="Millares 82" xfId="371" xr:uid="{00000000-0005-0000-0000-0000FD000000}"/>
    <cellStyle name="Millares 83" xfId="364" xr:uid="{00000000-0005-0000-0000-0000FE000000}"/>
    <cellStyle name="Millares 84" xfId="372" xr:uid="{00000000-0005-0000-0000-0000FF000000}"/>
    <cellStyle name="Millares 85" xfId="365" xr:uid="{00000000-0005-0000-0000-000000010000}"/>
    <cellStyle name="Millares 86" xfId="358" xr:uid="{00000000-0005-0000-0000-000001010000}"/>
    <cellStyle name="Millares 87" xfId="369" xr:uid="{00000000-0005-0000-0000-000002010000}"/>
    <cellStyle name="Millares 88" xfId="373" xr:uid="{CFA5BA45-A266-4F24-ACD7-53A355490D5B}"/>
    <cellStyle name="Millares 89" xfId="375" xr:uid="{D978A259-5C53-4C18-882E-54F0E6F1B87F}"/>
    <cellStyle name="Millares 9" xfId="258" xr:uid="{00000000-0005-0000-0000-000003010000}"/>
    <cellStyle name="Millares 9 2" xfId="259" xr:uid="{00000000-0005-0000-0000-000004010000}"/>
    <cellStyle name="Millares 9 3" xfId="260" xr:uid="{00000000-0005-0000-0000-000005010000}"/>
    <cellStyle name="Millares 9 3 2" xfId="403" xr:uid="{78A06723-271A-456D-A69D-21090856E09C}"/>
    <cellStyle name="Millares 9 4" xfId="402" xr:uid="{5F53B37E-DEA0-4B06-8995-2299BB9C6FF0}"/>
    <cellStyle name="Millares 90" xfId="404" xr:uid="{543CF51B-B352-435C-ABFE-74F51E90D565}"/>
    <cellStyle name="Neutral" xfId="13" builtinId="28" customBuiltin="1"/>
    <cellStyle name="Neutral 2" xfId="262" xr:uid="{00000000-0005-0000-0000-000007010000}"/>
    <cellStyle name="Neutral 3" xfId="263" xr:uid="{00000000-0005-0000-0000-000008010000}"/>
    <cellStyle name="Neutral 4" xfId="261" xr:uid="{00000000-0005-0000-0000-000009010000}"/>
    <cellStyle name="Normal" xfId="0" builtinId="0"/>
    <cellStyle name="Normal 10" xfId="2" xr:uid="{00000000-0005-0000-0000-00000B010000}"/>
    <cellStyle name="Normal 11" xfId="264" xr:uid="{00000000-0005-0000-0000-00000C010000}"/>
    <cellStyle name="Normal 11 2" xfId="265" xr:uid="{00000000-0005-0000-0000-00000D010000}"/>
    <cellStyle name="Normal 12" xfId="48" xr:uid="{00000000-0005-0000-0000-00000E010000}"/>
    <cellStyle name="Normal 12 2" xfId="266" xr:uid="{00000000-0005-0000-0000-00000F010000}"/>
    <cellStyle name="Normal 13" xfId="267" xr:uid="{00000000-0005-0000-0000-000010010000}"/>
    <cellStyle name="Normal 13 2" xfId="268" xr:uid="{00000000-0005-0000-0000-000011010000}"/>
    <cellStyle name="Normal 14" xfId="269" xr:uid="{00000000-0005-0000-0000-000012010000}"/>
    <cellStyle name="Normal 14 2" xfId="270" xr:uid="{00000000-0005-0000-0000-000013010000}"/>
    <cellStyle name="Normal 15" xfId="271" xr:uid="{00000000-0005-0000-0000-000014010000}"/>
    <cellStyle name="Normal 15 2" xfId="272" xr:uid="{00000000-0005-0000-0000-000015010000}"/>
    <cellStyle name="Normal 16" xfId="273" xr:uid="{00000000-0005-0000-0000-000016010000}"/>
    <cellStyle name="Normal 16 2" xfId="274" xr:uid="{00000000-0005-0000-0000-000017010000}"/>
    <cellStyle name="Normal 17" xfId="275" xr:uid="{00000000-0005-0000-0000-000018010000}"/>
    <cellStyle name="Normal 17 2" xfId="276" xr:uid="{00000000-0005-0000-0000-000019010000}"/>
    <cellStyle name="Normal 18" xfId="277" xr:uid="{00000000-0005-0000-0000-00001A010000}"/>
    <cellStyle name="Normal 18 2" xfId="278" xr:uid="{00000000-0005-0000-0000-00001B010000}"/>
    <cellStyle name="Normal 19" xfId="279" xr:uid="{00000000-0005-0000-0000-00001C010000}"/>
    <cellStyle name="Normal 19 2" xfId="280" xr:uid="{00000000-0005-0000-0000-00001D010000}"/>
    <cellStyle name="Normal 2" xfId="281" xr:uid="{00000000-0005-0000-0000-00001E010000}"/>
    <cellStyle name="Normal 2 2" xfId="282" xr:uid="{00000000-0005-0000-0000-00001F010000}"/>
    <cellStyle name="Normal 2 2 2" xfId="283" xr:uid="{00000000-0005-0000-0000-000020010000}"/>
    <cellStyle name="Normal 2 3" xfId="284" xr:uid="{00000000-0005-0000-0000-000021010000}"/>
    <cellStyle name="Normal 2 3 2" xfId="285" xr:uid="{00000000-0005-0000-0000-000022010000}"/>
    <cellStyle name="Normal 20" xfId="286" xr:uid="{00000000-0005-0000-0000-000023010000}"/>
    <cellStyle name="Normal 20 2" xfId="287" xr:uid="{00000000-0005-0000-0000-000024010000}"/>
    <cellStyle name="Normal 21" xfId="47" xr:uid="{00000000-0005-0000-0000-000025010000}"/>
    <cellStyle name="Normal 22" xfId="50" xr:uid="{00000000-0005-0000-0000-000026010000}"/>
    <cellStyle name="Normal 3" xfId="288" xr:uid="{00000000-0005-0000-0000-000027010000}"/>
    <cellStyle name="Normal 3 2" xfId="289" xr:uid="{00000000-0005-0000-0000-000028010000}"/>
    <cellStyle name="Normal 3 2 2" xfId="290" xr:uid="{00000000-0005-0000-0000-000029010000}"/>
    <cellStyle name="Normal 3 3" xfId="291" xr:uid="{00000000-0005-0000-0000-00002A010000}"/>
    <cellStyle name="Normal 4" xfId="292" xr:uid="{00000000-0005-0000-0000-00002B010000}"/>
    <cellStyle name="Normal 4 2" xfId="293" xr:uid="{00000000-0005-0000-0000-00002C010000}"/>
    <cellStyle name="Normal 4 2 2" xfId="294" xr:uid="{00000000-0005-0000-0000-00002D010000}"/>
    <cellStyle name="Normal 4 3" xfId="295" xr:uid="{00000000-0005-0000-0000-00002E010000}"/>
    <cellStyle name="Normal 4 4" xfId="296" xr:uid="{00000000-0005-0000-0000-00002F010000}"/>
    <cellStyle name="Normal 4 5" xfId="297" xr:uid="{00000000-0005-0000-0000-000030010000}"/>
    <cellStyle name="Normal 5" xfId="298" xr:uid="{00000000-0005-0000-0000-000031010000}"/>
    <cellStyle name="Normal 5 2" xfId="299" xr:uid="{00000000-0005-0000-0000-000032010000}"/>
    <cellStyle name="Normal 5 2 2" xfId="300" xr:uid="{00000000-0005-0000-0000-000033010000}"/>
    <cellStyle name="Normal 5 3" xfId="301" xr:uid="{00000000-0005-0000-0000-000034010000}"/>
    <cellStyle name="Normal 6" xfId="302" xr:uid="{00000000-0005-0000-0000-000035010000}"/>
    <cellStyle name="Normal 6 2" xfId="303" xr:uid="{00000000-0005-0000-0000-000036010000}"/>
    <cellStyle name="Normal 7" xfId="304" xr:uid="{00000000-0005-0000-0000-000037010000}"/>
    <cellStyle name="Normal 7 2" xfId="305" xr:uid="{00000000-0005-0000-0000-000038010000}"/>
    <cellStyle name="Normal 8" xfId="306" xr:uid="{00000000-0005-0000-0000-000039010000}"/>
    <cellStyle name="Normal 8 2" xfId="307" xr:uid="{00000000-0005-0000-0000-00003A010000}"/>
    <cellStyle name="Normal 9" xfId="308" xr:uid="{00000000-0005-0000-0000-00003B010000}"/>
    <cellStyle name="Normal 9 2" xfId="309" xr:uid="{00000000-0005-0000-0000-00003C010000}"/>
    <cellStyle name="Notas" xfId="20" builtinId="10" customBuiltin="1"/>
    <cellStyle name="Notas 10" xfId="310" xr:uid="{00000000-0005-0000-0000-00003E010000}"/>
    <cellStyle name="Notas 10 2" xfId="311" xr:uid="{00000000-0005-0000-0000-00003F010000}"/>
    <cellStyle name="Notas 11" xfId="312" xr:uid="{00000000-0005-0000-0000-000040010000}"/>
    <cellStyle name="Notas 11 2" xfId="313" xr:uid="{00000000-0005-0000-0000-000041010000}"/>
    <cellStyle name="Notas 12" xfId="314" xr:uid="{00000000-0005-0000-0000-000042010000}"/>
    <cellStyle name="Notas 12 2" xfId="315" xr:uid="{00000000-0005-0000-0000-000043010000}"/>
    <cellStyle name="Notas 13" xfId="316" xr:uid="{00000000-0005-0000-0000-000044010000}"/>
    <cellStyle name="Notas 13 2" xfId="317" xr:uid="{00000000-0005-0000-0000-000045010000}"/>
    <cellStyle name="Notas 14" xfId="318" xr:uid="{00000000-0005-0000-0000-000046010000}"/>
    <cellStyle name="Notas 14 2" xfId="319" xr:uid="{00000000-0005-0000-0000-000047010000}"/>
    <cellStyle name="Notas 15" xfId="320" xr:uid="{00000000-0005-0000-0000-000048010000}"/>
    <cellStyle name="Notas 15 2" xfId="321" xr:uid="{00000000-0005-0000-0000-000049010000}"/>
    <cellStyle name="Notas 2" xfId="322" xr:uid="{00000000-0005-0000-0000-00004A010000}"/>
    <cellStyle name="Notas 2 2" xfId="323" xr:uid="{00000000-0005-0000-0000-00004B010000}"/>
    <cellStyle name="Notas 3" xfId="324" xr:uid="{00000000-0005-0000-0000-00004C010000}"/>
    <cellStyle name="Notas 3 2" xfId="325" xr:uid="{00000000-0005-0000-0000-00004D010000}"/>
    <cellStyle name="Notas 4" xfId="326" xr:uid="{00000000-0005-0000-0000-00004E010000}"/>
    <cellStyle name="Notas 4 2" xfId="327" xr:uid="{00000000-0005-0000-0000-00004F010000}"/>
    <cellStyle name="Notas 5" xfId="328" xr:uid="{00000000-0005-0000-0000-000050010000}"/>
    <cellStyle name="Notas 5 2" xfId="329" xr:uid="{00000000-0005-0000-0000-000051010000}"/>
    <cellStyle name="Notas 6" xfId="330" xr:uid="{00000000-0005-0000-0000-000052010000}"/>
    <cellStyle name="Notas 6 2" xfId="331" xr:uid="{00000000-0005-0000-0000-000053010000}"/>
    <cellStyle name="Notas 7" xfId="332" xr:uid="{00000000-0005-0000-0000-000054010000}"/>
    <cellStyle name="Notas 7 2" xfId="333" xr:uid="{00000000-0005-0000-0000-000055010000}"/>
    <cellStyle name="Notas 8" xfId="334" xr:uid="{00000000-0005-0000-0000-000056010000}"/>
    <cellStyle name="Notas 8 2" xfId="335" xr:uid="{00000000-0005-0000-0000-000057010000}"/>
    <cellStyle name="Notas 9" xfId="336" xr:uid="{00000000-0005-0000-0000-000058010000}"/>
    <cellStyle name="Notas 9 2" xfId="337" xr:uid="{00000000-0005-0000-0000-000059010000}"/>
    <cellStyle name="Porcentaje" xfId="1" builtinId="5"/>
    <cellStyle name="Porcentaje 2" xfId="3" xr:uid="{00000000-0005-0000-0000-00005B010000}"/>
    <cellStyle name="Porcentaje 2 2" xfId="339" xr:uid="{00000000-0005-0000-0000-00005C010000}"/>
    <cellStyle name="Porcentaje 2 2 2" xfId="340" xr:uid="{00000000-0005-0000-0000-00005D010000}"/>
    <cellStyle name="Porcentaje 3" xfId="341" xr:uid="{00000000-0005-0000-0000-00005E010000}"/>
    <cellStyle name="Porcentaje 3 2" xfId="342" xr:uid="{00000000-0005-0000-0000-00005F010000}"/>
    <cellStyle name="Porcentaje 4" xfId="343" xr:uid="{00000000-0005-0000-0000-000060010000}"/>
    <cellStyle name="Porcentaje 5" xfId="338" xr:uid="{00000000-0005-0000-0000-000061010000}"/>
    <cellStyle name="Porcentual 2" xfId="344" xr:uid="{00000000-0005-0000-0000-000062010000}"/>
    <cellStyle name="Porcentual_Productos Sice" xfId="345" xr:uid="{00000000-0005-0000-0000-000063010000}"/>
    <cellStyle name="Salida" xfId="15" builtinId="21" customBuiltin="1"/>
    <cellStyle name="Salida 2" xfId="346" xr:uid="{00000000-0005-0000-0000-000065010000}"/>
    <cellStyle name="Texto de advertencia" xfId="19" builtinId="11" customBuiltin="1"/>
    <cellStyle name="Texto de advertencia 2" xfId="347" xr:uid="{00000000-0005-0000-0000-000067010000}"/>
    <cellStyle name="Texto explicativo" xfId="21" builtinId="53" customBuiltin="1"/>
    <cellStyle name="Texto explicativo 2" xfId="348" xr:uid="{00000000-0005-0000-0000-000069010000}"/>
    <cellStyle name="Título" xfId="6" builtinId="15" customBuiltin="1"/>
    <cellStyle name="Título 1 2" xfId="349" xr:uid="{00000000-0005-0000-0000-00006C010000}"/>
    <cellStyle name="Título 2" xfId="8" builtinId="17" customBuiltin="1"/>
    <cellStyle name="Título 2 2" xfId="350" xr:uid="{00000000-0005-0000-0000-00006E010000}"/>
    <cellStyle name="Título 3" xfId="9" builtinId="18" customBuiltin="1"/>
    <cellStyle name="Título 3 2" xfId="351" xr:uid="{00000000-0005-0000-0000-000070010000}"/>
    <cellStyle name="Título 4" xfId="352" xr:uid="{00000000-0005-0000-0000-000071010000}"/>
    <cellStyle name="Total" xfId="22" builtinId="25" customBuiltin="1"/>
    <cellStyle name="Total 2" xfId="354" xr:uid="{00000000-0005-0000-0000-000073010000}"/>
    <cellStyle name="Total 3" xfId="353" xr:uid="{00000000-0005-0000-0000-00007401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1. Evolución de las exportaciones de vino (total).</a:t>
            </a:r>
          </a:p>
          <a:p>
            <a:pPr>
              <a:defRPr sz="1100"/>
            </a:pPr>
            <a:r>
              <a:rPr lang="es-CL" sz="1100"/>
              <a:t>Período 2002 a 2021</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export'!$O$5:$P$5</c:f>
              <c:strCache>
                <c:ptCount val="2"/>
                <c:pt idx="0">
                  <c:v>Volumen total</c:v>
                </c:pt>
                <c:pt idx="1">
                  <c:v>Mill. Litros</c:v>
                </c:pt>
              </c:strCache>
            </c:strRef>
          </c:tx>
          <c:spPr>
            <a:solidFill>
              <a:schemeClr val="accent1"/>
            </a:solidFill>
            <a:ln>
              <a:noFill/>
            </a:ln>
            <a:effectLst/>
          </c:spPr>
          <c:invertIfNegative val="0"/>
          <c:cat>
            <c:strRef>
              <c:f>'Evol export'!$S$3:$AL$4</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export'!$S$5:$AL$5</c:f>
              <c:numCache>
                <c:formatCode>#,##0</c:formatCode>
                <c:ptCount val="20"/>
                <c:pt idx="0">
                  <c:v>344.06530935310002</c:v>
                </c:pt>
                <c:pt idx="1">
                  <c:v>390.96013003370001</c:v>
                </c:pt>
                <c:pt idx="2">
                  <c:v>465.3393175571</c:v>
                </c:pt>
                <c:pt idx="3">
                  <c:v>413.65611972459999</c:v>
                </c:pt>
                <c:pt idx="4">
                  <c:v>470.09455889540004</c:v>
                </c:pt>
                <c:pt idx="5">
                  <c:v>599.78646680209988</c:v>
                </c:pt>
                <c:pt idx="6">
                  <c:v>581.72047084199994</c:v>
                </c:pt>
                <c:pt idx="7">
                  <c:v>687.65672542569996</c:v>
                </c:pt>
                <c:pt idx="8">
                  <c:v>725.38451726690005</c:v>
                </c:pt>
                <c:pt idx="9">
                  <c:v>660.04612720440002</c:v>
                </c:pt>
                <c:pt idx="10">
                  <c:v>743.9480811599999</c:v>
                </c:pt>
                <c:pt idx="11">
                  <c:v>873.51530059059996</c:v>
                </c:pt>
                <c:pt idx="12">
                  <c:v>796.43082167889997</c:v>
                </c:pt>
                <c:pt idx="13">
                  <c:v>875.0329999999999</c:v>
                </c:pt>
                <c:pt idx="14">
                  <c:v>906.32799999999997</c:v>
                </c:pt>
                <c:pt idx="15">
                  <c:v>939.54</c:v>
                </c:pt>
                <c:pt idx="16">
                  <c:v>844.7</c:v>
                </c:pt>
                <c:pt idx="17">
                  <c:v>867.75499999999988</c:v>
                </c:pt>
                <c:pt idx="18">
                  <c:v>849.30000000000007</c:v>
                </c:pt>
                <c:pt idx="19">
                  <c:v>865.08589868920001</c:v>
                </c:pt>
              </c:numCache>
            </c:numRef>
          </c:val>
          <c:extLst>
            <c:ext xmlns:c16="http://schemas.microsoft.com/office/drawing/2014/chart" uri="{C3380CC4-5D6E-409C-BE32-E72D297353CC}">
              <c16:uniqueId val="{00000000-CAC6-4E33-B274-AC8D59F8FCD6}"/>
            </c:ext>
          </c:extLst>
        </c:ser>
        <c:ser>
          <c:idx val="1"/>
          <c:order val="1"/>
          <c:tx>
            <c:strRef>
              <c:f>'Evol export'!$O$6:$P$6</c:f>
              <c:strCache>
                <c:ptCount val="2"/>
                <c:pt idx="0">
                  <c:v>Valor total</c:v>
                </c:pt>
                <c:pt idx="1">
                  <c:v>Mill. USD</c:v>
                </c:pt>
              </c:strCache>
            </c:strRef>
          </c:tx>
          <c:spPr>
            <a:solidFill>
              <a:schemeClr val="accent2"/>
            </a:solidFill>
            <a:ln>
              <a:noFill/>
            </a:ln>
            <a:effectLst/>
          </c:spPr>
          <c:invertIfNegative val="0"/>
          <c:cat>
            <c:strRef>
              <c:f>'Evol export'!$S$3:$AL$4</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export'!$S$6:$AL$6</c:f>
              <c:numCache>
                <c:formatCode>#,##0</c:formatCode>
                <c:ptCount val="20"/>
                <c:pt idx="0">
                  <c:v>598.37332026999991</c:v>
                </c:pt>
                <c:pt idx="1">
                  <c:v>666.28691326000001</c:v>
                </c:pt>
                <c:pt idx="2">
                  <c:v>832.55681260000006</c:v>
                </c:pt>
                <c:pt idx="3">
                  <c:v>872.49015702000008</c:v>
                </c:pt>
                <c:pt idx="4">
                  <c:v>958.12004132999994</c:v>
                </c:pt>
                <c:pt idx="5">
                  <c:v>1246.5129926999998</c:v>
                </c:pt>
                <c:pt idx="6">
                  <c:v>1366.7572898600004</c:v>
                </c:pt>
                <c:pt idx="7">
                  <c:v>1372.2251541599999</c:v>
                </c:pt>
                <c:pt idx="8">
                  <c:v>1532.6636520499999</c:v>
                </c:pt>
                <c:pt idx="9">
                  <c:v>1680.1964922900002</c:v>
                </c:pt>
                <c:pt idx="10">
                  <c:v>1777.2309957100001</c:v>
                </c:pt>
                <c:pt idx="11">
                  <c:v>1867.0447450000001</c:v>
                </c:pt>
                <c:pt idx="12">
                  <c:v>1834.2605475400001</c:v>
                </c:pt>
                <c:pt idx="13">
                  <c:v>1843.5249999999999</c:v>
                </c:pt>
                <c:pt idx="14">
                  <c:v>1843.509</c:v>
                </c:pt>
                <c:pt idx="15">
                  <c:v>2006.3540000000003</c:v>
                </c:pt>
                <c:pt idx="16">
                  <c:v>1983.6000000000001</c:v>
                </c:pt>
                <c:pt idx="17">
                  <c:v>1921.1040000000003</c:v>
                </c:pt>
                <c:pt idx="18">
                  <c:v>1823.1999999999998</c:v>
                </c:pt>
                <c:pt idx="19">
                  <c:v>1953.5457807699991</c:v>
                </c:pt>
              </c:numCache>
            </c:numRef>
          </c:val>
          <c:extLst>
            <c:ext xmlns:c16="http://schemas.microsoft.com/office/drawing/2014/chart" uri="{C3380CC4-5D6E-409C-BE32-E72D297353CC}">
              <c16:uniqueId val="{00000001-CAC6-4E33-B274-AC8D59F8FCD6}"/>
            </c:ext>
          </c:extLst>
        </c:ser>
        <c:dLbls>
          <c:showLegendKey val="0"/>
          <c:showVal val="0"/>
          <c:showCatName val="0"/>
          <c:showSerName val="0"/>
          <c:showPercent val="0"/>
          <c:showBubbleSize val="0"/>
        </c:dLbls>
        <c:gapWidth val="219"/>
        <c:overlap val="-27"/>
        <c:axId val="-1546815888"/>
        <c:axId val="-1401610400"/>
      </c:barChart>
      <c:catAx>
        <c:axId val="-1546815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10400"/>
        <c:crosses val="autoZero"/>
        <c:auto val="1"/>
        <c:lblAlgn val="ctr"/>
        <c:lblOffset val="100"/>
        <c:noMultiLvlLbl val="0"/>
      </c:catAx>
      <c:valAx>
        <c:axId val="-1401610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4943310657596401E-2"/>
              <c:y val="0.19842592592592601"/>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681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10. Chile. Volumen de exportaciones de vino con denominación de origen (millones de litros)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582423978371"/>
          <c:y val="0.15046873512645401"/>
          <c:w val="0.87841757602162895"/>
          <c:h val="0.40725598954939701"/>
        </c:manualLayout>
      </c:layout>
      <c:lineChart>
        <c:grouping val="standard"/>
        <c:varyColors val="0"/>
        <c:ser>
          <c:idx val="2"/>
          <c:order val="0"/>
          <c:tx>
            <c:strRef>
              <c:f>'Graficos vinos DO'!$Y$6</c:f>
              <c:strCache>
                <c:ptCount val="1"/>
                <c:pt idx="0">
                  <c:v>2019</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DO'!$Z$6:$AK$6</c:f>
              <c:numCache>
                <c:formatCode>0.0</c:formatCode>
                <c:ptCount val="12"/>
                <c:pt idx="0">
                  <c:v>42.095000903099994</c:v>
                </c:pt>
                <c:pt idx="1">
                  <c:v>25.172279372000009</c:v>
                </c:pt>
                <c:pt idx="2">
                  <c:v>33.305171635999997</c:v>
                </c:pt>
                <c:pt idx="3">
                  <c:v>36.379859439000008</c:v>
                </c:pt>
                <c:pt idx="4">
                  <c:v>43.185207500299995</c:v>
                </c:pt>
                <c:pt idx="5">
                  <c:v>35.531951164600002</c:v>
                </c:pt>
                <c:pt idx="6">
                  <c:v>41.567747095199991</c:v>
                </c:pt>
                <c:pt idx="7">
                  <c:v>40.428672739999968</c:v>
                </c:pt>
                <c:pt idx="8">
                  <c:v>35.232458317999999</c:v>
                </c:pt>
                <c:pt idx="9">
                  <c:v>38.682632199999993</c:v>
                </c:pt>
                <c:pt idx="10">
                  <c:v>35.877963109999996</c:v>
                </c:pt>
                <c:pt idx="11">
                  <c:v>36.541598913000001</c:v>
                </c:pt>
              </c:numCache>
            </c:numRef>
          </c:val>
          <c:smooth val="0"/>
          <c:extLst>
            <c:ext xmlns:c16="http://schemas.microsoft.com/office/drawing/2014/chart" uri="{C3380CC4-5D6E-409C-BE32-E72D297353CC}">
              <c16:uniqueId val="{00000002-D584-4281-AE33-099E96291A2A}"/>
            </c:ext>
          </c:extLst>
        </c:ser>
        <c:ser>
          <c:idx val="3"/>
          <c:order val="1"/>
          <c:tx>
            <c:strRef>
              <c:f>'Graficos vinos DO'!$Y$7</c:f>
              <c:strCache>
                <c:ptCount val="1"/>
                <c:pt idx="0">
                  <c:v>2020</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DO'!$Z$7:$AK$7</c:f>
              <c:numCache>
                <c:formatCode>0.0</c:formatCode>
                <c:ptCount val="12"/>
                <c:pt idx="0">
                  <c:v>46.286531138999983</c:v>
                </c:pt>
                <c:pt idx="1">
                  <c:v>27.059052421999997</c:v>
                </c:pt>
                <c:pt idx="2">
                  <c:v>30.9734761721</c:v>
                </c:pt>
                <c:pt idx="3">
                  <c:v>31.315166036000008</c:v>
                </c:pt>
                <c:pt idx="4">
                  <c:v>35.299459751999997</c:v>
                </c:pt>
                <c:pt idx="5">
                  <c:v>36.857106589000004</c:v>
                </c:pt>
                <c:pt idx="6">
                  <c:v>40.307092363999999</c:v>
                </c:pt>
                <c:pt idx="7">
                  <c:v>45.896043757999983</c:v>
                </c:pt>
                <c:pt idx="8">
                  <c:v>42.198566559999996</c:v>
                </c:pt>
                <c:pt idx="9">
                  <c:v>38.572012273300004</c:v>
                </c:pt>
                <c:pt idx="10">
                  <c:v>40.995729459800003</c:v>
                </c:pt>
                <c:pt idx="11">
                  <c:v>30.132281592100004</c:v>
                </c:pt>
              </c:numCache>
            </c:numRef>
          </c:val>
          <c:smooth val="0"/>
          <c:extLst>
            <c:ext xmlns:c16="http://schemas.microsoft.com/office/drawing/2014/chart" uri="{C3380CC4-5D6E-409C-BE32-E72D297353CC}">
              <c16:uniqueId val="{00000003-D584-4281-AE33-099E96291A2A}"/>
            </c:ext>
          </c:extLst>
        </c:ser>
        <c:ser>
          <c:idx val="4"/>
          <c:order val="2"/>
          <c:tx>
            <c:strRef>
              <c:f>'Graficos vinos DO'!$Y$8</c:f>
              <c:strCache>
                <c:ptCount val="1"/>
                <c:pt idx="0">
                  <c:v>2021</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DO'!$Z$8:$AK$8</c:f>
              <c:numCache>
                <c:formatCode>0.0</c:formatCode>
                <c:ptCount val="12"/>
                <c:pt idx="0">
                  <c:v>36.188217527999988</c:v>
                </c:pt>
                <c:pt idx="1">
                  <c:v>26.500213594000002</c:v>
                </c:pt>
                <c:pt idx="2">
                  <c:v>33.510164059999994</c:v>
                </c:pt>
                <c:pt idx="3">
                  <c:v>40.647690953200005</c:v>
                </c:pt>
                <c:pt idx="4">
                  <c:v>40.901139038300002</c:v>
                </c:pt>
                <c:pt idx="5">
                  <c:v>38.234656273999995</c:v>
                </c:pt>
                <c:pt idx="6">
                  <c:v>36.475415379999987</c:v>
                </c:pt>
                <c:pt idx="7">
                  <c:v>37.119260229999988</c:v>
                </c:pt>
                <c:pt idx="8">
                  <c:v>35.46951836689999</c:v>
                </c:pt>
                <c:pt idx="9">
                  <c:v>38.228549748399992</c:v>
                </c:pt>
                <c:pt idx="10" formatCode="_ * #,##0.0_ ;_ * \-#,##0.0_ ;_ * &quot;-&quot;_ ;_ @_ ">
                  <c:v>42.417588961999989</c:v>
                </c:pt>
                <c:pt idx="11">
                  <c:v>42.492720380199991</c:v>
                </c:pt>
              </c:numCache>
            </c:numRef>
          </c:val>
          <c:smooth val="0"/>
          <c:extLst>
            <c:ext xmlns:c16="http://schemas.microsoft.com/office/drawing/2014/chart" uri="{C3380CC4-5D6E-409C-BE32-E72D297353CC}">
              <c16:uniqueId val="{00000004-D584-4281-AE33-099E96291A2A}"/>
            </c:ext>
          </c:extLst>
        </c:ser>
        <c:ser>
          <c:idx val="5"/>
          <c:order val="3"/>
          <c:tx>
            <c:strRef>
              <c:f>'Graficos vinos DO'!$Y$9</c:f>
              <c:strCache>
                <c:ptCount val="1"/>
                <c:pt idx="0">
                  <c:v>2022</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DO'!$Z$9:$AK$9</c:f>
              <c:numCache>
                <c:formatCode>0.0</c:formatCode>
                <c:ptCount val="12"/>
                <c:pt idx="0">
                  <c:v>34.224779176200002</c:v>
                </c:pt>
                <c:pt idx="1">
                  <c:v>26.722582182199993</c:v>
                </c:pt>
                <c:pt idx="2">
                  <c:v>35.306282281999998</c:v>
                </c:pt>
                <c:pt idx="3">
                  <c:v>33.124814929999999</c:v>
                </c:pt>
                <c:pt idx="4">
                  <c:v>41.7</c:v>
                </c:pt>
                <c:pt idx="5">
                  <c:v>47.4</c:v>
                </c:pt>
                <c:pt idx="6">
                  <c:v>43</c:v>
                </c:pt>
                <c:pt idx="7">
                  <c:v>46.7</c:v>
                </c:pt>
              </c:numCache>
            </c:numRef>
          </c:val>
          <c:smooth val="0"/>
          <c:extLst>
            <c:ext xmlns:c16="http://schemas.microsoft.com/office/drawing/2014/chart" uri="{C3380CC4-5D6E-409C-BE32-E72D297353CC}">
              <c16:uniqueId val="{00000000-BF45-4FC2-9F23-E54FECD38E3B}"/>
            </c:ext>
          </c:extLst>
        </c:ser>
        <c:dLbls>
          <c:showLegendKey val="0"/>
          <c:showVal val="0"/>
          <c:showCatName val="0"/>
          <c:showSerName val="0"/>
          <c:showPercent val="0"/>
          <c:showBubbleSize val="0"/>
        </c:dLbls>
        <c:smooth val="0"/>
        <c:axId val="-1401477152"/>
        <c:axId val="-1401474400"/>
        <c:extLst/>
      </c:lineChart>
      <c:catAx>
        <c:axId val="-1401477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74400"/>
        <c:crosses val="autoZero"/>
        <c:auto val="1"/>
        <c:lblAlgn val="ctr"/>
        <c:lblOffset val="100"/>
        <c:noMultiLvlLbl val="0"/>
      </c:catAx>
      <c:valAx>
        <c:axId val="-1401474400"/>
        <c:scaling>
          <c:orientation val="minMax"/>
          <c:min val="2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7715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11. Chile. Valor de exportaciones de vino con denominación de origen (millones de USD)</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0"/>
          <c:tx>
            <c:strRef>
              <c:f>'Graficos vinos DO'!$Y$15</c:f>
              <c:strCache>
                <c:ptCount val="1"/>
                <c:pt idx="0">
                  <c:v>2019</c:v>
                </c:pt>
              </c:strCache>
            </c:strRef>
          </c:tx>
          <c:spPr>
            <a:ln w="28575" cap="rnd">
              <a:solidFill>
                <a:schemeClr val="accent3"/>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DO'!$Z$15:$AK$15</c:f>
              <c:numCache>
                <c:formatCode>0.0</c:formatCode>
                <c:ptCount val="12"/>
                <c:pt idx="0">
                  <c:v>137.17319391000007</c:v>
                </c:pt>
                <c:pt idx="1">
                  <c:v>80.893906529999995</c:v>
                </c:pt>
                <c:pt idx="2">
                  <c:v>106.44436442</c:v>
                </c:pt>
                <c:pt idx="3">
                  <c:v>118.04222776</c:v>
                </c:pt>
                <c:pt idx="4">
                  <c:v>139.47221017999993</c:v>
                </c:pt>
                <c:pt idx="5">
                  <c:v>120.06454914999992</c:v>
                </c:pt>
                <c:pt idx="6">
                  <c:v>147.54996655000011</c:v>
                </c:pt>
                <c:pt idx="7">
                  <c:v>134.10636505000002</c:v>
                </c:pt>
                <c:pt idx="8">
                  <c:v>106.82647494000004</c:v>
                </c:pt>
                <c:pt idx="9">
                  <c:v>119.44239338999996</c:v>
                </c:pt>
                <c:pt idx="10">
                  <c:v>113.06739105999986</c:v>
                </c:pt>
                <c:pt idx="11">
                  <c:v>121.95716122999993</c:v>
                </c:pt>
              </c:numCache>
            </c:numRef>
          </c:val>
          <c:smooth val="0"/>
          <c:extLst>
            <c:ext xmlns:c16="http://schemas.microsoft.com/office/drawing/2014/chart" uri="{C3380CC4-5D6E-409C-BE32-E72D297353CC}">
              <c16:uniqueId val="{00000002-4FDA-4E80-B026-7127C01F737B}"/>
            </c:ext>
          </c:extLst>
        </c:ser>
        <c:ser>
          <c:idx val="3"/>
          <c:order val="1"/>
          <c:tx>
            <c:strRef>
              <c:f>'Graficos vinos DO'!$Y$16</c:f>
              <c:strCache>
                <c:ptCount val="1"/>
                <c:pt idx="0">
                  <c:v>2020</c:v>
                </c:pt>
              </c:strCache>
            </c:strRef>
          </c:tx>
          <c:spPr>
            <a:ln w="28575" cap="rnd">
              <a:solidFill>
                <a:schemeClr val="accent4"/>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DO'!$Z$16:$AK$16</c:f>
              <c:numCache>
                <c:formatCode>0.0</c:formatCode>
                <c:ptCount val="12"/>
                <c:pt idx="0">
                  <c:v>148.84024203999996</c:v>
                </c:pt>
                <c:pt idx="1">
                  <c:v>86.149106549999928</c:v>
                </c:pt>
                <c:pt idx="2">
                  <c:v>92.933572240000117</c:v>
                </c:pt>
                <c:pt idx="3">
                  <c:v>92.610893879999978</c:v>
                </c:pt>
                <c:pt idx="4">
                  <c:v>109.11765342999988</c:v>
                </c:pt>
                <c:pt idx="5">
                  <c:v>109.38166709000014</c:v>
                </c:pt>
                <c:pt idx="6">
                  <c:v>129.75182523000004</c:v>
                </c:pt>
                <c:pt idx="7">
                  <c:v>151.1459449100002</c:v>
                </c:pt>
                <c:pt idx="8">
                  <c:v>129.85000419000002</c:v>
                </c:pt>
                <c:pt idx="9">
                  <c:v>121.01523300999997</c:v>
                </c:pt>
                <c:pt idx="10">
                  <c:v>130.92315162000003</c:v>
                </c:pt>
                <c:pt idx="11">
                  <c:v>92.176386789999839</c:v>
                </c:pt>
              </c:numCache>
            </c:numRef>
          </c:val>
          <c:smooth val="0"/>
          <c:extLst>
            <c:ext xmlns:c16="http://schemas.microsoft.com/office/drawing/2014/chart" uri="{C3380CC4-5D6E-409C-BE32-E72D297353CC}">
              <c16:uniqueId val="{00000003-4FDA-4E80-B026-7127C01F737B}"/>
            </c:ext>
          </c:extLst>
        </c:ser>
        <c:ser>
          <c:idx val="4"/>
          <c:order val="2"/>
          <c:tx>
            <c:strRef>
              <c:f>'Graficos vinos DO'!$Y$17</c:f>
              <c:strCache>
                <c:ptCount val="1"/>
                <c:pt idx="0">
                  <c:v>2021</c:v>
                </c:pt>
              </c:strCache>
            </c:strRef>
          </c:tx>
          <c:spPr>
            <a:ln w="28575" cap="rnd">
              <a:solidFill>
                <a:schemeClr val="accent5"/>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DO'!$Z$17:$AK$17</c:f>
              <c:numCache>
                <c:formatCode>0.0</c:formatCode>
                <c:ptCount val="12"/>
                <c:pt idx="0">
                  <c:v>123.96358521999989</c:v>
                </c:pt>
                <c:pt idx="1">
                  <c:v>88.567648300000201</c:v>
                </c:pt>
                <c:pt idx="2">
                  <c:v>113.43742796000001</c:v>
                </c:pt>
                <c:pt idx="3">
                  <c:v>131.79903696999986</c:v>
                </c:pt>
                <c:pt idx="4">
                  <c:v>135.01716335999981</c:v>
                </c:pt>
                <c:pt idx="5">
                  <c:v>135.89779417999998</c:v>
                </c:pt>
                <c:pt idx="6">
                  <c:v>128.20914245999992</c:v>
                </c:pt>
                <c:pt idx="7">
                  <c:v>128.69093210999992</c:v>
                </c:pt>
                <c:pt idx="8">
                  <c:v>124.00225447999995</c:v>
                </c:pt>
                <c:pt idx="9">
                  <c:v>122.74885842000009</c:v>
                </c:pt>
                <c:pt idx="10">
                  <c:v>134.15769622999989</c:v>
                </c:pt>
                <c:pt idx="11">
                  <c:v>139.06249076000003</c:v>
                </c:pt>
              </c:numCache>
            </c:numRef>
          </c:val>
          <c:smooth val="0"/>
          <c:extLst>
            <c:ext xmlns:c16="http://schemas.microsoft.com/office/drawing/2014/chart" uri="{C3380CC4-5D6E-409C-BE32-E72D297353CC}">
              <c16:uniqueId val="{00000004-4FDA-4E80-B026-7127C01F737B}"/>
            </c:ext>
          </c:extLst>
        </c:ser>
        <c:ser>
          <c:idx val="5"/>
          <c:order val="3"/>
          <c:tx>
            <c:strRef>
              <c:f>'Graficos vinos DO'!$Y$18</c:f>
              <c:strCache>
                <c:ptCount val="1"/>
                <c:pt idx="0">
                  <c:v>2022</c:v>
                </c:pt>
              </c:strCache>
            </c:strRef>
          </c:tx>
          <c:spPr>
            <a:ln w="28575" cap="rnd">
              <a:solidFill>
                <a:schemeClr val="accent6"/>
              </a:solidFill>
              <a:round/>
            </a:ln>
            <a:effectLst/>
          </c:spPr>
          <c:marker>
            <c:symbol val="none"/>
          </c:marker>
          <c:cat>
            <c:strRef>
              <c:f>'Graficos vinos DO'!$Z$1:$AK$1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DO'!$Z$18:$AK$18</c:f>
              <c:numCache>
                <c:formatCode>_ * #,##0.0_ ;_ * \-#,##0.0_ ;_ * "-"_ ;_ @_ </c:formatCode>
                <c:ptCount val="12"/>
                <c:pt idx="0" formatCode="0.0">
                  <c:v>111.82768072000005</c:v>
                </c:pt>
                <c:pt idx="1">
                  <c:v>90.314870030000179</c:v>
                </c:pt>
                <c:pt idx="2" formatCode="0.0">
                  <c:v>117.75252244999993</c:v>
                </c:pt>
                <c:pt idx="3" formatCode="0.0">
                  <c:v>109.84345035000007</c:v>
                </c:pt>
                <c:pt idx="4" formatCode="0.0">
                  <c:v>136.7422603499997</c:v>
                </c:pt>
                <c:pt idx="5" formatCode="0.0">
                  <c:v>158.75417174</c:v>
                </c:pt>
                <c:pt idx="6" formatCode="0.0">
                  <c:v>137.9</c:v>
                </c:pt>
                <c:pt idx="7" formatCode="0.0">
                  <c:v>152.1</c:v>
                </c:pt>
              </c:numCache>
            </c:numRef>
          </c:val>
          <c:smooth val="0"/>
          <c:extLst>
            <c:ext xmlns:c16="http://schemas.microsoft.com/office/drawing/2014/chart" uri="{C3380CC4-5D6E-409C-BE32-E72D297353CC}">
              <c16:uniqueId val="{00000000-4EA3-4D39-8CAF-AB294B00D826}"/>
            </c:ext>
          </c:extLst>
        </c:ser>
        <c:dLbls>
          <c:showLegendKey val="0"/>
          <c:showVal val="0"/>
          <c:showCatName val="0"/>
          <c:showSerName val="0"/>
          <c:showPercent val="0"/>
          <c:showBubbleSize val="0"/>
        </c:dLbls>
        <c:smooth val="0"/>
        <c:axId val="-1401427664"/>
        <c:axId val="-1401424912"/>
        <c:extLst/>
      </c:lineChart>
      <c:catAx>
        <c:axId val="-1401427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24912"/>
        <c:crosses val="autoZero"/>
        <c:auto val="1"/>
        <c:lblAlgn val="ctr"/>
        <c:lblOffset val="100"/>
        <c:noMultiLvlLbl val="0"/>
      </c:catAx>
      <c:valAx>
        <c:axId val="-1401424912"/>
        <c:scaling>
          <c:orientation val="minMax"/>
          <c:max val="160"/>
          <c:min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427664"/>
        <c:crosses val="autoZero"/>
        <c:crossBetween val="between"/>
        <c:majorUnit val="2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12. Precio medio de exportación de vino con denominación de origen </a:t>
            </a:r>
            <a:endParaRPr lang="es-CL" sz="1100">
              <a:effectLst/>
            </a:endParaRPr>
          </a:p>
          <a:p>
            <a:pPr>
              <a:defRPr sz="1100"/>
            </a:pPr>
            <a:r>
              <a:rPr lang="en-US" sz="1100" b="0" i="0" baseline="0">
                <a:effectLst/>
              </a:rPr>
              <a:t>(dólares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81541500871299"/>
          <c:y val="0.20939126078011999"/>
          <c:w val="0.85655376903983704"/>
          <c:h val="0.36379920433558599"/>
        </c:manualLayout>
      </c:layout>
      <c:lineChart>
        <c:grouping val="standard"/>
        <c:varyColors val="0"/>
        <c:ser>
          <c:idx val="2"/>
          <c:order val="0"/>
          <c:tx>
            <c:strRef>
              <c:f>'Graficos vinos DO'!$Y$26</c:f>
              <c:strCache>
                <c:ptCount val="1"/>
                <c:pt idx="0">
                  <c:v>2019</c:v>
                </c:pt>
              </c:strCache>
            </c:strRef>
          </c:tx>
          <c:spPr>
            <a:ln w="28575" cap="rnd">
              <a:solidFill>
                <a:schemeClr val="accent3"/>
              </a:solidFill>
              <a:round/>
            </a:ln>
            <a:effectLst/>
          </c:spPr>
          <c:marker>
            <c:symbol val="none"/>
          </c:marker>
          <c:cat>
            <c:strRef>
              <c:f>'Graficos vinos DO'!$Z$21:$AK$21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DO'!$Z$26:$AK$26</c:f>
              <c:numCache>
                <c:formatCode>0.00</c:formatCode>
                <c:ptCount val="12"/>
                <c:pt idx="0">
                  <c:v>3.258657583254696</c:v>
                </c:pt>
                <c:pt idx="1">
                  <c:v>3.2136107078161968</c:v>
                </c:pt>
                <c:pt idx="2">
                  <c:v>3.1960311024172259</c:v>
                </c:pt>
                <c:pt idx="3">
                  <c:v>3.2447136844475035</c:v>
                </c:pt>
                <c:pt idx="4">
                  <c:v>3.2296292701391112</c:v>
                </c:pt>
                <c:pt idx="5">
                  <c:v>3.379058712363046</c:v>
                </c:pt>
                <c:pt idx="6">
                  <c:v>3.5496262573979704</c:v>
                </c:pt>
                <c:pt idx="7">
                  <c:v>3.3171102576740226</c:v>
                </c:pt>
                <c:pt idx="8">
                  <c:v>3.0320471531054984</c:v>
                </c:pt>
                <c:pt idx="9">
                  <c:v>3.0877524769371818</c:v>
                </c:pt>
                <c:pt idx="10">
                  <c:v>3.1514439856393475</c:v>
                </c:pt>
                <c:pt idx="11">
                  <c:v>3.337488365529965</c:v>
                </c:pt>
              </c:numCache>
            </c:numRef>
          </c:val>
          <c:smooth val="0"/>
          <c:extLst>
            <c:ext xmlns:c16="http://schemas.microsoft.com/office/drawing/2014/chart" uri="{C3380CC4-5D6E-409C-BE32-E72D297353CC}">
              <c16:uniqueId val="{00000002-BB30-457D-98BD-4A0194DCE943}"/>
            </c:ext>
          </c:extLst>
        </c:ser>
        <c:ser>
          <c:idx val="3"/>
          <c:order val="1"/>
          <c:tx>
            <c:strRef>
              <c:f>'Graficos vinos DO'!$Y$27</c:f>
              <c:strCache>
                <c:ptCount val="1"/>
                <c:pt idx="0">
                  <c:v>2020</c:v>
                </c:pt>
              </c:strCache>
            </c:strRef>
          </c:tx>
          <c:spPr>
            <a:ln w="28575" cap="rnd">
              <a:solidFill>
                <a:schemeClr val="accent4"/>
              </a:solidFill>
              <a:round/>
            </a:ln>
            <a:effectLst/>
          </c:spPr>
          <c:marker>
            <c:symbol val="none"/>
          </c:marker>
          <c:cat>
            <c:strRef>
              <c:f>'Graficos vinos DO'!$Z$21:$AK$21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DO'!$Z$27:$AK$27</c:f>
              <c:numCache>
                <c:formatCode>0.00</c:formatCode>
                <c:ptCount val="12"/>
                <c:pt idx="0">
                  <c:v>3.2156274920025396</c:v>
                </c:pt>
                <c:pt idx="1">
                  <c:v>3.1837443974925583</c:v>
                </c:pt>
                <c:pt idx="2">
                  <c:v>3.0004243541676461</c:v>
                </c:pt>
                <c:pt idx="3">
                  <c:v>2.9573815375442756</c:v>
                </c:pt>
                <c:pt idx="4">
                  <c:v>3.091198964420907</c:v>
                </c:pt>
                <c:pt idx="5">
                  <c:v>2.9677225700252086</c:v>
                </c:pt>
                <c:pt idx="6">
                  <c:v>3.2190817451741318</c:v>
                </c:pt>
                <c:pt idx="7">
                  <c:v>3.2932238278959383</c:v>
                </c:pt>
                <c:pt idx="8">
                  <c:v>3.0771188401713339</c:v>
                </c:pt>
                <c:pt idx="9">
                  <c:v>3.1373844888504334</c:v>
                </c:pt>
                <c:pt idx="10">
                  <c:v>3.193580242263574</c:v>
                </c:pt>
                <c:pt idx="11">
                  <c:v>3.0590576590843486</c:v>
                </c:pt>
              </c:numCache>
            </c:numRef>
          </c:val>
          <c:smooth val="0"/>
          <c:extLst>
            <c:ext xmlns:c16="http://schemas.microsoft.com/office/drawing/2014/chart" uri="{C3380CC4-5D6E-409C-BE32-E72D297353CC}">
              <c16:uniqueId val="{00000003-BB30-457D-98BD-4A0194DCE943}"/>
            </c:ext>
          </c:extLst>
        </c:ser>
        <c:ser>
          <c:idx val="4"/>
          <c:order val="2"/>
          <c:tx>
            <c:strRef>
              <c:f>'Graficos vinos DO'!$Y$28</c:f>
              <c:strCache>
                <c:ptCount val="1"/>
                <c:pt idx="0">
                  <c:v>2021</c:v>
                </c:pt>
              </c:strCache>
            </c:strRef>
          </c:tx>
          <c:spPr>
            <a:ln w="28575" cap="rnd">
              <a:solidFill>
                <a:schemeClr val="accent5"/>
              </a:solidFill>
              <a:round/>
            </a:ln>
            <a:effectLst/>
          </c:spPr>
          <c:marker>
            <c:symbol val="none"/>
          </c:marker>
          <c:cat>
            <c:strRef>
              <c:f>'Graficos vinos DO'!$Z$21:$AK$21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DO'!$Z$28:$AK$28</c:f>
              <c:numCache>
                <c:formatCode>0.00</c:formatCode>
                <c:ptCount val="12"/>
                <c:pt idx="0">
                  <c:v>3.4255233799256697</c:v>
                </c:pt>
                <c:pt idx="1">
                  <c:v>3.3421484693260393</c:v>
                </c:pt>
                <c:pt idx="2">
                  <c:v>3.3851648042334301</c:v>
                </c:pt>
                <c:pt idx="3">
                  <c:v>3.2424729149251696</c:v>
                </c:pt>
                <c:pt idx="4">
                  <c:v>3.301061205986688</c:v>
                </c:pt>
                <c:pt idx="5">
                  <c:v>3.554309294848089</c:v>
                </c:pt>
                <c:pt idx="6">
                  <c:v>3.51494674219115</c:v>
                </c:pt>
                <c:pt idx="7">
                  <c:v>3.4669584283899928</c:v>
                </c:pt>
                <c:pt idx="8">
                  <c:v>3.4960230696483983</c:v>
                </c:pt>
                <c:pt idx="9">
                  <c:v>3.210921136895537</c:v>
                </c:pt>
                <c:pt idx="10">
                  <c:v>3.162784578590399</c:v>
                </c:pt>
                <c:pt idx="11">
                  <c:v>3.272619157252119</c:v>
                </c:pt>
              </c:numCache>
            </c:numRef>
          </c:val>
          <c:smooth val="0"/>
          <c:extLst>
            <c:ext xmlns:c16="http://schemas.microsoft.com/office/drawing/2014/chart" uri="{C3380CC4-5D6E-409C-BE32-E72D297353CC}">
              <c16:uniqueId val="{00000004-BB30-457D-98BD-4A0194DCE943}"/>
            </c:ext>
          </c:extLst>
        </c:ser>
        <c:ser>
          <c:idx val="5"/>
          <c:order val="3"/>
          <c:tx>
            <c:strRef>
              <c:f>'Graficos vinos DO'!$Y$29</c:f>
              <c:strCache>
                <c:ptCount val="1"/>
                <c:pt idx="0">
                  <c:v>2022</c:v>
                </c:pt>
              </c:strCache>
            </c:strRef>
          </c:tx>
          <c:spPr>
            <a:ln w="28575" cap="rnd">
              <a:solidFill>
                <a:schemeClr val="accent6"/>
              </a:solidFill>
              <a:round/>
            </a:ln>
            <a:effectLst/>
          </c:spPr>
          <c:marker>
            <c:symbol val="none"/>
          </c:marker>
          <c:cat>
            <c:strRef>
              <c:f>'Graficos vinos DO'!$Z$21:$AK$21</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'Graficos vinos DO'!$Z$29:$AK$29</c:f>
              <c:numCache>
                <c:formatCode>0.00</c:formatCode>
                <c:ptCount val="12"/>
                <c:pt idx="0">
                  <c:v>3.2674478378450811</c:v>
                </c:pt>
                <c:pt idx="1">
                  <c:v>3.3797209197155818</c:v>
                </c:pt>
                <c:pt idx="2">
                  <c:v>3.3351719535203803</c:v>
                </c:pt>
                <c:pt idx="3">
                  <c:v>3.316047216629689</c:v>
                </c:pt>
                <c:pt idx="4">
                  <c:v>3.2791908956834459</c:v>
                </c:pt>
                <c:pt idx="5">
                  <c:v>3.3492441295358653</c:v>
                </c:pt>
                <c:pt idx="6">
                  <c:v>3.2069767441860466</c:v>
                </c:pt>
                <c:pt idx="7">
                  <c:v>3.2569593147751603</c:v>
                </c:pt>
              </c:numCache>
            </c:numRef>
          </c:val>
          <c:smooth val="0"/>
          <c:extLst>
            <c:ext xmlns:c16="http://schemas.microsoft.com/office/drawing/2014/chart" uri="{C3380CC4-5D6E-409C-BE32-E72D297353CC}">
              <c16:uniqueId val="{00000000-C413-4FD2-B7CF-A0845CAE36F4}"/>
            </c:ext>
          </c:extLst>
        </c:ser>
        <c:dLbls>
          <c:showLegendKey val="0"/>
          <c:showVal val="0"/>
          <c:showCatName val="0"/>
          <c:showSerName val="0"/>
          <c:showPercent val="0"/>
          <c:showBubbleSize val="0"/>
        </c:dLbls>
        <c:smooth val="0"/>
        <c:axId val="-1401378736"/>
        <c:axId val="-1401375984"/>
        <c:extLst/>
      </c:lineChart>
      <c:catAx>
        <c:axId val="-1401378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75984"/>
        <c:crosses val="autoZero"/>
        <c:auto val="1"/>
        <c:lblAlgn val="ctr"/>
        <c:lblOffset val="100"/>
        <c:noMultiLvlLbl val="0"/>
      </c:catAx>
      <c:valAx>
        <c:axId val="-1401375984"/>
        <c:scaling>
          <c:orientation val="minMax"/>
          <c:min val="2.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78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13. Volumen de exportación de vino a granel (millones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20000000000001"/>
          <c:y val="0.14907474576664001"/>
          <c:w val="0.84835555555555597"/>
          <c:h val="0.37712633612525998"/>
        </c:manualLayout>
      </c:layout>
      <c:lineChart>
        <c:grouping val="standard"/>
        <c:varyColors val="0"/>
        <c:ser>
          <c:idx val="2"/>
          <c:order val="0"/>
          <c:tx>
            <c:strRef>
              <c:f>'Gráficos vino granel'!$Q$8</c:f>
              <c:strCache>
                <c:ptCount val="1"/>
                <c:pt idx="0">
                  <c:v>2019</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granel'!$R$8:$AC$8</c:f>
              <c:numCache>
                <c:formatCode>0.0</c:formatCode>
                <c:ptCount val="12"/>
                <c:pt idx="0">
                  <c:v>36.647542000000001</c:v>
                </c:pt>
                <c:pt idx="1">
                  <c:v>28.267375999999999</c:v>
                </c:pt>
                <c:pt idx="2">
                  <c:v>30.316281199999999</c:v>
                </c:pt>
                <c:pt idx="3">
                  <c:v>34.967151000000001</c:v>
                </c:pt>
                <c:pt idx="4">
                  <c:v>35.485151000000002</c:v>
                </c:pt>
                <c:pt idx="5">
                  <c:v>22.843698</c:v>
                </c:pt>
                <c:pt idx="6">
                  <c:v>25.213455</c:v>
                </c:pt>
                <c:pt idx="7">
                  <c:v>31.659251999999999</c:v>
                </c:pt>
                <c:pt idx="8">
                  <c:v>21.26023</c:v>
                </c:pt>
                <c:pt idx="9">
                  <c:v>22.857903</c:v>
                </c:pt>
                <c:pt idx="10">
                  <c:v>41.516021000000002</c:v>
                </c:pt>
                <c:pt idx="11">
                  <c:v>29.012821750000001</c:v>
                </c:pt>
              </c:numCache>
            </c:numRef>
          </c:val>
          <c:smooth val="0"/>
          <c:extLst>
            <c:ext xmlns:c16="http://schemas.microsoft.com/office/drawing/2014/chart" uri="{C3380CC4-5D6E-409C-BE32-E72D297353CC}">
              <c16:uniqueId val="{00000002-3600-488E-BF2D-5856CF8EC9D5}"/>
            </c:ext>
          </c:extLst>
        </c:ser>
        <c:ser>
          <c:idx val="3"/>
          <c:order val="1"/>
          <c:tx>
            <c:strRef>
              <c:f>'Gráficos vino granel'!$Q$9</c:f>
              <c:strCache>
                <c:ptCount val="1"/>
                <c:pt idx="0">
                  <c:v>2020</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granel'!$R$9:$AC$9</c:f>
              <c:numCache>
                <c:formatCode>0.0</c:formatCode>
                <c:ptCount val="12"/>
                <c:pt idx="0">
                  <c:v>32.460836</c:v>
                </c:pt>
                <c:pt idx="1">
                  <c:v>29.799596999999999</c:v>
                </c:pt>
                <c:pt idx="2">
                  <c:v>21.215472999999999</c:v>
                </c:pt>
                <c:pt idx="3">
                  <c:v>24.236211999999998</c:v>
                </c:pt>
                <c:pt idx="4">
                  <c:v>32.192160999999999</c:v>
                </c:pt>
                <c:pt idx="5">
                  <c:v>34.304174000000003</c:v>
                </c:pt>
                <c:pt idx="6">
                  <c:v>29.601849999999999</c:v>
                </c:pt>
                <c:pt idx="7">
                  <c:v>30.016207000000001</c:v>
                </c:pt>
                <c:pt idx="8">
                  <c:v>27.756694</c:v>
                </c:pt>
                <c:pt idx="9">
                  <c:v>29.623989999999999</c:v>
                </c:pt>
                <c:pt idx="10">
                  <c:v>29.477219000000002</c:v>
                </c:pt>
                <c:pt idx="11">
                  <c:v>18.951732</c:v>
                </c:pt>
              </c:numCache>
            </c:numRef>
          </c:val>
          <c:smooth val="0"/>
          <c:extLst>
            <c:ext xmlns:c16="http://schemas.microsoft.com/office/drawing/2014/chart" uri="{C3380CC4-5D6E-409C-BE32-E72D297353CC}">
              <c16:uniqueId val="{00000003-3600-488E-BF2D-5856CF8EC9D5}"/>
            </c:ext>
          </c:extLst>
        </c:ser>
        <c:ser>
          <c:idx val="4"/>
          <c:order val="2"/>
          <c:tx>
            <c:strRef>
              <c:f>'Gráficos vino granel'!$Q$10</c:f>
              <c:strCache>
                <c:ptCount val="1"/>
                <c:pt idx="0">
                  <c:v>2021</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granel'!$R$10:$AC$10</c:f>
              <c:numCache>
                <c:formatCode>0.0</c:formatCode>
                <c:ptCount val="12"/>
                <c:pt idx="0">
                  <c:v>29.491007</c:v>
                </c:pt>
                <c:pt idx="1">
                  <c:v>28.33947349</c:v>
                </c:pt>
                <c:pt idx="2">
                  <c:v>29.439339</c:v>
                </c:pt>
                <c:pt idx="3">
                  <c:v>26.130634000000001</c:v>
                </c:pt>
                <c:pt idx="4">
                  <c:v>26.116364000000001</c:v>
                </c:pt>
                <c:pt idx="5">
                  <c:v>29.719650999999999</c:v>
                </c:pt>
                <c:pt idx="6">
                  <c:v>25.8474983077</c:v>
                </c:pt>
                <c:pt idx="7">
                  <c:v>30.644948420000002</c:v>
                </c:pt>
                <c:pt idx="8">
                  <c:v>30.785739</c:v>
                </c:pt>
                <c:pt idx="9">
                  <c:v>33.801979000000003</c:v>
                </c:pt>
                <c:pt idx="10">
                  <c:v>26.826113500000002</c:v>
                </c:pt>
                <c:pt idx="11">
                  <c:v>35.943184500000001</c:v>
                </c:pt>
              </c:numCache>
            </c:numRef>
          </c:val>
          <c:smooth val="0"/>
          <c:extLst>
            <c:ext xmlns:c16="http://schemas.microsoft.com/office/drawing/2014/chart" uri="{C3380CC4-5D6E-409C-BE32-E72D297353CC}">
              <c16:uniqueId val="{00000004-3600-488E-BF2D-5856CF8EC9D5}"/>
            </c:ext>
          </c:extLst>
        </c:ser>
        <c:ser>
          <c:idx val="5"/>
          <c:order val="3"/>
          <c:tx>
            <c:strRef>
              <c:f>'Gráficos vino granel'!$Q$11</c:f>
              <c:strCache>
                <c:ptCount val="1"/>
                <c:pt idx="0">
                  <c:v>2022</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granel'!$R$11:$AC$11</c:f>
              <c:numCache>
                <c:formatCode>0.0</c:formatCode>
                <c:ptCount val="12"/>
                <c:pt idx="0">
                  <c:v>32.011490999999999</c:v>
                </c:pt>
                <c:pt idx="1">
                  <c:v>27.487210000000001</c:v>
                </c:pt>
                <c:pt idx="2">
                  <c:v>31.268823000000001</c:v>
                </c:pt>
                <c:pt idx="3">
                  <c:v>26.601939000000002</c:v>
                </c:pt>
                <c:pt idx="4">
                  <c:v>32</c:v>
                </c:pt>
                <c:pt idx="5">
                  <c:v>31.1</c:v>
                </c:pt>
                <c:pt idx="6">
                  <c:v>23.4</c:v>
                </c:pt>
                <c:pt idx="7">
                  <c:v>28.4</c:v>
                </c:pt>
              </c:numCache>
            </c:numRef>
          </c:val>
          <c:smooth val="0"/>
          <c:extLst>
            <c:ext xmlns:c16="http://schemas.microsoft.com/office/drawing/2014/chart" uri="{C3380CC4-5D6E-409C-BE32-E72D297353CC}">
              <c16:uniqueId val="{00000000-46A6-4A5B-A76D-FA49B523CECA}"/>
            </c:ext>
          </c:extLst>
        </c:ser>
        <c:dLbls>
          <c:showLegendKey val="0"/>
          <c:showVal val="0"/>
          <c:showCatName val="0"/>
          <c:showSerName val="0"/>
          <c:showPercent val="0"/>
          <c:showBubbleSize val="0"/>
        </c:dLbls>
        <c:smooth val="0"/>
        <c:axId val="-1401324544"/>
        <c:axId val="-1401321792"/>
        <c:extLst/>
      </c:lineChart>
      <c:catAx>
        <c:axId val="-140132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21792"/>
        <c:crosses val="autoZero"/>
        <c:auto val="1"/>
        <c:lblAlgn val="ctr"/>
        <c:lblOffset val="100"/>
        <c:noMultiLvlLbl val="0"/>
      </c:catAx>
      <c:valAx>
        <c:axId val="-1401321792"/>
        <c:scaling>
          <c:orientation val="minMax"/>
          <c:min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litros</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324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14. Valor de exportaciones de vino a granel (millones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741237625480401"/>
          <c:y val="0.154768518518519"/>
          <c:w val="0.86590982624756496"/>
          <c:h val="0.39084795968504699"/>
        </c:manualLayout>
      </c:layout>
      <c:lineChart>
        <c:grouping val="standard"/>
        <c:varyColors val="0"/>
        <c:ser>
          <c:idx val="2"/>
          <c:order val="0"/>
          <c:tx>
            <c:strRef>
              <c:f>'Gráficos vino granel'!$Q$17</c:f>
              <c:strCache>
                <c:ptCount val="1"/>
                <c:pt idx="0">
                  <c:v>2019</c:v>
                </c:pt>
              </c:strCache>
            </c:strRef>
          </c:tx>
          <c:spPr>
            <a:ln w="28575" cap="rnd">
              <a:solidFill>
                <a:schemeClr val="accent3"/>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granel'!$R$17:$AC$17</c:f>
              <c:numCache>
                <c:formatCode>0.0</c:formatCode>
                <c:ptCount val="12"/>
                <c:pt idx="0">
                  <c:v>38.327187719999991</c:v>
                </c:pt>
                <c:pt idx="1">
                  <c:v>26.6031355</c:v>
                </c:pt>
                <c:pt idx="2">
                  <c:v>31.976685090000004</c:v>
                </c:pt>
                <c:pt idx="3">
                  <c:v>29.749902319999997</c:v>
                </c:pt>
                <c:pt idx="4">
                  <c:v>39.303867290000007</c:v>
                </c:pt>
                <c:pt idx="5" formatCode="0.00">
                  <c:v>19.988906280000005</c:v>
                </c:pt>
                <c:pt idx="6">
                  <c:v>22.277958459999994</c:v>
                </c:pt>
                <c:pt idx="7">
                  <c:v>27.316494359999993</c:v>
                </c:pt>
                <c:pt idx="8">
                  <c:v>19.081644840000003</c:v>
                </c:pt>
                <c:pt idx="9">
                  <c:v>20.346365410000008</c:v>
                </c:pt>
                <c:pt idx="10">
                  <c:v>36.333882450000004</c:v>
                </c:pt>
                <c:pt idx="11">
                  <c:v>24.749237379999993</c:v>
                </c:pt>
              </c:numCache>
            </c:numRef>
          </c:val>
          <c:smooth val="0"/>
          <c:extLst>
            <c:ext xmlns:c16="http://schemas.microsoft.com/office/drawing/2014/chart" uri="{C3380CC4-5D6E-409C-BE32-E72D297353CC}">
              <c16:uniqueId val="{00000002-220A-4AB3-ABB1-20F737271900}"/>
            </c:ext>
          </c:extLst>
        </c:ser>
        <c:ser>
          <c:idx val="3"/>
          <c:order val="1"/>
          <c:tx>
            <c:strRef>
              <c:f>'Gráficos vino granel'!$Q$18</c:f>
              <c:strCache>
                <c:ptCount val="1"/>
                <c:pt idx="0">
                  <c:v>2020</c:v>
                </c:pt>
              </c:strCache>
            </c:strRef>
          </c:tx>
          <c:spPr>
            <a:ln w="28575" cap="rnd">
              <a:solidFill>
                <a:schemeClr val="accent4"/>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granel'!$R$18:$AC$18</c:f>
              <c:numCache>
                <c:formatCode>0.0</c:formatCode>
                <c:ptCount val="12"/>
                <c:pt idx="0">
                  <c:v>28.110058459999998</c:v>
                </c:pt>
                <c:pt idx="1">
                  <c:v>25.447776709999999</c:v>
                </c:pt>
                <c:pt idx="2">
                  <c:v>18.193960500000003</c:v>
                </c:pt>
                <c:pt idx="3">
                  <c:v>19.418683090000002</c:v>
                </c:pt>
                <c:pt idx="4">
                  <c:v>26.132039529999997</c:v>
                </c:pt>
                <c:pt idx="5" formatCode="0.00">
                  <c:v>28.73873690000001</c:v>
                </c:pt>
                <c:pt idx="6">
                  <c:v>25.325534799999996</c:v>
                </c:pt>
                <c:pt idx="7">
                  <c:v>24.323994080000002</c:v>
                </c:pt>
                <c:pt idx="8">
                  <c:v>21.711987110000003</c:v>
                </c:pt>
                <c:pt idx="9">
                  <c:v>23.921117810000002</c:v>
                </c:pt>
                <c:pt idx="10">
                  <c:v>22.806605150000003</c:v>
                </c:pt>
                <c:pt idx="11">
                  <c:v>27.969808269999998</c:v>
                </c:pt>
              </c:numCache>
            </c:numRef>
          </c:val>
          <c:smooth val="0"/>
          <c:extLst>
            <c:ext xmlns:c16="http://schemas.microsoft.com/office/drawing/2014/chart" uri="{C3380CC4-5D6E-409C-BE32-E72D297353CC}">
              <c16:uniqueId val="{00000003-220A-4AB3-ABB1-20F737271900}"/>
            </c:ext>
          </c:extLst>
        </c:ser>
        <c:ser>
          <c:idx val="4"/>
          <c:order val="2"/>
          <c:tx>
            <c:strRef>
              <c:f>'Gráficos vino granel'!$Q$19</c:f>
              <c:strCache>
                <c:ptCount val="1"/>
                <c:pt idx="0">
                  <c:v>2021</c:v>
                </c:pt>
              </c:strCache>
            </c:strRef>
          </c:tx>
          <c:spPr>
            <a:ln w="28575" cap="rnd">
              <a:solidFill>
                <a:schemeClr val="accent5"/>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granel'!$R$19:$AC$19</c:f>
              <c:numCache>
                <c:formatCode>0.0</c:formatCode>
                <c:ptCount val="12"/>
                <c:pt idx="0">
                  <c:v>24.06928783</c:v>
                </c:pt>
                <c:pt idx="1">
                  <c:v>24.209827790000002</c:v>
                </c:pt>
                <c:pt idx="2">
                  <c:v>26.39333293000001</c:v>
                </c:pt>
                <c:pt idx="3">
                  <c:v>22.451203769999992</c:v>
                </c:pt>
                <c:pt idx="4">
                  <c:v>24.298061509999986</c:v>
                </c:pt>
                <c:pt idx="5">
                  <c:v>29.496481510000006</c:v>
                </c:pt>
                <c:pt idx="6">
                  <c:v>21.608525190000005</c:v>
                </c:pt>
                <c:pt idx="7">
                  <c:v>25.697983490000002</c:v>
                </c:pt>
                <c:pt idx="8">
                  <c:v>27.428050939999988</c:v>
                </c:pt>
                <c:pt idx="9">
                  <c:v>28.973097999999997</c:v>
                </c:pt>
                <c:pt idx="10">
                  <c:v>23.483420579999997</c:v>
                </c:pt>
                <c:pt idx="11">
                  <c:v>30.651122740000005</c:v>
                </c:pt>
              </c:numCache>
            </c:numRef>
          </c:val>
          <c:smooth val="0"/>
          <c:extLst>
            <c:ext xmlns:c16="http://schemas.microsoft.com/office/drawing/2014/chart" uri="{C3380CC4-5D6E-409C-BE32-E72D297353CC}">
              <c16:uniqueId val="{00000004-220A-4AB3-ABB1-20F737271900}"/>
            </c:ext>
          </c:extLst>
        </c:ser>
        <c:ser>
          <c:idx val="5"/>
          <c:order val="3"/>
          <c:tx>
            <c:strRef>
              <c:f>'Gráficos vino granel'!$Q$20</c:f>
              <c:strCache>
                <c:ptCount val="1"/>
                <c:pt idx="0">
                  <c:v>2022</c:v>
                </c:pt>
              </c:strCache>
            </c:strRef>
          </c:tx>
          <c:spPr>
            <a:ln w="28575" cap="rnd">
              <a:solidFill>
                <a:schemeClr val="accent6"/>
              </a:solidFill>
              <a:round/>
            </a:ln>
            <a:effectLst/>
          </c:spPr>
          <c:marker>
            <c:symbol val="none"/>
          </c:marker>
          <c:cat>
            <c:strRef>
              <c:f>'Gráficos vino granel'!$R$3:$AC$3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granel'!$R$20:$AC$20</c:f>
              <c:numCache>
                <c:formatCode>0.0</c:formatCode>
                <c:ptCount val="12"/>
                <c:pt idx="0">
                  <c:v>29.742868880000007</c:v>
                </c:pt>
                <c:pt idx="1">
                  <c:v>25.014467299999996</c:v>
                </c:pt>
                <c:pt idx="2">
                  <c:v>30.787881570000003</c:v>
                </c:pt>
                <c:pt idx="3">
                  <c:v>24.57001206</c:v>
                </c:pt>
                <c:pt idx="4">
                  <c:v>27.2</c:v>
                </c:pt>
                <c:pt idx="5">
                  <c:v>29.8</c:v>
                </c:pt>
                <c:pt idx="6">
                  <c:v>22.9</c:v>
                </c:pt>
                <c:pt idx="7">
                  <c:v>27.6</c:v>
                </c:pt>
              </c:numCache>
            </c:numRef>
          </c:val>
          <c:smooth val="0"/>
          <c:extLst>
            <c:ext xmlns:c16="http://schemas.microsoft.com/office/drawing/2014/chart" uri="{C3380CC4-5D6E-409C-BE32-E72D297353CC}">
              <c16:uniqueId val="{00000000-0282-43D6-BBB6-95D2C0CEF91D}"/>
            </c:ext>
          </c:extLst>
        </c:ser>
        <c:dLbls>
          <c:showLegendKey val="0"/>
          <c:showVal val="0"/>
          <c:showCatName val="0"/>
          <c:showSerName val="0"/>
          <c:showPercent val="0"/>
          <c:showBubbleSize val="0"/>
        </c:dLbls>
        <c:smooth val="0"/>
        <c:axId val="-1401275056"/>
        <c:axId val="-1401272304"/>
        <c:extLst/>
      </c:lineChart>
      <c:catAx>
        <c:axId val="-140127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72304"/>
        <c:crosses val="autoZero"/>
        <c:auto val="1"/>
        <c:lblAlgn val="ctr"/>
        <c:lblOffset val="100"/>
        <c:noMultiLvlLbl val="0"/>
      </c:catAx>
      <c:valAx>
        <c:axId val="-1401272304"/>
        <c:scaling>
          <c:orientation val="minMax"/>
          <c:max val="40"/>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layout>
            <c:manualLayout>
              <c:xMode val="edge"/>
              <c:yMode val="edge"/>
              <c:x val="4.4518649984208201E-2"/>
              <c:y val="0.16121208807232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750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15. Precio medio de exportación de vino a granel (USD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8376775880676"/>
          <c:y val="0.154768518518519"/>
          <c:w val="0.86265210071746001"/>
          <c:h val="0.42555052833993301"/>
        </c:manualLayout>
      </c:layout>
      <c:lineChart>
        <c:grouping val="standard"/>
        <c:varyColors val="0"/>
        <c:ser>
          <c:idx val="2"/>
          <c:order val="0"/>
          <c:tx>
            <c:strRef>
              <c:f>'Gráficos vino granel'!$Q$28</c:f>
              <c:strCache>
                <c:ptCount val="1"/>
                <c:pt idx="0">
                  <c:v>2019</c:v>
                </c:pt>
              </c:strCache>
            </c:strRef>
          </c:tx>
          <c:spPr>
            <a:ln w="28575" cap="rnd">
              <a:solidFill>
                <a:schemeClr val="accent3"/>
              </a:solidFill>
              <a:round/>
            </a:ln>
            <a:effectLst/>
          </c:spPr>
          <c:marker>
            <c:symbol val="none"/>
          </c:marker>
          <c:cat>
            <c:strRef>
              <c:f>'Gráficos vino granel'!$R$23:$AC$23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granel'!$R$28:$AC$28</c:f>
              <c:numCache>
                <c:formatCode>0.00</c:formatCode>
                <c:ptCount val="12"/>
                <c:pt idx="0">
                  <c:v>1.0458324249959243</c:v>
                </c:pt>
                <c:pt idx="1">
                  <c:v>0.94112504464510616</c:v>
                </c:pt>
                <c:pt idx="2">
                  <c:v>1.0547693788379298</c:v>
                </c:pt>
                <c:pt idx="3">
                  <c:v>0.85079571738629767</c:v>
                </c:pt>
                <c:pt idx="4">
                  <c:v>1.1076144861268873</c:v>
                </c:pt>
                <c:pt idx="5">
                  <c:v>0.87502935295327422</c:v>
                </c:pt>
                <c:pt idx="6">
                  <c:v>0.8835742051218286</c:v>
                </c:pt>
                <c:pt idx="7">
                  <c:v>0.862828166628826</c:v>
                </c:pt>
                <c:pt idx="8">
                  <c:v>0.89752767679371304</c:v>
                </c:pt>
                <c:pt idx="9">
                  <c:v>0.8901238845050663</c:v>
                </c:pt>
                <c:pt idx="10">
                  <c:v>0.87517737911347526</c:v>
                </c:pt>
                <c:pt idx="11">
                  <c:v>0.8530448225016235</c:v>
                </c:pt>
              </c:numCache>
            </c:numRef>
          </c:val>
          <c:smooth val="0"/>
          <c:extLst>
            <c:ext xmlns:c16="http://schemas.microsoft.com/office/drawing/2014/chart" uri="{C3380CC4-5D6E-409C-BE32-E72D297353CC}">
              <c16:uniqueId val="{00000002-2C83-41E1-AFC8-1FBF62D36E33}"/>
            </c:ext>
          </c:extLst>
        </c:ser>
        <c:ser>
          <c:idx val="3"/>
          <c:order val="1"/>
          <c:tx>
            <c:strRef>
              <c:f>'Gráficos vino granel'!$Q$29</c:f>
              <c:strCache>
                <c:ptCount val="1"/>
                <c:pt idx="0">
                  <c:v>2020</c:v>
                </c:pt>
              </c:strCache>
            </c:strRef>
          </c:tx>
          <c:spPr>
            <a:ln w="28575" cap="rnd">
              <a:solidFill>
                <a:schemeClr val="accent4"/>
              </a:solidFill>
              <a:round/>
            </a:ln>
            <a:effectLst/>
          </c:spPr>
          <c:marker>
            <c:symbol val="none"/>
          </c:marker>
          <c:cat>
            <c:strRef>
              <c:f>'Gráficos vino granel'!$R$23:$AC$23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granel'!$R$29:$AC$29</c:f>
              <c:numCache>
                <c:formatCode>0.00</c:formatCode>
                <c:ptCount val="12"/>
                <c:pt idx="0">
                  <c:v>0.86596840759122773</c:v>
                </c:pt>
                <c:pt idx="1">
                  <c:v>0.85396378716128274</c:v>
                </c:pt>
                <c:pt idx="2">
                  <c:v>0.85757977208427094</c:v>
                </c:pt>
                <c:pt idx="3">
                  <c:v>0.80122599563001029</c:v>
                </c:pt>
                <c:pt idx="4">
                  <c:v>0.81175164133902034</c:v>
                </c:pt>
                <c:pt idx="5">
                  <c:v>0.83776210148654229</c:v>
                </c:pt>
                <c:pt idx="6">
                  <c:v>0.85553892070934745</c:v>
                </c:pt>
                <c:pt idx="7">
                  <c:v>0.81036201809242592</c:v>
                </c:pt>
                <c:pt idx="8">
                  <c:v>0.7822252574460058</c:v>
                </c:pt>
                <c:pt idx="9">
                  <c:v>0.80749142198603241</c:v>
                </c:pt>
                <c:pt idx="10">
                  <c:v>0.77370274142889806</c:v>
                </c:pt>
                <c:pt idx="11">
                  <c:v>1.4758444383869505</c:v>
                </c:pt>
              </c:numCache>
            </c:numRef>
          </c:val>
          <c:smooth val="0"/>
          <c:extLst>
            <c:ext xmlns:c16="http://schemas.microsoft.com/office/drawing/2014/chart" uri="{C3380CC4-5D6E-409C-BE32-E72D297353CC}">
              <c16:uniqueId val="{00000003-2C83-41E1-AFC8-1FBF62D36E33}"/>
            </c:ext>
          </c:extLst>
        </c:ser>
        <c:ser>
          <c:idx val="4"/>
          <c:order val="2"/>
          <c:tx>
            <c:strRef>
              <c:f>'Gráficos vino granel'!$Q$30</c:f>
              <c:strCache>
                <c:ptCount val="1"/>
                <c:pt idx="0">
                  <c:v>2021</c:v>
                </c:pt>
              </c:strCache>
            </c:strRef>
          </c:tx>
          <c:spPr>
            <a:ln w="28575" cap="rnd">
              <a:solidFill>
                <a:schemeClr val="accent5"/>
              </a:solidFill>
              <a:round/>
            </a:ln>
            <a:effectLst/>
          </c:spPr>
          <c:marker>
            <c:symbol val="none"/>
          </c:marker>
          <c:cat>
            <c:strRef>
              <c:f>'Gráficos vino granel'!$R$23:$AC$23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granel'!$R$30:$AC$30</c:f>
              <c:numCache>
                <c:formatCode>0.00</c:formatCode>
                <c:ptCount val="12"/>
                <c:pt idx="0">
                  <c:v>0.81615686537933418</c:v>
                </c:pt>
                <c:pt idx="1">
                  <c:v>0.85427937814521493</c:v>
                </c:pt>
                <c:pt idx="2">
                  <c:v>0.89653279681313536</c:v>
                </c:pt>
                <c:pt idx="3">
                  <c:v>0.85919093160923654</c:v>
                </c:pt>
                <c:pt idx="4">
                  <c:v>0.93037688975387178</c:v>
                </c:pt>
                <c:pt idx="5">
                  <c:v>0.99249084418925404</c:v>
                </c:pt>
                <c:pt idx="6">
                  <c:v>0.83600064241276306</c:v>
                </c:pt>
                <c:pt idx="7">
                  <c:v>0.83857160200761072</c:v>
                </c:pt>
                <c:pt idx="8">
                  <c:v>0.89093365405326108</c:v>
                </c:pt>
                <c:pt idx="9">
                  <c:v>0.85714206259935233</c:v>
                </c:pt>
                <c:pt idx="10">
                  <c:v>0.87539406630781591</c:v>
                </c:pt>
                <c:pt idx="11">
                  <c:v>0.85276591838989679</c:v>
                </c:pt>
              </c:numCache>
            </c:numRef>
          </c:val>
          <c:smooth val="0"/>
          <c:extLst>
            <c:ext xmlns:c16="http://schemas.microsoft.com/office/drawing/2014/chart" uri="{C3380CC4-5D6E-409C-BE32-E72D297353CC}">
              <c16:uniqueId val="{00000004-2C83-41E1-AFC8-1FBF62D36E33}"/>
            </c:ext>
          </c:extLst>
        </c:ser>
        <c:ser>
          <c:idx val="5"/>
          <c:order val="3"/>
          <c:tx>
            <c:strRef>
              <c:f>'Gráficos vino granel'!$Q$31</c:f>
              <c:strCache>
                <c:ptCount val="1"/>
                <c:pt idx="0">
                  <c:v>2022</c:v>
                </c:pt>
              </c:strCache>
            </c:strRef>
          </c:tx>
          <c:spPr>
            <a:ln w="28575" cap="rnd">
              <a:solidFill>
                <a:schemeClr val="accent6"/>
              </a:solidFill>
              <a:round/>
            </a:ln>
            <a:effectLst/>
          </c:spPr>
          <c:marker>
            <c:symbol val="none"/>
          </c:marker>
          <c:cat>
            <c:strRef>
              <c:f>'Gráficos vino granel'!$R$23:$AC$23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granel'!$R$31:$AC$31</c:f>
              <c:numCache>
                <c:formatCode>0.00</c:formatCode>
                <c:ptCount val="12"/>
                <c:pt idx="0">
                  <c:v>0.92913100736232523</c:v>
                </c:pt>
                <c:pt idx="1">
                  <c:v>0.91004024417174367</c:v>
                </c:pt>
                <c:pt idx="2">
                  <c:v>0.98461913868648021</c:v>
                </c:pt>
                <c:pt idx="3">
                  <c:v>0.92361733706704607</c:v>
                </c:pt>
                <c:pt idx="4">
                  <c:v>0.85</c:v>
                </c:pt>
                <c:pt idx="5">
                  <c:v>0.95819935691318325</c:v>
                </c:pt>
                <c:pt idx="6">
                  <c:v>0.9786324786324786</c:v>
                </c:pt>
                <c:pt idx="7">
                  <c:v>0.97183098591549311</c:v>
                </c:pt>
              </c:numCache>
            </c:numRef>
          </c:val>
          <c:smooth val="0"/>
          <c:extLst>
            <c:ext xmlns:c16="http://schemas.microsoft.com/office/drawing/2014/chart" uri="{C3380CC4-5D6E-409C-BE32-E72D297353CC}">
              <c16:uniqueId val="{00000000-7379-4C7E-AAD9-401163B39C6E}"/>
            </c:ext>
          </c:extLst>
        </c:ser>
        <c:dLbls>
          <c:showLegendKey val="0"/>
          <c:showVal val="0"/>
          <c:showCatName val="0"/>
          <c:showSerName val="0"/>
          <c:showPercent val="0"/>
          <c:showBubbleSize val="0"/>
        </c:dLbls>
        <c:smooth val="0"/>
        <c:axId val="-1401226576"/>
        <c:axId val="-1401223824"/>
        <c:extLst/>
      </c:lineChart>
      <c:catAx>
        <c:axId val="-1401226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23824"/>
        <c:crosses val="autoZero"/>
        <c:auto val="1"/>
        <c:lblAlgn val="ctr"/>
        <c:lblOffset val="100"/>
        <c:noMultiLvlLbl val="0"/>
      </c:catAx>
      <c:valAx>
        <c:axId val="-1401223824"/>
        <c:scaling>
          <c:orientation val="minMax"/>
          <c:max val="1.5"/>
          <c:min val="0.7000000000000000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 / lt</a:t>
                </a:r>
              </a:p>
            </c:rich>
          </c:tx>
          <c:layout>
            <c:manualLayout>
              <c:xMode val="edge"/>
              <c:yMode val="edge"/>
              <c:x val="1.34566851027962E-2"/>
              <c:y val="0.228538568095655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2265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16. Volumen de exportación de vinos en recipientes con capacidad superior a 2 lts pero inferior o igual a 10 lts (miles de litros)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1"/>
          <c:order val="0"/>
          <c:tx>
            <c:strRef>
              <c:f>'Gráfico vino entre 2 y 10 lts'!$Q$6</c:f>
              <c:strCache>
                <c:ptCount val="1"/>
                <c:pt idx="0">
                  <c:v>2019</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lts'!$R$6:$AC$6</c:f>
              <c:numCache>
                <c:formatCode>_(* #,##0_);_(* \(#,##0\);_(* "-"_);_(@_)</c:formatCode>
                <c:ptCount val="12"/>
                <c:pt idx="0">
                  <c:v>1294.586</c:v>
                </c:pt>
                <c:pt idx="1">
                  <c:v>1395.3050000000001</c:v>
                </c:pt>
                <c:pt idx="2">
                  <c:v>1648.8889999999999</c:v>
                </c:pt>
                <c:pt idx="3">
                  <c:v>1458.0940000000001</c:v>
                </c:pt>
                <c:pt idx="4">
                  <c:v>1797.2159999999999</c:v>
                </c:pt>
                <c:pt idx="5">
                  <c:v>1500.4818596</c:v>
                </c:pt>
                <c:pt idx="6">
                  <c:v>1768.5429999999999</c:v>
                </c:pt>
                <c:pt idx="7">
                  <c:v>1249.499</c:v>
                </c:pt>
                <c:pt idx="8">
                  <c:v>1548.0119999999999</c:v>
                </c:pt>
                <c:pt idx="9">
                  <c:v>1911.193</c:v>
                </c:pt>
                <c:pt idx="10">
                  <c:v>1484.587</c:v>
                </c:pt>
                <c:pt idx="11">
                  <c:v>951.08299999999997</c:v>
                </c:pt>
              </c:numCache>
            </c:numRef>
          </c:val>
          <c:smooth val="0"/>
          <c:extLst>
            <c:ext xmlns:c16="http://schemas.microsoft.com/office/drawing/2014/chart" uri="{C3380CC4-5D6E-409C-BE32-E72D297353CC}">
              <c16:uniqueId val="{00000001-25BE-4678-8869-AA375FAAC34D}"/>
            </c:ext>
          </c:extLst>
        </c:ser>
        <c:ser>
          <c:idx val="2"/>
          <c:order val="1"/>
          <c:tx>
            <c:strRef>
              <c:f>'Gráfico vino entre 2 y 10 lts'!$Q$7</c:f>
              <c:strCache>
                <c:ptCount val="1"/>
                <c:pt idx="0">
                  <c:v>2020</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lts'!$R$7:$AC$7</c:f>
              <c:numCache>
                <c:formatCode>_(* #,##0_);_(* \(#,##0\);_(* "-"_);_(@_)</c:formatCode>
                <c:ptCount val="12"/>
                <c:pt idx="0">
                  <c:v>1469.5150000000001</c:v>
                </c:pt>
                <c:pt idx="1">
                  <c:v>1442.336</c:v>
                </c:pt>
                <c:pt idx="2">
                  <c:v>918.68600000000004</c:v>
                </c:pt>
                <c:pt idx="3">
                  <c:v>2056.221</c:v>
                </c:pt>
                <c:pt idx="4">
                  <c:v>2181.357</c:v>
                </c:pt>
                <c:pt idx="5">
                  <c:v>2920.2489999999998</c:v>
                </c:pt>
                <c:pt idx="6">
                  <c:v>2406.8130000000001</c:v>
                </c:pt>
                <c:pt idx="7">
                  <c:v>2809.37</c:v>
                </c:pt>
                <c:pt idx="8">
                  <c:v>2578.8049999999998</c:v>
                </c:pt>
                <c:pt idx="9">
                  <c:v>1200.1225767000001</c:v>
                </c:pt>
                <c:pt idx="10">
                  <c:v>1481.2270000000001</c:v>
                </c:pt>
                <c:pt idx="11">
                  <c:v>919.4325</c:v>
                </c:pt>
              </c:numCache>
            </c:numRef>
          </c:val>
          <c:smooth val="0"/>
          <c:extLst>
            <c:ext xmlns:c16="http://schemas.microsoft.com/office/drawing/2014/chart" uri="{C3380CC4-5D6E-409C-BE32-E72D297353CC}">
              <c16:uniqueId val="{00000002-25BE-4678-8869-AA375FAAC34D}"/>
            </c:ext>
          </c:extLst>
        </c:ser>
        <c:ser>
          <c:idx val="3"/>
          <c:order val="2"/>
          <c:tx>
            <c:strRef>
              <c:f>'Gráfico vino entre 2 y 10 lts'!$Q$8</c:f>
              <c:strCache>
                <c:ptCount val="1"/>
                <c:pt idx="0">
                  <c:v>2021</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lts'!$R$8:$AC$8</c:f>
              <c:numCache>
                <c:formatCode>_(* #,##0_);_(* \(#,##0\);_(* "-"_);_(@_)</c:formatCode>
                <c:ptCount val="12"/>
                <c:pt idx="0">
                  <c:v>1610.3820000000001</c:v>
                </c:pt>
                <c:pt idx="1">
                  <c:v>2163.2460000000001</c:v>
                </c:pt>
                <c:pt idx="2">
                  <c:v>1795.7145</c:v>
                </c:pt>
                <c:pt idx="3">
                  <c:v>1575.212</c:v>
                </c:pt>
                <c:pt idx="4">
                  <c:v>2030.2070000000001</c:v>
                </c:pt>
                <c:pt idx="5">
                  <c:v>1928.36</c:v>
                </c:pt>
                <c:pt idx="6">
                  <c:v>2124.8270000000002</c:v>
                </c:pt>
                <c:pt idx="7">
                  <c:v>1445.2090000000001</c:v>
                </c:pt>
                <c:pt idx="8">
                  <c:v>1010.357</c:v>
                </c:pt>
                <c:pt idx="9">
                  <c:v>1514.943</c:v>
                </c:pt>
                <c:pt idx="10">
                  <c:v>1838.2719999999999</c:v>
                </c:pt>
                <c:pt idx="11">
                  <c:v>1977.452</c:v>
                </c:pt>
              </c:numCache>
            </c:numRef>
          </c:val>
          <c:smooth val="0"/>
          <c:extLst>
            <c:ext xmlns:c16="http://schemas.microsoft.com/office/drawing/2014/chart" uri="{C3380CC4-5D6E-409C-BE32-E72D297353CC}">
              <c16:uniqueId val="{00000000-C69B-4DE2-8967-8935DA147A89}"/>
            </c:ext>
          </c:extLst>
        </c:ser>
        <c:ser>
          <c:idx val="4"/>
          <c:order val="3"/>
          <c:tx>
            <c:strRef>
              <c:f>'Gráfico vino entre 2 y 10 lts'!$Q$9</c:f>
              <c:strCache>
                <c:ptCount val="1"/>
                <c:pt idx="0">
                  <c:v>2022</c:v>
                </c:pt>
              </c:strCache>
            </c:strRef>
          </c:tx>
          <c:spPr>
            <a:ln w="28575" cap="rnd">
              <a:solidFill>
                <a:schemeClr val="accent5"/>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lts'!$R$9:$AC$9</c:f>
              <c:numCache>
                <c:formatCode>_(* #,##0_);_(* \(#,##0\);_(* "-"_);_(@_)</c:formatCode>
                <c:ptCount val="12"/>
                <c:pt idx="0">
                  <c:v>1807.2080000000001</c:v>
                </c:pt>
                <c:pt idx="1">
                  <c:v>1171.2950000000001</c:v>
                </c:pt>
                <c:pt idx="2">
                  <c:v>1686.739</c:v>
                </c:pt>
                <c:pt idx="3">
                  <c:v>1354.4880000000001</c:v>
                </c:pt>
                <c:pt idx="4">
                  <c:v>1501.6</c:v>
                </c:pt>
                <c:pt idx="5">
                  <c:v>2369.5</c:v>
                </c:pt>
                <c:pt idx="6">
                  <c:v>1278.7</c:v>
                </c:pt>
                <c:pt idx="7">
                  <c:v>1384.5</c:v>
                </c:pt>
              </c:numCache>
            </c:numRef>
          </c:val>
          <c:smooth val="0"/>
          <c:extLst>
            <c:ext xmlns:c16="http://schemas.microsoft.com/office/drawing/2014/chart" uri="{C3380CC4-5D6E-409C-BE32-E72D297353CC}">
              <c16:uniqueId val="{00000000-3D36-48FD-8D3D-F287C2CDFF11}"/>
            </c:ext>
          </c:extLst>
        </c:ser>
        <c:dLbls>
          <c:showLegendKey val="0"/>
          <c:showVal val="0"/>
          <c:showCatName val="0"/>
          <c:showSerName val="0"/>
          <c:showPercent val="0"/>
          <c:showBubbleSize val="0"/>
        </c:dLbls>
        <c:smooth val="0"/>
        <c:axId val="-1401174736"/>
        <c:axId val="-1401172256"/>
      </c:lineChart>
      <c:catAx>
        <c:axId val="-140117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172256"/>
        <c:crosses val="autoZero"/>
        <c:auto val="1"/>
        <c:lblAlgn val="ctr"/>
        <c:lblOffset val="100"/>
        <c:noMultiLvlLbl val="0"/>
      </c:catAx>
      <c:valAx>
        <c:axId val="-1401172256"/>
        <c:scaling>
          <c:orientation val="minMax"/>
          <c:max val="3000"/>
          <c:min val="9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17473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17. Valor de exportaciones de vinos en recipientes con capacidad superior a 2 lts pero inferior o igual a 10 lts (miles USD) </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577498046857901"/>
          <c:y val="0.20105318581297599"/>
          <c:w val="0.85422501953142205"/>
          <c:h val="0.413505650586797"/>
        </c:manualLayout>
      </c:layout>
      <c:lineChart>
        <c:grouping val="standard"/>
        <c:varyColors val="0"/>
        <c:ser>
          <c:idx val="1"/>
          <c:order val="0"/>
          <c:tx>
            <c:strRef>
              <c:f>'Gráfico vino entre 2 y 10 lts'!$Q$13</c:f>
              <c:strCache>
                <c:ptCount val="1"/>
                <c:pt idx="0">
                  <c:v>2019</c:v>
                </c:pt>
              </c:strCache>
            </c:strRef>
          </c:tx>
          <c:spPr>
            <a:ln w="28575" cap="rnd">
              <a:solidFill>
                <a:schemeClr val="accent2"/>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lts'!$R$13:$AC$13</c:f>
              <c:numCache>
                <c:formatCode>_(* #,##0_);_(* \(#,##0\);_(* "-"_);_(@_)</c:formatCode>
                <c:ptCount val="12"/>
                <c:pt idx="0">
                  <c:v>2414.79954</c:v>
                </c:pt>
                <c:pt idx="1">
                  <c:v>2591.3246099999997</c:v>
                </c:pt>
                <c:pt idx="2">
                  <c:v>3015.9723899999999</c:v>
                </c:pt>
                <c:pt idx="3">
                  <c:v>2767.1150200000002</c:v>
                </c:pt>
                <c:pt idx="4">
                  <c:v>3464.5224800000001</c:v>
                </c:pt>
                <c:pt idx="5">
                  <c:v>2836.8172999999992</c:v>
                </c:pt>
                <c:pt idx="6">
                  <c:v>3524.2680599999999</c:v>
                </c:pt>
                <c:pt idx="7">
                  <c:v>2366.28917</c:v>
                </c:pt>
                <c:pt idx="8">
                  <c:v>2823.4865299999997</c:v>
                </c:pt>
                <c:pt idx="9">
                  <c:v>3546.5239799999999</c:v>
                </c:pt>
                <c:pt idx="10">
                  <c:v>2683.1303499999999</c:v>
                </c:pt>
                <c:pt idx="11">
                  <c:v>1785.4700399999999</c:v>
                </c:pt>
              </c:numCache>
            </c:numRef>
          </c:val>
          <c:smooth val="0"/>
          <c:extLst>
            <c:ext xmlns:c16="http://schemas.microsoft.com/office/drawing/2014/chart" uri="{C3380CC4-5D6E-409C-BE32-E72D297353CC}">
              <c16:uniqueId val="{00000001-1247-43B6-A392-F6617E1C913B}"/>
            </c:ext>
          </c:extLst>
        </c:ser>
        <c:ser>
          <c:idx val="2"/>
          <c:order val="1"/>
          <c:tx>
            <c:strRef>
              <c:f>'Gráfico vino entre 2 y 10 lts'!$Q$14</c:f>
              <c:strCache>
                <c:ptCount val="1"/>
                <c:pt idx="0">
                  <c:v>2020</c:v>
                </c:pt>
              </c:strCache>
            </c:strRef>
          </c:tx>
          <c:spPr>
            <a:ln w="28575" cap="rnd">
              <a:solidFill>
                <a:schemeClr val="accent3"/>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lts'!$R$14:$AC$14</c:f>
              <c:numCache>
                <c:formatCode>_(* #,##0_);_(* \(#,##0\);_(* "-"_);_(@_)</c:formatCode>
                <c:ptCount val="12"/>
                <c:pt idx="0">
                  <c:v>2785.4186499999996</c:v>
                </c:pt>
                <c:pt idx="1">
                  <c:v>2490.6086800000003</c:v>
                </c:pt>
                <c:pt idx="2">
                  <c:v>1677.3890299999998</c:v>
                </c:pt>
                <c:pt idx="3">
                  <c:v>3630.0559300000004</c:v>
                </c:pt>
                <c:pt idx="4">
                  <c:v>3635.0844700000002</c:v>
                </c:pt>
                <c:pt idx="5">
                  <c:v>5040.3669800000007</c:v>
                </c:pt>
                <c:pt idx="6">
                  <c:v>4451.0910500000009</c:v>
                </c:pt>
                <c:pt idx="7">
                  <c:v>5439.098140000001</c:v>
                </c:pt>
                <c:pt idx="8">
                  <c:v>5505.5791900000013</c:v>
                </c:pt>
                <c:pt idx="9">
                  <c:v>2212.5166599999998</c:v>
                </c:pt>
                <c:pt idx="10">
                  <c:v>2853.6835999999998</c:v>
                </c:pt>
                <c:pt idx="11">
                  <c:v>1767.6853799999999</c:v>
                </c:pt>
              </c:numCache>
            </c:numRef>
          </c:val>
          <c:smooth val="0"/>
          <c:extLst>
            <c:ext xmlns:c16="http://schemas.microsoft.com/office/drawing/2014/chart" uri="{C3380CC4-5D6E-409C-BE32-E72D297353CC}">
              <c16:uniqueId val="{00000002-1247-43B6-A392-F6617E1C913B}"/>
            </c:ext>
          </c:extLst>
        </c:ser>
        <c:ser>
          <c:idx val="3"/>
          <c:order val="2"/>
          <c:tx>
            <c:strRef>
              <c:f>'Gráfico vino entre 2 y 10 lts'!$Q$15</c:f>
              <c:strCache>
                <c:ptCount val="1"/>
                <c:pt idx="0">
                  <c:v>2021</c:v>
                </c:pt>
              </c:strCache>
            </c:strRef>
          </c:tx>
          <c:spPr>
            <a:ln w="28575" cap="rnd">
              <a:solidFill>
                <a:schemeClr val="accent4"/>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lts'!$R$15:$AC$15</c:f>
              <c:numCache>
                <c:formatCode>_(* #,##0_);_(* \(#,##0\);_(* "-"_);_(@_)</c:formatCode>
                <c:ptCount val="12"/>
                <c:pt idx="0">
                  <c:v>3117.5292100000001</c:v>
                </c:pt>
                <c:pt idx="1">
                  <c:v>3988.6311399999995</c:v>
                </c:pt>
                <c:pt idx="2">
                  <c:v>3376.3835299999992</c:v>
                </c:pt>
                <c:pt idx="3">
                  <c:v>3021.5246699999993</c:v>
                </c:pt>
                <c:pt idx="4">
                  <c:v>3814.7966800000008</c:v>
                </c:pt>
                <c:pt idx="5">
                  <c:v>3629.8534799999993</c:v>
                </c:pt>
                <c:pt idx="6">
                  <c:v>4041.1528199999998</c:v>
                </c:pt>
                <c:pt idx="7">
                  <c:v>3225.2134000000001</c:v>
                </c:pt>
                <c:pt idx="8">
                  <c:v>1912.7930599999997</c:v>
                </c:pt>
                <c:pt idx="9">
                  <c:v>3133.9940800000004</c:v>
                </c:pt>
                <c:pt idx="10">
                  <c:v>3317.4372599999997</c:v>
                </c:pt>
                <c:pt idx="11">
                  <c:v>3691.6154900000006</c:v>
                </c:pt>
              </c:numCache>
            </c:numRef>
          </c:val>
          <c:smooth val="0"/>
          <c:extLst>
            <c:ext xmlns:c16="http://schemas.microsoft.com/office/drawing/2014/chart" uri="{C3380CC4-5D6E-409C-BE32-E72D297353CC}">
              <c16:uniqueId val="{00000000-B29B-412E-B707-9F638748165F}"/>
            </c:ext>
          </c:extLst>
        </c:ser>
        <c:ser>
          <c:idx val="4"/>
          <c:order val="3"/>
          <c:tx>
            <c:strRef>
              <c:f>'Gráfico vino entre 2 y 10 lts'!$Q$16</c:f>
              <c:strCache>
                <c:ptCount val="1"/>
                <c:pt idx="0">
                  <c:v>2022</c:v>
                </c:pt>
              </c:strCache>
            </c:strRef>
          </c:tx>
          <c:spPr>
            <a:ln w="28575" cap="rnd">
              <a:solidFill>
                <a:schemeClr val="accent5"/>
              </a:solidFill>
              <a:round/>
            </a:ln>
            <a:effectLst/>
          </c:spPr>
          <c:marker>
            <c:symbol val="none"/>
          </c:marker>
          <c:cat>
            <c:strRef>
              <c:f>'Gráfico vino entre 2 y 10 lts'!$R$3:$AC$3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lts'!$R$16:$AC$16</c:f>
              <c:numCache>
                <c:formatCode>_(* #,##0_);_(* \(#,##0\);_(* "-"_);_(@_)</c:formatCode>
                <c:ptCount val="12"/>
                <c:pt idx="0">
                  <c:v>3542.5489700000003</c:v>
                </c:pt>
                <c:pt idx="1">
                  <c:v>2111.0532599999997</c:v>
                </c:pt>
                <c:pt idx="2">
                  <c:v>2992.6367000000005</c:v>
                </c:pt>
                <c:pt idx="3">
                  <c:v>2470.3571300000003</c:v>
                </c:pt>
                <c:pt idx="4">
                  <c:v>2736.8</c:v>
                </c:pt>
                <c:pt idx="5">
                  <c:v>4328</c:v>
                </c:pt>
                <c:pt idx="6">
                  <c:v>2496.6</c:v>
                </c:pt>
                <c:pt idx="7">
                  <c:v>2620.1999999999998</c:v>
                </c:pt>
              </c:numCache>
            </c:numRef>
          </c:val>
          <c:smooth val="0"/>
          <c:extLst>
            <c:ext xmlns:c16="http://schemas.microsoft.com/office/drawing/2014/chart" uri="{C3380CC4-5D6E-409C-BE32-E72D297353CC}">
              <c16:uniqueId val="{00000000-713B-4783-A2AD-BB0D0833C60F}"/>
            </c:ext>
          </c:extLst>
        </c:ser>
        <c:dLbls>
          <c:showLegendKey val="0"/>
          <c:showVal val="0"/>
          <c:showCatName val="0"/>
          <c:showSerName val="0"/>
          <c:showPercent val="0"/>
          <c:showBubbleSize val="0"/>
        </c:dLbls>
        <c:smooth val="0"/>
        <c:axId val="-1545934256"/>
        <c:axId val="-1545932192"/>
      </c:lineChart>
      <c:catAx>
        <c:axId val="-1545934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932192"/>
        <c:crosses val="autoZero"/>
        <c:auto val="1"/>
        <c:lblAlgn val="ctr"/>
        <c:lblOffset val="100"/>
        <c:noMultiLvlLbl val="0"/>
      </c:catAx>
      <c:valAx>
        <c:axId val="-1545932192"/>
        <c:scaling>
          <c:orientation val="minMax"/>
          <c:max val="5500"/>
          <c:min val="15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934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18. Precio medio de exportación de vinos en recipientes con capacidad superior a 2 lts pero inferior o igual a 10 lts  (dólares por litro)</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1"/>
          <c:order val="0"/>
          <c:tx>
            <c:strRef>
              <c:f>'Gráfico vino entre 2 y 10 lts'!$Q$23</c:f>
              <c:strCache>
                <c:ptCount val="1"/>
                <c:pt idx="0">
                  <c:v>2019</c:v>
                </c:pt>
              </c:strCache>
            </c:strRef>
          </c:tx>
          <c:spPr>
            <a:ln w="28575" cap="rnd">
              <a:solidFill>
                <a:schemeClr val="accent2"/>
              </a:solidFill>
              <a:round/>
            </a:ln>
            <a:effectLst/>
          </c:spPr>
          <c:marker>
            <c:symbol val="none"/>
          </c:marker>
          <c:cat>
            <c:strRef>
              <c:f>'Gráfico vino entre 2 y 10 lts'!$R$20:$AC$20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lts'!$R$23:$AC$23</c:f>
              <c:numCache>
                <c:formatCode>0.00</c:formatCode>
                <c:ptCount val="12"/>
                <c:pt idx="0">
                  <c:v>1.865306391386899</c:v>
                </c:pt>
                <c:pt idx="1">
                  <c:v>1.8571743167264501</c:v>
                </c:pt>
                <c:pt idx="2">
                  <c:v>1.8290936442659269</c:v>
                </c:pt>
                <c:pt idx="3">
                  <c:v>1.8977617492425043</c:v>
                </c:pt>
                <c:pt idx="4">
                  <c:v>1.9277162455709276</c:v>
                </c:pt>
                <c:pt idx="5">
                  <c:v>1.8906041961455242</c:v>
                </c:pt>
                <c:pt idx="6">
                  <c:v>1.9927522599111247</c:v>
                </c:pt>
                <c:pt idx="7">
                  <c:v>1.8937903671791654</c:v>
                </c:pt>
                <c:pt idx="8">
                  <c:v>1.8239435676209228</c:v>
                </c:pt>
                <c:pt idx="9">
                  <c:v>1.8556597789966791</c:v>
                </c:pt>
                <c:pt idx="10">
                  <c:v>1.8073244276017504</c:v>
                </c:pt>
                <c:pt idx="11">
                  <c:v>1.8773020230621302</c:v>
                </c:pt>
              </c:numCache>
            </c:numRef>
          </c:val>
          <c:smooth val="0"/>
          <c:extLst>
            <c:ext xmlns:c16="http://schemas.microsoft.com/office/drawing/2014/chart" uri="{C3380CC4-5D6E-409C-BE32-E72D297353CC}">
              <c16:uniqueId val="{00000001-2B4B-43A1-8F37-05784E186947}"/>
            </c:ext>
          </c:extLst>
        </c:ser>
        <c:ser>
          <c:idx val="2"/>
          <c:order val="1"/>
          <c:tx>
            <c:strRef>
              <c:f>'Gráfico vino entre 2 y 10 lts'!$Q$24</c:f>
              <c:strCache>
                <c:ptCount val="1"/>
                <c:pt idx="0">
                  <c:v>2020</c:v>
                </c:pt>
              </c:strCache>
            </c:strRef>
          </c:tx>
          <c:spPr>
            <a:ln w="28575" cap="rnd">
              <a:solidFill>
                <a:schemeClr val="accent3"/>
              </a:solidFill>
              <a:round/>
            </a:ln>
            <a:effectLst/>
          </c:spPr>
          <c:marker>
            <c:symbol val="none"/>
          </c:marker>
          <c:cat>
            <c:strRef>
              <c:f>'Gráfico vino entre 2 y 10 lts'!$R$20:$AC$20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lts'!$R$24:$AC$24</c:f>
              <c:numCache>
                <c:formatCode>0.00</c:formatCode>
                <c:ptCount val="12"/>
                <c:pt idx="0">
                  <c:v>1.8954679945424167</c:v>
                </c:pt>
                <c:pt idx="1">
                  <c:v>1.7267881270383603</c:v>
                </c:pt>
                <c:pt idx="2">
                  <c:v>1.8258567453950532</c:v>
                </c:pt>
                <c:pt idx="3">
                  <c:v>1.7654016421386614</c:v>
                </c:pt>
                <c:pt idx="4">
                  <c:v>1.6664326242792904</c:v>
                </c:pt>
                <c:pt idx="5">
                  <c:v>1.7260058919633228</c:v>
                </c:pt>
                <c:pt idx="6">
                  <c:v>1.849371367862813</c:v>
                </c:pt>
                <c:pt idx="7">
                  <c:v>1.9360561762957536</c:v>
                </c:pt>
                <c:pt idx="8">
                  <c:v>2.1349342776983917</c:v>
                </c:pt>
                <c:pt idx="9">
                  <c:v>1.8435755671589806</c:v>
                </c:pt>
                <c:pt idx="10">
                  <c:v>1.9265673661093132</c:v>
                </c:pt>
                <c:pt idx="11">
                  <c:v>1.9225830933755332</c:v>
                </c:pt>
              </c:numCache>
            </c:numRef>
          </c:val>
          <c:smooth val="0"/>
          <c:extLst>
            <c:ext xmlns:c16="http://schemas.microsoft.com/office/drawing/2014/chart" uri="{C3380CC4-5D6E-409C-BE32-E72D297353CC}">
              <c16:uniqueId val="{00000002-2B4B-43A1-8F37-05784E186947}"/>
            </c:ext>
          </c:extLst>
        </c:ser>
        <c:ser>
          <c:idx val="3"/>
          <c:order val="2"/>
          <c:tx>
            <c:strRef>
              <c:f>'Gráfico vino entre 2 y 10 lts'!$Q$25</c:f>
              <c:strCache>
                <c:ptCount val="1"/>
                <c:pt idx="0">
                  <c:v>2021</c:v>
                </c:pt>
              </c:strCache>
            </c:strRef>
          </c:tx>
          <c:spPr>
            <a:ln w="28575" cap="rnd">
              <a:solidFill>
                <a:schemeClr val="accent4"/>
              </a:solidFill>
              <a:round/>
            </a:ln>
            <a:effectLst/>
          </c:spPr>
          <c:marker>
            <c:symbol val="none"/>
          </c:marker>
          <c:cat>
            <c:strRef>
              <c:f>'Gráfico vino entre 2 y 10 lts'!$R$20:$AC$20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lts'!$R$25:$AC$25</c:f>
              <c:numCache>
                <c:formatCode>0.00</c:formatCode>
                <c:ptCount val="12"/>
                <c:pt idx="0">
                  <c:v>1.9358942226130198</c:v>
                </c:pt>
                <c:pt idx="1">
                  <c:v>1.8438176425612247</c:v>
                </c:pt>
                <c:pt idx="2">
                  <c:v>1.8802451781728104</c:v>
                </c:pt>
                <c:pt idx="3">
                  <c:v>1.9181701701104354</c:v>
                </c:pt>
                <c:pt idx="4">
                  <c:v>1.8790185828341646</c:v>
                </c:pt>
                <c:pt idx="5">
                  <c:v>1.882352610508411</c:v>
                </c:pt>
                <c:pt idx="6">
                  <c:v>1.901873809020687</c:v>
                </c:pt>
                <c:pt idx="7">
                  <c:v>2.2316588119780598</c:v>
                </c:pt>
                <c:pt idx="8">
                  <c:v>1.8931853394394256</c:v>
                </c:pt>
                <c:pt idx="9">
                  <c:v>2.0687207901551417</c:v>
                </c:pt>
                <c:pt idx="10">
                  <c:v>1.8046498341921107</c:v>
                </c:pt>
                <c:pt idx="11">
                  <c:v>1.8668546644874315</c:v>
                </c:pt>
              </c:numCache>
            </c:numRef>
          </c:val>
          <c:smooth val="0"/>
          <c:extLst>
            <c:ext xmlns:c16="http://schemas.microsoft.com/office/drawing/2014/chart" uri="{C3380CC4-5D6E-409C-BE32-E72D297353CC}">
              <c16:uniqueId val="{00000000-5642-497D-87D7-19ED0553A228}"/>
            </c:ext>
          </c:extLst>
        </c:ser>
        <c:ser>
          <c:idx val="4"/>
          <c:order val="3"/>
          <c:tx>
            <c:strRef>
              <c:f>'Gráfico vino entre 2 y 10 lts'!$Q$26</c:f>
              <c:strCache>
                <c:ptCount val="1"/>
                <c:pt idx="0">
                  <c:v>2022</c:v>
                </c:pt>
              </c:strCache>
            </c:strRef>
          </c:tx>
          <c:spPr>
            <a:ln w="28575" cap="rnd">
              <a:solidFill>
                <a:schemeClr val="accent5"/>
              </a:solidFill>
              <a:round/>
            </a:ln>
            <a:effectLst/>
          </c:spPr>
          <c:marker>
            <c:symbol val="none"/>
          </c:marker>
          <c:cat>
            <c:strRef>
              <c:f>'Gráfico vino entre 2 y 10 lts'!$R$20:$AC$20</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 vino entre 2 y 10 lts'!$R$26:$AC$26</c:f>
              <c:numCache>
                <c:formatCode>0.00</c:formatCode>
                <c:ptCount val="12"/>
                <c:pt idx="0">
                  <c:v>1.960233116497935</c:v>
                </c:pt>
                <c:pt idx="1">
                  <c:v>1.8023241454970775</c:v>
                </c:pt>
                <c:pt idx="2">
                  <c:v>1.7742144457441253</c:v>
                </c:pt>
                <c:pt idx="3">
                  <c:v>1.8238309457152815</c:v>
                </c:pt>
                <c:pt idx="4">
                  <c:v>1.8225892381459778</c:v>
                </c:pt>
                <c:pt idx="5">
                  <c:v>1.8265456847436168</c:v>
                </c:pt>
                <c:pt idx="6">
                  <c:v>1.9524517087667161</c:v>
                </c:pt>
                <c:pt idx="7">
                  <c:v>1.8925243770314191</c:v>
                </c:pt>
              </c:numCache>
            </c:numRef>
          </c:val>
          <c:smooth val="0"/>
          <c:extLst>
            <c:ext xmlns:c16="http://schemas.microsoft.com/office/drawing/2014/chart" uri="{C3380CC4-5D6E-409C-BE32-E72D297353CC}">
              <c16:uniqueId val="{00000000-FDDC-4FE0-AA72-121E5CADBA56}"/>
            </c:ext>
          </c:extLst>
        </c:ser>
        <c:dLbls>
          <c:showLegendKey val="0"/>
          <c:showVal val="0"/>
          <c:showCatName val="0"/>
          <c:showSerName val="0"/>
          <c:showPercent val="0"/>
          <c:showBubbleSize val="0"/>
        </c:dLbls>
        <c:smooth val="0"/>
        <c:axId val="-1373319600"/>
        <c:axId val="-1373317120"/>
      </c:lineChart>
      <c:catAx>
        <c:axId val="-137331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17120"/>
        <c:crosses val="autoZero"/>
        <c:auto val="1"/>
        <c:lblAlgn val="ctr"/>
        <c:lblOffset val="100"/>
        <c:noMultiLvlLbl val="0"/>
      </c:catAx>
      <c:valAx>
        <c:axId val="-1373317120"/>
        <c:scaling>
          <c:orientation val="minMax"/>
          <c:min val="1.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196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19. Volumen de exportación de vino espumoso (miles de 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1"/>
          <c:order val="0"/>
          <c:tx>
            <c:strRef>
              <c:f>'Gráficos vino espumoso'!$P$7</c:f>
              <c:strCache>
                <c:ptCount val="1"/>
                <c:pt idx="0">
                  <c:v>2019</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espumoso'!$Q$7:$AB$7</c:f>
              <c:numCache>
                <c:formatCode>_-* #,##0_-;\-* #,##0_-;_-* "-"_-;_-@_-</c:formatCode>
                <c:ptCount val="12"/>
                <c:pt idx="0">
                  <c:v>333.0675</c:v>
                </c:pt>
                <c:pt idx="1">
                  <c:v>136.8135</c:v>
                </c:pt>
                <c:pt idx="2">
                  <c:v>252.87300299999998</c:v>
                </c:pt>
                <c:pt idx="3">
                  <c:v>336.79349999999999</c:v>
                </c:pt>
                <c:pt idx="4">
                  <c:v>349.95150000000001</c:v>
                </c:pt>
                <c:pt idx="5">
                  <c:v>355.51350000000002</c:v>
                </c:pt>
                <c:pt idx="6">
                  <c:v>310.34249999999997</c:v>
                </c:pt>
                <c:pt idx="7">
                  <c:v>769.25400000000002</c:v>
                </c:pt>
                <c:pt idx="8">
                  <c:v>517.54049999999995</c:v>
                </c:pt>
                <c:pt idx="9">
                  <c:v>587.88850000000002</c:v>
                </c:pt>
                <c:pt idx="10">
                  <c:v>327.19600000000003</c:v>
                </c:pt>
                <c:pt idx="11">
                  <c:v>331.64400000000001</c:v>
                </c:pt>
              </c:numCache>
            </c:numRef>
          </c:val>
          <c:smooth val="0"/>
          <c:extLst xmlns:c15="http://schemas.microsoft.com/office/drawing/2012/chart">
            <c:ext xmlns:c16="http://schemas.microsoft.com/office/drawing/2014/chart" uri="{C3380CC4-5D6E-409C-BE32-E72D297353CC}">
              <c16:uniqueId val="{00000001-BE05-4789-AB90-AC42C6E1BC83}"/>
            </c:ext>
          </c:extLst>
        </c:ser>
        <c:ser>
          <c:idx val="2"/>
          <c:order val="1"/>
          <c:tx>
            <c:strRef>
              <c:f>'Gráficos vino espumoso'!$P$8</c:f>
              <c:strCache>
                <c:ptCount val="1"/>
                <c:pt idx="0">
                  <c:v>2020</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espumoso'!$Q$8:$AB$8</c:f>
              <c:numCache>
                <c:formatCode>_-* #,##0_-;\-* #,##0_-;_-* "-"_-;_-@_-</c:formatCode>
                <c:ptCount val="12"/>
                <c:pt idx="0">
                  <c:v>334.899</c:v>
                </c:pt>
                <c:pt idx="1">
                  <c:v>228.82050000000001</c:v>
                </c:pt>
                <c:pt idx="2">
                  <c:v>144.67500000000001</c:v>
                </c:pt>
                <c:pt idx="3">
                  <c:v>242.26499999999999</c:v>
                </c:pt>
                <c:pt idx="4">
                  <c:v>316.08</c:v>
                </c:pt>
                <c:pt idx="5">
                  <c:v>252.6345</c:v>
                </c:pt>
                <c:pt idx="6">
                  <c:v>192.41550000000001</c:v>
                </c:pt>
                <c:pt idx="7">
                  <c:v>380.565</c:v>
                </c:pt>
                <c:pt idx="8">
                  <c:v>272.7</c:v>
                </c:pt>
                <c:pt idx="9">
                  <c:v>425.91950000000003</c:v>
                </c:pt>
                <c:pt idx="10">
                  <c:v>441.57150000000001</c:v>
                </c:pt>
                <c:pt idx="11">
                  <c:v>243.155</c:v>
                </c:pt>
              </c:numCache>
            </c:numRef>
          </c:val>
          <c:smooth val="0"/>
          <c:extLst>
            <c:ext xmlns:c16="http://schemas.microsoft.com/office/drawing/2014/chart" uri="{C3380CC4-5D6E-409C-BE32-E72D297353CC}">
              <c16:uniqueId val="{00000002-BE05-4789-AB90-AC42C6E1BC83}"/>
            </c:ext>
          </c:extLst>
        </c:ser>
        <c:ser>
          <c:idx val="3"/>
          <c:order val="2"/>
          <c:tx>
            <c:strRef>
              <c:f>'Gráficos vino espumoso'!$P$9</c:f>
              <c:strCache>
                <c:ptCount val="1"/>
                <c:pt idx="0">
                  <c:v>2021</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espumoso'!$Q$9:$AB$9</c:f>
              <c:numCache>
                <c:formatCode>_-* #,##0_-;\-* #,##0_-;_-* "-"_-;_-@_-</c:formatCode>
                <c:ptCount val="12"/>
                <c:pt idx="0">
                  <c:v>185.625</c:v>
                </c:pt>
                <c:pt idx="1">
                  <c:v>282.89249999999998</c:v>
                </c:pt>
                <c:pt idx="2">
                  <c:v>268.70850000000002</c:v>
                </c:pt>
                <c:pt idx="3">
                  <c:v>235.12350000000001</c:v>
                </c:pt>
                <c:pt idx="4">
                  <c:v>297.08100000000002</c:v>
                </c:pt>
                <c:pt idx="5">
                  <c:v>269.23050000000001</c:v>
                </c:pt>
                <c:pt idx="6">
                  <c:v>258.13799999999998</c:v>
                </c:pt>
                <c:pt idx="7">
                  <c:v>411.56099999999998</c:v>
                </c:pt>
                <c:pt idx="8">
                  <c:v>347.81849999999997</c:v>
                </c:pt>
                <c:pt idx="9">
                  <c:v>314.47726</c:v>
                </c:pt>
                <c:pt idx="10">
                  <c:v>334.80900000000003</c:v>
                </c:pt>
                <c:pt idx="11">
                  <c:v>378.99149999999997</c:v>
                </c:pt>
              </c:numCache>
            </c:numRef>
          </c:val>
          <c:smooth val="0"/>
          <c:extLst>
            <c:ext xmlns:c16="http://schemas.microsoft.com/office/drawing/2014/chart" uri="{C3380CC4-5D6E-409C-BE32-E72D297353CC}">
              <c16:uniqueId val="{00000003-BE05-4789-AB90-AC42C6E1BC83}"/>
            </c:ext>
          </c:extLst>
        </c:ser>
        <c:ser>
          <c:idx val="4"/>
          <c:order val="3"/>
          <c:tx>
            <c:strRef>
              <c:f>'Gráficos vino espumoso'!$P$10</c:f>
              <c:strCache>
                <c:ptCount val="1"/>
                <c:pt idx="0">
                  <c:v>2022</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espumoso'!$Q$10:$AB$10</c:f>
              <c:numCache>
                <c:formatCode>_-* #,##0_-;\-* #,##0_-;_-* "-"_-;_-@_-</c:formatCode>
                <c:ptCount val="12"/>
                <c:pt idx="0">
                  <c:v>331.4205</c:v>
                </c:pt>
                <c:pt idx="1">
                  <c:v>206.5335</c:v>
                </c:pt>
                <c:pt idx="2">
                  <c:v>193.32917739999999</c:v>
                </c:pt>
                <c:pt idx="3">
                  <c:v>252.78749999999999</c:v>
                </c:pt>
                <c:pt idx="4">
                  <c:v>257.39999999999998</c:v>
                </c:pt>
                <c:pt idx="5">
                  <c:v>323.7</c:v>
                </c:pt>
                <c:pt idx="6">
                  <c:v>226.9</c:v>
                </c:pt>
                <c:pt idx="7">
                  <c:v>430.4</c:v>
                </c:pt>
              </c:numCache>
            </c:numRef>
          </c:val>
          <c:smooth val="0"/>
          <c:extLst>
            <c:ext xmlns:c16="http://schemas.microsoft.com/office/drawing/2014/chart" uri="{C3380CC4-5D6E-409C-BE32-E72D297353CC}">
              <c16:uniqueId val="{00000004-BE05-4789-AB90-AC42C6E1BC83}"/>
            </c:ext>
          </c:extLst>
        </c:ser>
        <c:dLbls>
          <c:showLegendKey val="0"/>
          <c:showVal val="0"/>
          <c:showCatName val="0"/>
          <c:showSerName val="0"/>
          <c:showPercent val="0"/>
          <c:showBubbleSize val="0"/>
        </c:dLbls>
        <c:smooth val="0"/>
        <c:axId val="-1371277680"/>
        <c:axId val="-1371274928"/>
        <c:extLst/>
      </c:lineChart>
      <c:catAx>
        <c:axId val="-137127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74928"/>
        <c:crosses val="autoZero"/>
        <c:auto val="1"/>
        <c:lblAlgn val="ctr"/>
        <c:lblOffset val="100"/>
        <c:noMultiLvlLbl val="0"/>
      </c:catAx>
      <c:valAx>
        <c:axId val="-1371274928"/>
        <c:scaling>
          <c:orientation val="minMax"/>
          <c:max val="80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77680"/>
        <c:crosses val="autoZero"/>
        <c:crossBetween val="between"/>
        <c:majorUnit val="200"/>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2. Evolución del precio medio de los vinos chilenos exportados según categoría</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08661040823283"/>
          <c:y val="0.161461648176979"/>
          <c:w val="0.858746431919861"/>
          <c:h val="0.50269294497917105"/>
        </c:manualLayout>
      </c:layout>
      <c:lineChart>
        <c:grouping val="standard"/>
        <c:varyColors val="0"/>
        <c:ser>
          <c:idx val="2"/>
          <c:order val="0"/>
          <c:tx>
            <c:strRef>
              <c:f>'Evol export'!$O$3</c:f>
              <c:strCache>
                <c:ptCount val="1"/>
                <c:pt idx="0">
                  <c:v>Vino total</c:v>
                </c:pt>
              </c:strCache>
            </c:strRef>
          </c:tx>
          <c:spPr>
            <a:ln w="28575" cap="rnd">
              <a:solidFill>
                <a:schemeClr val="accent3"/>
              </a:solidFill>
              <a:round/>
            </a:ln>
            <a:effectLst/>
          </c:spPr>
          <c:marker>
            <c:symbol val="none"/>
          </c:marker>
          <c:cat>
            <c:numRef>
              <c:f>'Evol export'!$S$4:$AL$4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'Evol export'!$S$7:$AL$7</c:f>
              <c:numCache>
                <c:formatCode>0.00</c:formatCode>
                <c:ptCount val="20"/>
                <c:pt idx="0">
                  <c:v>1.7391271482586874</c:v>
                </c:pt>
                <c:pt idx="1">
                  <c:v>1.7042323809401418</c:v>
                </c:pt>
                <c:pt idx="2">
                  <c:v>1.7891391962550858</c:v>
                </c:pt>
                <c:pt idx="3">
                  <c:v>2.1092161228048028</c:v>
                </c:pt>
                <c:pt idx="4">
                  <c:v>2.0381432271442002</c:v>
                </c:pt>
                <c:pt idx="5">
                  <c:v>2.0782612841301202</c:v>
                </c:pt>
                <c:pt idx="6">
                  <c:v>2.3495086701723151</c:v>
                </c:pt>
                <c:pt idx="7">
                  <c:v>1.9955089558827652</c:v>
                </c:pt>
                <c:pt idx="8">
                  <c:v>2.1128982154523532</c:v>
                </c:pt>
                <c:pt idx="9">
                  <c:v>2.5455743516084364</c:v>
                </c:pt>
                <c:pt idx="10">
                  <c:v>2.3889180451125775</c:v>
                </c:pt>
                <c:pt idx="11">
                  <c:v>2.1373921484118896</c:v>
                </c:pt>
                <c:pt idx="12">
                  <c:v>2.3031009067094166</c:v>
                </c:pt>
                <c:pt idx="13">
                  <c:v>2.106806257592571</c:v>
                </c:pt>
                <c:pt idx="14">
                  <c:v>2.0340417597161293</c:v>
                </c:pt>
                <c:pt idx="15">
                  <c:v>2.1354641633139626</c:v>
                </c:pt>
                <c:pt idx="16">
                  <c:v>2.3482893334911803</c:v>
                </c:pt>
                <c:pt idx="17">
                  <c:v>2.2138783412368706</c:v>
                </c:pt>
                <c:pt idx="18">
                  <c:v>2.1467090545154828</c:v>
                </c:pt>
                <c:pt idx="19">
                  <c:v>2.2582101774286936</c:v>
                </c:pt>
              </c:numCache>
            </c:numRef>
          </c:val>
          <c:smooth val="0"/>
          <c:extLst>
            <c:ext xmlns:c16="http://schemas.microsoft.com/office/drawing/2014/chart" uri="{C3380CC4-5D6E-409C-BE32-E72D297353CC}">
              <c16:uniqueId val="{00000002-9720-49E4-8528-53A3E75146C9}"/>
            </c:ext>
          </c:extLst>
        </c:ser>
        <c:ser>
          <c:idx val="0"/>
          <c:order val="1"/>
          <c:tx>
            <c:strRef>
              <c:f>'Evol export'!$O$8</c:f>
              <c:strCache>
                <c:ptCount val="1"/>
                <c:pt idx="0">
                  <c:v>Vino con denominación de origen</c:v>
                </c:pt>
              </c:strCache>
            </c:strRef>
          </c:tx>
          <c:spPr>
            <a:ln w="28575" cap="rnd">
              <a:solidFill>
                <a:schemeClr val="accent1"/>
              </a:solidFill>
              <a:round/>
            </a:ln>
            <a:effectLst/>
          </c:spPr>
          <c:marker>
            <c:symbol val="none"/>
          </c:marker>
          <c:cat>
            <c:numRef>
              <c:f>'Evol export'!$S$4:$AL$4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'Evol export'!$S$12:$AL$12</c:f>
              <c:numCache>
                <c:formatCode>0.00</c:formatCode>
                <c:ptCount val="20"/>
                <c:pt idx="0">
                  <c:v>2.6876583384239057</c:v>
                </c:pt>
                <c:pt idx="1">
                  <c:v>2.7165111652710605</c:v>
                </c:pt>
                <c:pt idx="2">
                  <c:v>2.7862443880887167</c:v>
                </c:pt>
                <c:pt idx="3">
                  <c:v>2.8705031136486223</c:v>
                </c:pt>
                <c:pt idx="4">
                  <c:v>2.9844027437272609</c:v>
                </c:pt>
                <c:pt idx="5">
                  <c:v>3.1859677555281674</c:v>
                </c:pt>
                <c:pt idx="6">
                  <c:v>3.3501635655294479</c:v>
                </c:pt>
                <c:pt idx="7">
                  <c:v>3.0685480685868147</c:v>
                </c:pt>
                <c:pt idx="8">
                  <c:v>3.1014342749134984</c:v>
                </c:pt>
                <c:pt idx="9">
                  <c:v>3.3326290517863288</c:v>
                </c:pt>
                <c:pt idx="10">
                  <c:v>3.3289653233024432</c:v>
                </c:pt>
                <c:pt idx="11">
                  <c:v>3.4202649753517798</c:v>
                </c:pt>
                <c:pt idx="12">
                  <c:v>3.4384038677444115</c:v>
                </c:pt>
                <c:pt idx="13">
                  <c:v>3.2965853368870865</c:v>
                </c:pt>
                <c:pt idx="14">
                  <c:v>3.164676201096511</c:v>
                </c:pt>
                <c:pt idx="15">
                  <c:v>3.1857906549341672</c:v>
                </c:pt>
                <c:pt idx="16">
                  <c:v>3.3004160280271515</c:v>
                </c:pt>
                <c:pt idx="17">
                  <c:v>3.2544723998369376</c:v>
                </c:pt>
                <c:pt idx="18">
                  <c:v>3.1264857591388204</c:v>
                </c:pt>
                <c:pt idx="19">
                  <c:v>3.3555581001880372</c:v>
                </c:pt>
              </c:numCache>
            </c:numRef>
          </c:val>
          <c:smooth val="0"/>
          <c:extLst>
            <c:ext xmlns:c16="http://schemas.microsoft.com/office/drawing/2014/chart" uri="{C3380CC4-5D6E-409C-BE32-E72D297353CC}">
              <c16:uniqueId val="{00000005-9720-49E4-8528-53A3E75146C9}"/>
            </c:ext>
          </c:extLst>
        </c:ser>
        <c:ser>
          <c:idx val="1"/>
          <c:order val="2"/>
          <c:tx>
            <c:strRef>
              <c:f>'Evol export'!$O$13</c:f>
              <c:strCache>
                <c:ptCount val="1"/>
                <c:pt idx="0">
                  <c:v>Vino a granel</c:v>
                </c:pt>
              </c:strCache>
            </c:strRef>
          </c:tx>
          <c:spPr>
            <a:ln w="28575" cap="rnd">
              <a:solidFill>
                <a:schemeClr val="accent2"/>
              </a:solidFill>
              <a:round/>
            </a:ln>
            <a:effectLst/>
          </c:spPr>
          <c:marker>
            <c:symbol val="none"/>
          </c:marker>
          <c:cat>
            <c:numRef>
              <c:f>'Evol export'!$S$4:$AL$4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'Evol export'!$S$17:$AL$17</c:f>
              <c:numCache>
                <c:formatCode>0.00</c:formatCode>
                <c:ptCount val="20"/>
                <c:pt idx="0">
                  <c:v>0.46169544519410649</c:v>
                </c:pt>
                <c:pt idx="1">
                  <c:v>0.49582967771940983</c:v>
                </c:pt>
                <c:pt idx="2">
                  <c:v>0.61730695419897397</c:v>
                </c:pt>
                <c:pt idx="3">
                  <c:v>0.87059768439318619</c:v>
                </c:pt>
                <c:pt idx="4">
                  <c:v>0.70640164221818191</c:v>
                </c:pt>
                <c:pt idx="5">
                  <c:v>0.64512010511539852</c:v>
                </c:pt>
                <c:pt idx="6">
                  <c:v>0.87548781990425484</c:v>
                </c:pt>
                <c:pt idx="7">
                  <c:v>0.72927024915218175</c:v>
                </c:pt>
                <c:pt idx="8">
                  <c:v>0.83614621075267626</c:v>
                </c:pt>
                <c:pt idx="9">
                  <c:v>1.1669578654665964</c:v>
                </c:pt>
                <c:pt idx="10">
                  <c:v>1.1357766371680114</c:v>
                </c:pt>
                <c:pt idx="11">
                  <c:v>0.95296452427286304</c:v>
                </c:pt>
                <c:pt idx="12">
                  <c:v>0.90085818880992397</c:v>
                </c:pt>
                <c:pt idx="13">
                  <c:v>0.75958986292404462</c:v>
                </c:pt>
                <c:pt idx="14">
                  <c:v>0.7544198798807763</c:v>
                </c:pt>
                <c:pt idx="15">
                  <c:v>0.8634271658090672</c:v>
                </c:pt>
                <c:pt idx="16">
                  <c:v>1.0241001564945227</c:v>
                </c:pt>
                <c:pt idx="17">
                  <c:v>0.93312243435561004</c:v>
                </c:pt>
                <c:pt idx="18">
                  <c:v>0.86256621542083578</c:v>
                </c:pt>
                <c:pt idx="19">
                  <c:v>0.8737021493438818</c:v>
                </c:pt>
              </c:numCache>
            </c:numRef>
          </c:val>
          <c:smooth val="0"/>
          <c:extLst>
            <c:ext xmlns:c16="http://schemas.microsoft.com/office/drawing/2014/chart" uri="{C3380CC4-5D6E-409C-BE32-E72D297353CC}">
              <c16:uniqueId val="{00000006-9720-49E4-8528-53A3E75146C9}"/>
            </c:ext>
          </c:extLst>
        </c:ser>
        <c:ser>
          <c:idx val="3"/>
          <c:order val="3"/>
          <c:tx>
            <c:strRef>
              <c:f>'Evol export'!$O$18</c:f>
              <c:strCache>
                <c:ptCount val="1"/>
                <c:pt idx="0">
                  <c:v>Los demás vinos capacidad inferior o igual a 2 lts</c:v>
                </c:pt>
              </c:strCache>
            </c:strRef>
          </c:tx>
          <c:spPr>
            <a:ln w="28575" cap="rnd">
              <a:solidFill>
                <a:schemeClr val="accent4"/>
              </a:solidFill>
              <a:round/>
            </a:ln>
            <a:effectLst/>
          </c:spPr>
          <c:marker>
            <c:symbol val="none"/>
          </c:marker>
          <c:cat>
            <c:numRef>
              <c:f>'Evol export'!$S$4:$AL$4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'Evol export'!$S$22:$AL$22</c:f>
              <c:numCache>
                <c:formatCode>0.00</c:formatCode>
                <c:ptCount val="20"/>
                <c:pt idx="0">
                  <c:v>1.4175937160040197</c:v>
                </c:pt>
                <c:pt idx="1">
                  <c:v>1.3890220468563865</c:v>
                </c:pt>
                <c:pt idx="2">
                  <c:v>1.4823754310691495</c:v>
                </c:pt>
                <c:pt idx="3">
                  <c:v>1.5132729514515053</c:v>
                </c:pt>
                <c:pt idx="4">
                  <c:v>1.3969357088328871</c:v>
                </c:pt>
                <c:pt idx="5">
                  <c:v>1.6666914515657938</c:v>
                </c:pt>
                <c:pt idx="6">
                  <c:v>1.810845308928009</c:v>
                </c:pt>
                <c:pt idx="7">
                  <c:v>1.7447114698129429</c:v>
                </c:pt>
                <c:pt idx="8">
                  <c:v>1.8533564749274807</c:v>
                </c:pt>
                <c:pt idx="9">
                  <c:v>1.992404542192139</c:v>
                </c:pt>
                <c:pt idx="10">
                  <c:v>1.9705158057031791</c:v>
                </c:pt>
                <c:pt idx="11">
                  <c:v>1.6117373972123878</c:v>
                </c:pt>
                <c:pt idx="12">
                  <c:v>1.9902006000900061</c:v>
                </c:pt>
                <c:pt idx="13">
                  <c:v>1.8806410444170136</c:v>
                </c:pt>
                <c:pt idx="14">
                  <c:v>1.9143271822517107</c:v>
                </c:pt>
                <c:pt idx="15">
                  <c:v>2.0099368285147783</c:v>
                </c:pt>
                <c:pt idx="16">
                  <c:v>2.0593607305936077</c:v>
                </c:pt>
                <c:pt idx="17">
                  <c:v>2.1365196018786654</c:v>
                </c:pt>
                <c:pt idx="18">
                  <c:v>2.1167108753315649</c:v>
                </c:pt>
                <c:pt idx="19">
                  <c:v>2.2029271714192555</c:v>
                </c:pt>
              </c:numCache>
            </c:numRef>
          </c:val>
          <c:smooth val="0"/>
          <c:extLst>
            <c:ext xmlns:c16="http://schemas.microsoft.com/office/drawing/2014/chart" uri="{C3380CC4-5D6E-409C-BE32-E72D297353CC}">
              <c16:uniqueId val="{00000007-9720-49E4-8528-53A3E75146C9}"/>
            </c:ext>
          </c:extLst>
        </c:ser>
        <c:ser>
          <c:idx val="4"/>
          <c:order val="4"/>
          <c:tx>
            <c:strRef>
              <c:f>'Evol export'!$O$23</c:f>
              <c:strCache>
                <c:ptCount val="1"/>
                <c:pt idx="0">
                  <c:v>Vino espumante</c:v>
                </c:pt>
              </c:strCache>
            </c:strRef>
          </c:tx>
          <c:spPr>
            <a:ln w="28575" cap="rnd">
              <a:solidFill>
                <a:schemeClr val="accent5"/>
              </a:solidFill>
              <a:round/>
            </a:ln>
            <a:effectLst/>
          </c:spPr>
          <c:marker>
            <c:symbol val="none"/>
          </c:marker>
          <c:cat>
            <c:numRef>
              <c:f>'Evol export'!$S$4:$AL$4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'Evol export'!$S$27:$AL$27</c:f>
              <c:numCache>
                <c:formatCode>0.00</c:formatCode>
                <c:ptCount val="20"/>
                <c:pt idx="0">
                  <c:v>2.5997929369666339</c:v>
                </c:pt>
                <c:pt idx="1">
                  <c:v>2.638739727532978</c:v>
                </c:pt>
                <c:pt idx="2">
                  <c:v>2.6550079821199102</c:v>
                </c:pt>
                <c:pt idx="3">
                  <c:v>2.7469960674427027</c:v>
                </c:pt>
                <c:pt idx="4">
                  <c:v>2.951499403612889</c:v>
                </c:pt>
                <c:pt idx="5">
                  <c:v>2.9650363375152735</c:v>
                </c:pt>
                <c:pt idx="6">
                  <c:v>3.6234938212872443</c:v>
                </c:pt>
                <c:pt idx="7">
                  <c:v>3.923569594346568</c:v>
                </c:pt>
                <c:pt idx="8">
                  <c:v>3.8926179653603645</c:v>
                </c:pt>
                <c:pt idx="9">
                  <c:v>3.8591856887825298</c:v>
                </c:pt>
                <c:pt idx="10">
                  <c:v>3.9802384241546926</c:v>
                </c:pt>
                <c:pt idx="11">
                  <c:v>4.1828965307089474</c:v>
                </c:pt>
                <c:pt idx="12">
                  <c:v>4.2199287794536291</c:v>
                </c:pt>
                <c:pt idx="13">
                  <c:v>4.086036346905912</c:v>
                </c:pt>
                <c:pt idx="14">
                  <c:v>4.0166764763586418</c:v>
                </c:pt>
                <c:pt idx="15">
                  <c:v>4.0244305657604702</c:v>
                </c:pt>
                <c:pt idx="16">
                  <c:v>4.1739130434782608</c:v>
                </c:pt>
                <c:pt idx="17">
                  <c:v>4.022786458333333</c:v>
                </c:pt>
                <c:pt idx="18">
                  <c:v>4.2</c:v>
                </c:pt>
                <c:pt idx="19">
                  <c:v>4.0414549202183849</c:v>
                </c:pt>
              </c:numCache>
            </c:numRef>
          </c:val>
          <c:smooth val="0"/>
          <c:extLst>
            <c:ext xmlns:c16="http://schemas.microsoft.com/office/drawing/2014/chart" uri="{C3380CC4-5D6E-409C-BE32-E72D297353CC}">
              <c16:uniqueId val="{00000008-9720-49E4-8528-53A3E75146C9}"/>
            </c:ext>
          </c:extLst>
        </c:ser>
        <c:ser>
          <c:idx val="5"/>
          <c:order val="5"/>
          <c:tx>
            <c:strRef>
              <c:f>'Evol export'!$O$28</c:f>
              <c:strCache>
                <c:ptCount val="1"/>
                <c:pt idx="0">
                  <c:v>Los demás vinos entre 2 y 10 lts</c:v>
                </c:pt>
              </c:strCache>
            </c:strRef>
          </c:tx>
          <c:spPr>
            <a:ln w="28575" cap="rnd">
              <a:solidFill>
                <a:schemeClr val="accent6"/>
              </a:solidFill>
              <a:round/>
            </a:ln>
            <a:effectLst/>
          </c:spPr>
          <c:marker>
            <c:symbol val="none"/>
          </c:marker>
          <c:cat>
            <c:numRef>
              <c:f>'Evol export'!$S$4:$AL$4</c:f>
              <c:numCache>
                <c:formatCode>General</c:formatCod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numCache>
            </c:numRef>
          </c:cat>
          <c:val>
            <c:numRef>
              <c:f>'Evol export'!$S$32:$AL$32</c:f>
              <c:numCache>
                <c:formatCode>0.00</c:formatCode>
                <c:ptCount val="20"/>
                <c:pt idx="15">
                  <c:v>1.8826530612244896</c:v>
                </c:pt>
                <c:pt idx="16">
                  <c:v>1.9751243781094527</c:v>
                </c:pt>
                <c:pt idx="17">
                  <c:v>1.8778808241239515</c:v>
                </c:pt>
                <c:pt idx="18">
                  <c:v>1.8526785714285716</c:v>
                </c:pt>
                <c:pt idx="19">
                  <c:v>1.9162105780803305</c:v>
                </c:pt>
              </c:numCache>
            </c:numRef>
          </c:val>
          <c:smooth val="0"/>
          <c:extLst>
            <c:ext xmlns:c16="http://schemas.microsoft.com/office/drawing/2014/chart" uri="{C3380CC4-5D6E-409C-BE32-E72D297353CC}">
              <c16:uniqueId val="{00000009-9720-49E4-8528-53A3E75146C9}"/>
            </c:ext>
          </c:extLst>
        </c:ser>
        <c:dLbls>
          <c:showLegendKey val="0"/>
          <c:showVal val="0"/>
          <c:showCatName val="0"/>
          <c:showSerName val="0"/>
          <c:showPercent val="0"/>
          <c:showBubbleSize val="0"/>
        </c:dLbls>
        <c:smooth val="0"/>
        <c:axId val="-1373378272"/>
        <c:axId val="-1373375520"/>
      </c:lineChart>
      <c:catAx>
        <c:axId val="-1373378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75520"/>
        <c:crosses val="autoZero"/>
        <c:auto val="1"/>
        <c:lblAlgn val="ctr"/>
        <c:lblOffset val="100"/>
        <c:noMultiLvlLbl val="0"/>
      </c:catAx>
      <c:valAx>
        <c:axId val="-1373375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USD / lt</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78272"/>
        <c:crosses val="autoZero"/>
        <c:crossBetween val="between"/>
      </c:valAx>
      <c:spPr>
        <a:noFill/>
        <a:ln>
          <a:noFill/>
        </a:ln>
        <a:effectLst/>
      </c:spPr>
    </c:plotArea>
    <c:legend>
      <c:legendPos val="b"/>
      <c:layout>
        <c:manualLayout>
          <c:xMode val="edge"/>
          <c:yMode val="edge"/>
          <c:x val="1.13870021841702E-3"/>
          <c:y val="0.80506978646831195"/>
          <c:w val="0.99289950063903498"/>
          <c:h val="0.167152435753910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20.  Valor de exportaciones de vino espumoso (miles USD)</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1"/>
          <c:order val="0"/>
          <c:tx>
            <c:strRef>
              <c:f>'Gráficos vino espumoso'!$P$16</c:f>
              <c:strCache>
                <c:ptCount val="1"/>
                <c:pt idx="0">
                  <c:v>2019</c:v>
                </c:pt>
              </c:strCache>
            </c:strRef>
          </c:tx>
          <c:spPr>
            <a:ln w="28575" cap="rnd">
              <a:solidFill>
                <a:schemeClr val="accent3"/>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espumoso'!$Q$16:$AB$16</c:f>
              <c:numCache>
                <c:formatCode>_-* #,##0_-;\-* #,##0_-;_-* "-"_-;_-@_-</c:formatCode>
                <c:ptCount val="12"/>
                <c:pt idx="0">
                  <c:v>1337.5923999999998</c:v>
                </c:pt>
                <c:pt idx="1">
                  <c:v>536.63702999999998</c:v>
                </c:pt>
                <c:pt idx="2">
                  <c:v>1041.7046300000002</c:v>
                </c:pt>
                <c:pt idx="3">
                  <c:v>1332.3517400000001</c:v>
                </c:pt>
                <c:pt idx="4">
                  <c:v>1429.31951</c:v>
                </c:pt>
                <c:pt idx="5">
                  <c:v>1396.4903100000001</c:v>
                </c:pt>
                <c:pt idx="6" formatCode="_(* #,##0_);_(* \(#,##0\);_(* &quot;-&quot;_);_(@_)">
                  <c:v>1317.1010900000001</c:v>
                </c:pt>
                <c:pt idx="7" formatCode="_(* #,##0_);_(* \(#,##0\);_(* &quot;-&quot;_);_(@_)">
                  <c:v>3060.8019099999992</c:v>
                </c:pt>
                <c:pt idx="8" formatCode="_(* #,##0_);_(* \(#,##0\);_(* &quot;-&quot;_);_(@_)">
                  <c:v>2063.24244</c:v>
                </c:pt>
                <c:pt idx="9" formatCode="_(* #,##0_);_(* \(#,##0\);_(* &quot;-&quot;_);_(@_)">
                  <c:v>2335.2095300000001</c:v>
                </c:pt>
                <c:pt idx="10" formatCode="_(* #,##0_);_(* \(#,##0\);_(* &quot;-&quot;_);_(@_)">
                  <c:v>1338.1952699999997</c:v>
                </c:pt>
                <c:pt idx="11">
                  <c:v>1348.36447</c:v>
                </c:pt>
              </c:numCache>
            </c:numRef>
          </c:val>
          <c:smooth val="0"/>
          <c:extLst xmlns:c15="http://schemas.microsoft.com/office/drawing/2012/chart">
            <c:ext xmlns:c16="http://schemas.microsoft.com/office/drawing/2014/chart" uri="{C3380CC4-5D6E-409C-BE32-E72D297353CC}">
              <c16:uniqueId val="{00000001-609B-4C50-B4A8-49973FFFE71E}"/>
            </c:ext>
          </c:extLst>
        </c:ser>
        <c:ser>
          <c:idx val="2"/>
          <c:order val="1"/>
          <c:tx>
            <c:strRef>
              <c:f>'Gráficos vino espumoso'!$P$17</c:f>
              <c:strCache>
                <c:ptCount val="1"/>
                <c:pt idx="0">
                  <c:v>2020</c:v>
                </c:pt>
              </c:strCache>
            </c:strRef>
          </c:tx>
          <c:spPr>
            <a:ln w="28575" cap="rnd">
              <a:solidFill>
                <a:schemeClr val="accent4"/>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espumoso'!$Q$17:$AB$17</c:f>
              <c:numCache>
                <c:formatCode>_-* #,##0_-;\-* #,##0_-;_-* "-"_-;_-@_-</c:formatCode>
                <c:ptCount val="12"/>
                <c:pt idx="0">
                  <c:v>1496.7915100000002</c:v>
                </c:pt>
                <c:pt idx="1">
                  <c:v>895.42285000000004</c:v>
                </c:pt>
                <c:pt idx="2">
                  <c:v>613.71274999999991</c:v>
                </c:pt>
                <c:pt idx="3">
                  <c:v>1392.20975</c:v>
                </c:pt>
                <c:pt idx="4">
                  <c:v>1282.8476799999999</c:v>
                </c:pt>
                <c:pt idx="5">
                  <c:v>1023.8345700000001</c:v>
                </c:pt>
                <c:pt idx="6">
                  <c:v>817.4241300000001</c:v>
                </c:pt>
                <c:pt idx="7">
                  <c:v>1517.1010800000004</c:v>
                </c:pt>
                <c:pt idx="8">
                  <c:v>1112.3167599999997</c:v>
                </c:pt>
                <c:pt idx="9">
                  <c:v>1727.5803899999999</c:v>
                </c:pt>
                <c:pt idx="10">
                  <c:v>1866.5261500000001</c:v>
                </c:pt>
                <c:pt idx="11">
                  <c:v>929.11856999999986</c:v>
                </c:pt>
              </c:numCache>
            </c:numRef>
          </c:val>
          <c:smooth val="0"/>
          <c:extLst>
            <c:ext xmlns:c16="http://schemas.microsoft.com/office/drawing/2014/chart" uri="{C3380CC4-5D6E-409C-BE32-E72D297353CC}">
              <c16:uniqueId val="{00000002-609B-4C50-B4A8-49973FFFE71E}"/>
            </c:ext>
          </c:extLst>
        </c:ser>
        <c:ser>
          <c:idx val="3"/>
          <c:order val="2"/>
          <c:tx>
            <c:strRef>
              <c:f>'Gráficos vino espumoso'!$P$18</c:f>
              <c:strCache>
                <c:ptCount val="1"/>
                <c:pt idx="0">
                  <c:v>2021</c:v>
                </c:pt>
              </c:strCache>
            </c:strRef>
          </c:tx>
          <c:spPr>
            <a:ln w="28575" cap="rnd">
              <a:solidFill>
                <a:schemeClr val="accent5"/>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espumoso'!$Q$18:$AB$18</c:f>
              <c:numCache>
                <c:formatCode>_-* #,##0_-;\-* #,##0_-;_-* "-"_-;_-@_-</c:formatCode>
                <c:ptCount val="12"/>
                <c:pt idx="0">
                  <c:v>849.23722999999995</c:v>
                </c:pt>
                <c:pt idx="1">
                  <c:v>1086.1081299999998</c:v>
                </c:pt>
                <c:pt idx="2">
                  <c:v>1092.96487</c:v>
                </c:pt>
                <c:pt idx="3">
                  <c:v>976.2770300000002</c:v>
                </c:pt>
                <c:pt idx="4">
                  <c:v>1063.70309</c:v>
                </c:pt>
                <c:pt idx="5">
                  <c:v>1162.71678</c:v>
                </c:pt>
                <c:pt idx="6">
                  <c:v>1052.4551799999999</c:v>
                </c:pt>
                <c:pt idx="7">
                  <c:v>1702.3689100000001</c:v>
                </c:pt>
                <c:pt idx="8">
                  <c:v>1398.8854200000003</c:v>
                </c:pt>
                <c:pt idx="9">
                  <c:v>1280.24676</c:v>
                </c:pt>
                <c:pt idx="10" formatCode="_(* #,##0_);_(* \(#,##0\);_(* &quot;-&quot;_);_(@_)">
                  <c:v>1470.3960100000004</c:v>
                </c:pt>
                <c:pt idx="11" formatCode="_(* #,##0_);_(* \(#,##0\);_(* &quot;-&quot;_);_(@_)">
                  <c:v>1347.0470499999999</c:v>
                </c:pt>
              </c:numCache>
            </c:numRef>
          </c:val>
          <c:smooth val="0"/>
          <c:extLst>
            <c:ext xmlns:c16="http://schemas.microsoft.com/office/drawing/2014/chart" uri="{C3380CC4-5D6E-409C-BE32-E72D297353CC}">
              <c16:uniqueId val="{00000003-609B-4C50-B4A8-49973FFFE71E}"/>
            </c:ext>
          </c:extLst>
        </c:ser>
        <c:ser>
          <c:idx val="4"/>
          <c:order val="3"/>
          <c:tx>
            <c:strRef>
              <c:f>'Gráficos vino espumoso'!$P$19</c:f>
              <c:strCache>
                <c:ptCount val="1"/>
                <c:pt idx="0">
                  <c:v>2022</c:v>
                </c:pt>
              </c:strCache>
            </c:strRef>
          </c:tx>
          <c:spPr>
            <a:ln w="28575" cap="rnd">
              <a:solidFill>
                <a:schemeClr val="accent6"/>
              </a:solidFill>
              <a:round/>
            </a:ln>
            <a:effectLst/>
          </c:spPr>
          <c:marker>
            <c:symbol val="none"/>
          </c:marker>
          <c:cat>
            <c:strRef>
              <c:f>'Gráficos vino espumoso'!$Q$2:$AB$2</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espumoso'!$Q$19:$AB$19</c:f>
              <c:numCache>
                <c:formatCode>_-* #,##0_-;\-* #,##0_-;_-* "-"_-;_-@_-</c:formatCode>
                <c:ptCount val="12"/>
                <c:pt idx="0">
                  <c:v>1253.93623</c:v>
                </c:pt>
                <c:pt idx="1">
                  <c:v>823.25831000000005</c:v>
                </c:pt>
                <c:pt idx="2">
                  <c:v>806.36372000000006</c:v>
                </c:pt>
                <c:pt idx="3">
                  <c:v>1063.4191899999998</c:v>
                </c:pt>
                <c:pt idx="4">
                  <c:v>925.1</c:v>
                </c:pt>
                <c:pt idx="5">
                  <c:v>1310</c:v>
                </c:pt>
                <c:pt idx="6">
                  <c:v>918.1</c:v>
                </c:pt>
                <c:pt idx="7">
                  <c:v>1728</c:v>
                </c:pt>
              </c:numCache>
            </c:numRef>
          </c:val>
          <c:smooth val="0"/>
          <c:extLst>
            <c:ext xmlns:c16="http://schemas.microsoft.com/office/drawing/2014/chart" uri="{C3380CC4-5D6E-409C-BE32-E72D297353CC}">
              <c16:uniqueId val="{00000004-609B-4C50-B4A8-49973FFFE71E}"/>
            </c:ext>
          </c:extLst>
        </c:ser>
        <c:dLbls>
          <c:showLegendKey val="0"/>
          <c:showVal val="0"/>
          <c:showCatName val="0"/>
          <c:showSerName val="0"/>
          <c:showPercent val="0"/>
          <c:showBubbleSize val="0"/>
        </c:dLbls>
        <c:smooth val="0"/>
        <c:axId val="-1371224688"/>
        <c:axId val="-1371221936"/>
        <c:extLst/>
      </c:lineChart>
      <c:catAx>
        <c:axId val="-1371224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21936"/>
        <c:crosses val="autoZero"/>
        <c:auto val="1"/>
        <c:lblAlgn val="ctr"/>
        <c:lblOffset val="100"/>
        <c:noMultiLvlLbl val="0"/>
      </c:catAx>
      <c:valAx>
        <c:axId val="-1371221936"/>
        <c:scaling>
          <c:orientation val="minMax"/>
          <c:max val="3100"/>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22468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r>
              <a:rPr lang="en-US" sz="1050" b="0" i="0" baseline="0">
                <a:effectLst/>
              </a:rPr>
              <a:t>Gráfico 21. Precio medio de exportación de vino espumoso (dólares por litro)</a:t>
            </a:r>
            <a:endParaRPr lang="es-CL" sz="105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50" b="0" i="0" u="none" strike="noStrike" kern="1200" spc="0" baseline="0">
              <a:solidFill>
                <a:sysClr val="windowText" lastClr="000000">
                  <a:lumMod val="65000"/>
                  <a:lumOff val="35000"/>
                </a:sysClr>
              </a:solidFill>
              <a:latin typeface="+mn-lt"/>
              <a:ea typeface="+mn-ea"/>
              <a:cs typeface="+mn-cs"/>
            </a:defRPr>
          </a:pPr>
          <a:endParaRPr lang="es-CL"/>
        </a:p>
      </c:txPr>
    </c:title>
    <c:autoTitleDeleted val="0"/>
    <c:plotArea>
      <c:layout/>
      <c:lineChart>
        <c:grouping val="standard"/>
        <c:varyColors val="0"/>
        <c:ser>
          <c:idx val="1"/>
          <c:order val="0"/>
          <c:tx>
            <c:strRef>
              <c:f>'Gráficos vino espumoso'!$P$28</c:f>
              <c:strCache>
                <c:ptCount val="1"/>
                <c:pt idx="0">
                  <c:v>2019</c:v>
                </c:pt>
              </c:strCache>
            </c:strRef>
          </c:tx>
          <c:spPr>
            <a:ln w="28575" cap="rnd">
              <a:solidFill>
                <a:schemeClr val="accent3"/>
              </a:solidFill>
              <a:round/>
            </a:ln>
            <a:effectLst/>
          </c:spPr>
          <c:marker>
            <c:symbol val="none"/>
          </c:marker>
          <c:cat>
            <c:strRef>
              <c:f>'Gráficos vino espumoso'!$Q$23:$AB$23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espumoso'!$Q$28:$AB$28</c:f>
              <c:numCache>
                <c:formatCode>0.00</c:formatCode>
                <c:ptCount val="12"/>
                <c:pt idx="0">
                  <c:v>4.0159799440053439</c:v>
                </c:pt>
                <c:pt idx="1">
                  <c:v>3.9223982282450196</c:v>
                </c:pt>
                <c:pt idx="2">
                  <c:v>4.1194774358732165</c:v>
                </c:pt>
                <c:pt idx="3">
                  <c:v>3.9559900651289293</c:v>
                </c:pt>
                <c:pt idx="4">
                  <c:v>4.0843360008458314</c:v>
                </c:pt>
                <c:pt idx="5">
                  <c:v>3.9280936166981002</c:v>
                </c:pt>
                <c:pt idx="6">
                  <c:v>4.2440242312928467</c:v>
                </c:pt>
                <c:pt idx="7">
                  <c:v>3.9789223195459487</c:v>
                </c:pt>
                <c:pt idx="8">
                  <c:v>3.9866299159196239</c:v>
                </c:pt>
                <c:pt idx="9">
                  <c:v>3.972198010336994</c:v>
                </c:pt>
                <c:pt idx="10">
                  <c:v>4.0898888433843918</c:v>
                </c:pt>
                <c:pt idx="11">
                  <c:v>4.0656983693357933</c:v>
                </c:pt>
              </c:numCache>
            </c:numRef>
          </c:val>
          <c:smooth val="0"/>
          <c:extLst xmlns:c15="http://schemas.microsoft.com/office/drawing/2012/chart">
            <c:ext xmlns:c16="http://schemas.microsoft.com/office/drawing/2014/chart" uri="{C3380CC4-5D6E-409C-BE32-E72D297353CC}">
              <c16:uniqueId val="{00000001-1A08-4599-99BC-DFC1B0AAD252}"/>
            </c:ext>
          </c:extLst>
        </c:ser>
        <c:ser>
          <c:idx val="2"/>
          <c:order val="1"/>
          <c:tx>
            <c:strRef>
              <c:f>'Gráficos vino espumoso'!$P$29</c:f>
              <c:strCache>
                <c:ptCount val="1"/>
                <c:pt idx="0">
                  <c:v>2020</c:v>
                </c:pt>
              </c:strCache>
            </c:strRef>
          </c:tx>
          <c:spPr>
            <a:ln w="28575" cap="rnd">
              <a:solidFill>
                <a:schemeClr val="accent4"/>
              </a:solidFill>
              <a:round/>
            </a:ln>
            <a:effectLst/>
          </c:spPr>
          <c:marker>
            <c:symbol val="none"/>
          </c:marker>
          <c:cat>
            <c:strRef>
              <c:f>'Gráficos vino espumoso'!$Q$23:$AB$23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espumoso'!$Q$29:$AB$29</c:f>
              <c:numCache>
                <c:formatCode>0.00</c:formatCode>
                <c:ptCount val="12"/>
                <c:pt idx="0">
                  <c:v>4.4693818434811696</c:v>
                </c:pt>
                <c:pt idx="1">
                  <c:v>3.9132107918652395</c:v>
                </c:pt>
                <c:pt idx="2">
                  <c:v>4.2420096768619313</c:v>
                </c:pt>
                <c:pt idx="3">
                  <c:v>5.746640042928199</c:v>
                </c:pt>
                <c:pt idx="4">
                  <c:v>4.0586170589724118</c:v>
                </c:pt>
                <c:pt idx="5">
                  <c:v>4.0526316476965736</c:v>
                </c:pt>
                <c:pt idx="6">
                  <c:v>4.2482239216695126</c:v>
                </c:pt>
                <c:pt idx="7">
                  <c:v>3.9864440502936431</c:v>
                </c:pt>
                <c:pt idx="8">
                  <c:v>4.0789026769343595</c:v>
                </c:pt>
                <c:pt idx="9">
                  <c:v>4.0561195014550862</c:v>
                </c:pt>
                <c:pt idx="10">
                  <c:v>4.2270077439327496</c:v>
                </c:pt>
                <c:pt idx="11">
                  <c:v>3.8210958853406258</c:v>
                </c:pt>
              </c:numCache>
            </c:numRef>
          </c:val>
          <c:smooth val="0"/>
          <c:extLst>
            <c:ext xmlns:c16="http://schemas.microsoft.com/office/drawing/2014/chart" uri="{C3380CC4-5D6E-409C-BE32-E72D297353CC}">
              <c16:uniqueId val="{00000002-1A08-4599-99BC-DFC1B0AAD252}"/>
            </c:ext>
          </c:extLst>
        </c:ser>
        <c:ser>
          <c:idx val="3"/>
          <c:order val="2"/>
          <c:tx>
            <c:strRef>
              <c:f>'Gráficos vino espumoso'!$P$30</c:f>
              <c:strCache>
                <c:ptCount val="1"/>
                <c:pt idx="0">
                  <c:v>2021</c:v>
                </c:pt>
              </c:strCache>
            </c:strRef>
          </c:tx>
          <c:spPr>
            <a:ln w="28575" cap="rnd">
              <a:solidFill>
                <a:schemeClr val="accent5"/>
              </a:solidFill>
              <a:round/>
            </a:ln>
            <a:effectLst/>
          </c:spPr>
          <c:marker>
            <c:symbol val="none"/>
          </c:marker>
          <c:cat>
            <c:strRef>
              <c:f>'Gráficos vino espumoso'!$Q$23:$AB$23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espumoso'!$Q$30:$AB$30</c:f>
              <c:numCache>
                <c:formatCode>0.00</c:formatCode>
                <c:ptCount val="12"/>
                <c:pt idx="0">
                  <c:v>4.5750153804713802</c:v>
                </c:pt>
                <c:pt idx="1">
                  <c:v>3.8392963051335753</c:v>
                </c:pt>
                <c:pt idx="2">
                  <c:v>4.0674741215852865</c:v>
                </c:pt>
                <c:pt idx="3">
                  <c:v>4.1521882329924491</c:v>
                </c:pt>
                <c:pt idx="4">
                  <c:v>3.5805153813269777</c:v>
                </c:pt>
                <c:pt idx="5">
                  <c:v>4.3186666443809303</c:v>
                </c:pt>
                <c:pt idx="6">
                  <c:v>4.0771028674584917</c:v>
                </c:pt>
                <c:pt idx="7">
                  <c:v>4.1363708174486895</c:v>
                </c:pt>
                <c:pt idx="8">
                  <c:v>4.0218833098296969</c:v>
                </c:pt>
                <c:pt idx="9">
                  <c:v>4.071031272658634</c:v>
                </c:pt>
                <c:pt idx="10">
                  <c:v>4.3917457714697044</c:v>
                </c:pt>
                <c:pt idx="11">
                  <c:v>3.5542935659506876</c:v>
                </c:pt>
              </c:numCache>
            </c:numRef>
          </c:val>
          <c:smooth val="0"/>
          <c:extLst>
            <c:ext xmlns:c16="http://schemas.microsoft.com/office/drawing/2014/chart" uri="{C3380CC4-5D6E-409C-BE32-E72D297353CC}">
              <c16:uniqueId val="{00000003-1A08-4599-99BC-DFC1B0AAD252}"/>
            </c:ext>
          </c:extLst>
        </c:ser>
        <c:ser>
          <c:idx val="4"/>
          <c:order val="3"/>
          <c:tx>
            <c:strRef>
              <c:f>'Gráficos vino espumoso'!$P$31</c:f>
              <c:strCache>
                <c:ptCount val="1"/>
                <c:pt idx="0">
                  <c:v>2022</c:v>
                </c:pt>
              </c:strCache>
            </c:strRef>
          </c:tx>
          <c:spPr>
            <a:ln w="28575" cap="rnd">
              <a:solidFill>
                <a:schemeClr val="accent6"/>
              </a:solidFill>
              <a:round/>
            </a:ln>
            <a:effectLst/>
          </c:spPr>
          <c:marker>
            <c:symbol val="none"/>
          </c:marker>
          <c:cat>
            <c:strRef>
              <c:f>'Gráficos vino espumoso'!$Q$23:$AB$23</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'Gráficos vino espumoso'!$Q$31:$AB$31</c:f>
              <c:numCache>
                <c:formatCode>0.00</c:formatCode>
                <c:ptCount val="12"/>
                <c:pt idx="0">
                  <c:v>3.7835204219413101</c:v>
                </c:pt>
                <c:pt idx="1">
                  <c:v>3.9860763992282124</c:v>
                </c:pt>
                <c:pt idx="2">
                  <c:v>4.1709364868998824</c:v>
                </c:pt>
                <c:pt idx="3">
                  <c:v>4.2067712604460263</c:v>
                </c:pt>
                <c:pt idx="4">
                  <c:v>3.5940170940170946</c:v>
                </c:pt>
                <c:pt idx="5">
                  <c:v>4.0469570590052522</c:v>
                </c:pt>
                <c:pt idx="6">
                  <c:v>4.0462758924636404</c:v>
                </c:pt>
                <c:pt idx="7">
                  <c:v>4.0148698884758369</c:v>
                </c:pt>
              </c:numCache>
            </c:numRef>
          </c:val>
          <c:smooth val="0"/>
          <c:extLst>
            <c:ext xmlns:c16="http://schemas.microsoft.com/office/drawing/2014/chart" uri="{C3380CC4-5D6E-409C-BE32-E72D297353CC}">
              <c16:uniqueId val="{00000004-1A08-4599-99BC-DFC1B0AAD252}"/>
            </c:ext>
          </c:extLst>
        </c:ser>
        <c:dLbls>
          <c:showLegendKey val="0"/>
          <c:showVal val="0"/>
          <c:showCatName val="0"/>
          <c:showSerName val="0"/>
          <c:showPercent val="0"/>
          <c:showBubbleSize val="0"/>
        </c:dLbls>
        <c:smooth val="0"/>
        <c:axId val="-1545868224"/>
        <c:axId val="-1545865472"/>
        <c:extLst/>
      </c:lineChart>
      <c:catAx>
        <c:axId val="-1545868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65472"/>
        <c:crosses val="autoZero"/>
        <c:auto val="1"/>
        <c:lblAlgn val="ctr"/>
        <c:lblOffset val="100"/>
        <c:noMultiLvlLbl val="0"/>
      </c:catAx>
      <c:valAx>
        <c:axId val="-1545865472"/>
        <c:scaling>
          <c:orientation val="minMax"/>
          <c:max val="5.8"/>
          <c:min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USD/lt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682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s-CL" sz="1100" b="1"/>
              <a:t>Gráfico 22. Valor</a:t>
            </a:r>
            <a:r>
              <a:rPr lang="es-CL" sz="1100" b="1" baseline="0"/>
              <a:t> medio de exportación vino a granel</a:t>
            </a:r>
          </a:p>
          <a:p>
            <a:pPr>
              <a:defRPr sz="1100" b="1"/>
            </a:pPr>
            <a:r>
              <a:rPr lang="es-CL" sz="1100" b="1" baseline="0"/>
              <a:t>USD/litro</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925625122547756"/>
          <c:y val="0.13661141804788213"/>
          <c:w val="0.83921420978818817"/>
          <c:h val="0.49275094344550219"/>
        </c:manualLayout>
      </c:layout>
      <c:lineChart>
        <c:grouping val="standard"/>
        <c:varyColors val="0"/>
        <c:ser>
          <c:idx val="2"/>
          <c:order val="2"/>
          <c:tx>
            <c:strRef>
              <c:f>'Valor granel exp'!$V$1</c:f>
              <c:strCache>
                <c:ptCount val="1"/>
                <c:pt idx="0">
                  <c:v>Vinos Blancos</c:v>
                </c:pt>
              </c:strCache>
            </c:strRef>
          </c:tx>
          <c:spPr>
            <a:ln w="28575" cap="rnd">
              <a:solidFill>
                <a:srgbClr val="92D050"/>
              </a:solidFill>
              <a:round/>
            </a:ln>
            <a:effectLst/>
          </c:spPr>
          <c:marker>
            <c:symbol val="none"/>
          </c:marker>
          <c:cat>
            <c:numRef>
              <c:f>'Valor granel exp'!$U$4:$U$23</c:f>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f>'Valor granel exp'!$X$4:$X$23</c:f>
              <c:numCache>
                <c:formatCode>_ * #,##0.00_ ;_ * \-#,##0.00_ ;_ * "-"_ ;_ @_ </c:formatCode>
                <c:ptCount val="20"/>
                <c:pt idx="0">
                  <c:v>0.72637539435250487</c:v>
                </c:pt>
                <c:pt idx="1">
                  <c:v>0.75391454749319098</c:v>
                </c:pt>
                <c:pt idx="2">
                  <c:v>0.72884931527897667</c:v>
                </c:pt>
                <c:pt idx="3">
                  <c:v>0.75880534619469153</c:v>
                </c:pt>
                <c:pt idx="4">
                  <c:v>0.75510014075787635</c:v>
                </c:pt>
                <c:pt idx="5">
                  <c:v>0.78990974340857323</c:v>
                </c:pt>
                <c:pt idx="6">
                  <c:v>0.80338663995857007</c:v>
                </c:pt>
                <c:pt idx="7">
                  <c:v>0.76444588421790149</c:v>
                </c:pt>
                <c:pt idx="8">
                  <c:v>0.80509489296276593</c:v>
                </c:pt>
                <c:pt idx="9">
                  <c:v>0.77611590536407538</c:v>
                </c:pt>
                <c:pt idx="10">
                  <c:v>0.81070180939212233</c:v>
                </c:pt>
                <c:pt idx="11">
                  <c:v>0.86769918656138845</c:v>
                </c:pt>
                <c:pt idx="12">
                  <c:v>0.8513543541409454</c:v>
                </c:pt>
                <c:pt idx="13">
                  <c:v>0.82800790438184757</c:v>
                </c:pt>
                <c:pt idx="14">
                  <c:v>0.86728436469383496</c:v>
                </c:pt>
                <c:pt idx="15">
                  <c:v>0.8926489890889836</c:v>
                </c:pt>
                <c:pt idx="16">
                  <c:v>0.80875524335841276</c:v>
                </c:pt>
                <c:pt idx="17">
                  <c:v>1.0282180469662345</c:v>
                </c:pt>
                <c:pt idx="18">
                  <c:v>0.85862059290661596</c:v>
                </c:pt>
                <c:pt idx="19">
                  <c:v>0.98583792500254619</c:v>
                </c:pt>
              </c:numCache>
            </c:numRef>
          </c:val>
          <c:smooth val="0"/>
          <c:extLst>
            <c:ext xmlns:c16="http://schemas.microsoft.com/office/drawing/2014/chart" uri="{C3380CC4-5D6E-409C-BE32-E72D297353CC}">
              <c16:uniqueId val="{00000002-98A8-44E5-9A4C-1EEE66311D46}"/>
            </c:ext>
          </c:extLst>
        </c:ser>
        <c:ser>
          <c:idx val="5"/>
          <c:order val="5"/>
          <c:tx>
            <c:strRef>
              <c:f>'Valor granel exp'!$Y$1</c:f>
              <c:strCache>
                <c:ptCount val="1"/>
                <c:pt idx="0">
                  <c:v>Vinos tintos  </c:v>
                </c:pt>
              </c:strCache>
            </c:strRef>
          </c:tx>
          <c:spPr>
            <a:ln w="28575" cap="rnd">
              <a:solidFill>
                <a:srgbClr val="C00000"/>
              </a:solidFill>
              <a:round/>
            </a:ln>
            <a:effectLst/>
          </c:spPr>
          <c:marker>
            <c:symbol val="none"/>
          </c:marker>
          <c:cat>
            <c:numRef>
              <c:f>'Valor granel exp'!$U$4:$U$23</c:f>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f>'Valor granel exp'!$AA$4:$AA$23</c:f>
              <c:numCache>
                <c:formatCode>_ * #,##0.00_ ;_ * \-#,##0.00_ ;_ * "-"_ ;_ @_ </c:formatCode>
                <c:ptCount val="20"/>
                <c:pt idx="0">
                  <c:v>0.68189663446757187</c:v>
                </c:pt>
                <c:pt idx="1">
                  <c:v>0.72061444479909664</c:v>
                </c:pt>
                <c:pt idx="2">
                  <c:v>0.71874687616854893</c:v>
                </c:pt>
                <c:pt idx="3">
                  <c:v>0.68728517315085802</c:v>
                </c:pt>
                <c:pt idx="4">
                  <c:v>0.72951400391112109</c:v>
                </c:pt>
                <c:pt idx="5">
                  <c:v>0.74983347428048919</c:v>
                </c:pt>
                <c:pt idx="6">
                  <c:v>0.64593360527097743</c:v>
                </c:pt>
                <c:pt idx="7">
                  <c:v>0.67142016420345152</c:v>
                </c:pt>
                <c:pt idx="8">
                  <c:v>0.70305215643391139</c:v>
                </c:pt>
                <c:pt idx="9">
                  <c:v>0.70845363793705918</c:v>
                </c:pt>
                <c:pt idx="10">
                  <c:v>0.69526352525661761</c:v>
                </c:pt>
                <c:pt idx="11">
                  <c:v>0.68335309781427689</c:v>
                </c:pt>
                <c:pt idx="12">
                  <c:v>0.68943946993582972</c:v>
                </c:pt>
                <c:pt idx="13">
                  <c:v>0.69178445840169811</c:v>
                </c:pt>
                <c:pt idx="14">
                  <c:v>0.77222189583177092</c:v>
                </c:pt>
                <c:pt idx="15">
                  <c:v>0.73485407840313677</c:v>
                </c:pt>
                <c:pt idx="16">
                  <c:v>0.67691740787148769</c:v>
                </c:pt>
                <c:pt idx="17">
                  <c:v>0.72360194439095404</c:v>
                </c:pt>
                <c:pt idx="18">
                  <c:v>0.72688585727498478</c:v>
                </c:pt>
                <c:pt idx="19">
                  <c:v>0.8150691104738107</c:v>
                </c:pt>
              </c:numCache>
            </c:numRef>
          </c:val>
          <c:smooth val="0"/>
          <c:extLst>
            <c:ext xmlns:c16="http://schemas.microsoft.com/office/drawing/2014/chart" uri="{C3380CC4-5D6E-409C-BE32-E72D297353CC}">
              <c16:uniqueId val="{00000005-98A8-44E5-9A4C-1EEE66311D46}"/>
            </c:ext>
          </c:extLst>
        </c:ser>
        <c:ser>
          <c:idx val="8"/>
          <c:order val="8"/>
          <c:tx>
            <c:strRef>
              <c:f>'Valor granel exp'!$AB$1</c:f>
              <c:strCache>
                <c:ptCount val="1"/>
                <c:pt idx="0">
                  <c:v>Otros vinos</c:v>
                </c:pt>
              </c:strCache>
            </c:strRef>
          </c:tx>
          <c:spPr>
            <a:ln w="28575" cap="rnd">
              <a:solidFill>
                <a:schemeClr val="accent3">
                  <a:lumMod val="60000"/>
                </a:schemeClr>
              </a:solidFill>
              <a:round/>
            </a:ln>
            <a:effectLst/>
          </c:spPr>
          <c:marker>
            <c:symbol val="none"/>
          </c:marker>
          <c:cat>
            <c:numRef>
              <c:f>'Valor granel exp'!$U$4:$U$23</c:f>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f>'Valor granel exp'!$AD$4:$AD$23</c:f>
              <c:numCache>
                <c:formatCode>0.00</c:formatCode>
                <c:ptCount val="20"/>
                <c:pt idx="0">
                  <c:v>0.77787241666666673</c:v>
                </c:pt>
                <c:pt idx="1">
                  <c:v>0.92571437656091016</c:v>
                </c:pt>
                <c:pt idx="2">
                  <c:v>0.74</c:v>
                </c:pt>
                <c:pt idx="3">
                  <c:v>0.69750000000000001</c:v>
                </c:pt>
                <c:pt idx="4">
                  <c:v>0.69925341745531022</c:v>
                </c:pt>
                <c:pt idx="5">
                  <c:v>0.65</c:v>
                </c:pt>
                <c:pt idx="6">
                  <c:v>0.68833333333333335</c:v>
                </c:pt>
                <c:pt idx="7">
                  <c:v>0.65</c:v>
                </c:pt>
                <c:pt idx="8">
                  <c:v>0.73698553097345121</c:v>
                </c:pt>
                <c:pt idx="9">
                  <c:v>0.7113834722222222</c:v>
                </c:pt>
                <c:pt idx="10">
                  <c:v>0.69881612683014149</c:v>
                </c:pt>
                <c:pt idx="11">
                  <c:v>0.79200000000000004</c:v>
                </c:pt>
                <c:pt idx="12">
                  <c:v>0.65696535929000854</c:v>
                </c:pt>
                <c:pt idx="13">
                  <c:v>0.7156522023809524</c:v>
                </c:pt>
                <c:pt idx="14">
                  <c:v>0.62545420289855069</c:v>
                </c:pt>
                <c:pt idx="15">
                  <c:v>0.85621781610692793</c:v>
                </c:pt>
                <c:pt idx="16">
                  <c:v>0.76119557900540447</c:v>
                </c:pt>
                <c:pt idx="17">
                  <c:v>0.87828131481007965</c:v>
                </c:pt>
                <c:pt idx="18">
                  <c:v>0.86256128623188388</c:v>
                </c:pt>
                <c:pt idx="19">
                  <c:v>0.83794708046623656</c:v>
                </c:pt>
              </c:numCache>
            </c:numRef>
          </c:val>
          <c:smooth val="0"/>
          <c:extLst>
            <c:ext xmlns:c16="http://schemas.microsoft.com/office/drawing/2014/chart" uri="{C3380CC4-5D6E-409C-BE32-E72D297353CC}">
              <c16:uniqueId val="{00000008-98A8-44E5-9A4C-1EEE66311D46}"/>
            </c:ext>
          </c:extLst>
        </c:ser>
        <c:ser>
          <c:idx val="9"/>
          <c:order val="9"/>
          <c:tx>
            <c:strRef>
              <c:f>'Valor granel exp'!$AE$1:$AG$1</c:f>
              <c:strCache>
                <c:ptCount val="1"/>
                <c:pt idx="0">
                  <c:v>Total</c:v>
                </c:pt>
              </c:strCache>
            </c:strRef>
          </c:tx>
          <c:spPr>
            <a:ln w="28575" cap="rnd">
              <a:solidFill>
                <a:schemeClr val="accent4">
                  <a:lumMod val="60000"/>
                </a:schemeClr>
              </a:solidFill>
              <a:round/>
            </a:ln>
            <a:effectLst/>
          </c:spPr>
          <c:marker>
            <c:symbol val="none"/>
          </c:marker>
          <c:cat>
            <c:numRef>
              <c:f>'Valor granel exp'!$U$4:$U$23</c:f>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f>'Valor granel exp'!$AG$4:$AG$23</c:f>
              <c:numCache>
                <c:formatCode>0.00</c:formatCode>
                <c:ptCount val="20"/>
                <c:pt idx="0">
                  <c:v>0.69546578032975259</c:v>
                </c:pt>
                <c:pt idx="1">
                  <c:v>0.73521877800085644</c:v>
                </c:pt>
                <c:pt idx="2">
                  <c:v>0.72136700273245014</c:v>
                </c:pt>
                <c:pt idx="3">
                  <c:v>0.70824517121192876</c:v>
                </c:pt>
                <c:pt idx="4">
                  <c:v>0.73535609371297017</c:v>
                </c:pt>
                <c:pt idx="5">
                  <c:v>0.75770032335484272</c:v>
                </c:pt>
                <c:pt idx="6">
                  <c:v>0.69342591179418156</c:v>
                </c:pt>
                <c:pt idx="7">
                  <c:v>0.70330995653608808</c:v>
                </c:pt>
                <c:pt idx="8">
                  <c:v>0.75709894781479048</c:v>
                </c:pt>
                <c:pt idx="9">
                  <c:v>0.72851319580297647</c:v>
                </c:pt>
                <c:pt idx="10">
                  <c:v>0.73480793165124647</c:v>
                </c:pt>
                <c:pt idx="11">
                  <c:v>0.72918859400097658</c:v>
                </c:pt>
                <c:pt idx="12">
                  <c:v>0.74487153570330178</c:v>
                </c:pt>
                <c:pt idx="13">
                  <c:v>0.74019576978784707</c:v>
                </c:pt>
                <c:pt idx="14">
                  <c:v>0.80289099634829986</c:v>
                </c:pt>
                <c:pt idx="15">
                  <c:v>0.77774068587133083</c:v>
                </c:pt>
                <c:pt idx="16">
                  <c:v>0.70905625464109934</c:v>
                </c:pt>
                <c:pt idx="17">
                  <c:v>0.81718427475424193</c:v>
                </c:pt>
                <c:pt idx="18">
                  <c:v>0.78667683477337569</c:v>
                </c:pt>
                <c:pt idx="19">
                  <c:v>0.89056503704929035</c:v>
                </c:pt>
              </c:numCache>
            </c:numRef>
          </c:val>
          <c:smooth val="0"/>
          <c:extLst>
            <c:ext xmlns:c16="http://schemas.microsoft.com/office/drawing/2014/chart" uri="{C3380CC4-5D6E-409C-BE32-E72D297353CC}">
              <c16:uniqueId val="{00000000-234E-4B57-8161-8F80A43F9886}"/>
            </c:ext>
          </c:extLst>
        </c:ser>
        <c:dLbls>
          <c:showLegendKey val="0"/>
          <c:showVal val="0"/>
          <c:showCatName val="0"/>
          <c:showSerName val="0"/>
          <c:showPercent val="0"/>
          <c:showBubbleSize val="0"/>
        </c:dLbls>
        <c:smooth val="0"/>
        <c:axId val="1865862127"/>
        <c:axId val="1865861295"/>
        <c:extLst>
          <c:ext xmlns:c15="http://schemas.microsoft.com/office/drawing/2012/chart" uri="{02D57815-91ED-43cb-92C2-25804820EDAC}">
            <c15:filteredLineSeries>
              <c15:ser>
                <c:idx val="0"/>
                <c:order val="0"/>
                <c:tx>
                  <c:strRef>
                    <c:extLst>
                      <c:ext uri="{02D57815-91ED-43cb-92C2-25804820EDAC}">
                        <c15:formulaRef>
                          <c15:sqref>'Valor granel exp'!$V$1:$V$3</c15:sqref>
                        </c15:formulaRef>
                      </c:ext>
                    </c:extLst>
                    <c:strCache>
                      <c:ptCount val="3"/>
                      <c:pt idx="0">
                        <c:v>Vinos Blancos</c:v>
                      </c:pt>
                      <c:pt idx="2">
                        <c:v>Val</c:v>
                      </c:pt>
                    </c:strCache>
                  </c:strRef>
                </c:tx>
                <c:spPr>
                  <a:ln w="28575" cap="rnd">
                    <a:solidFill>
                      <a:schemeClr val="accent1"/>
                    </a:solidFill>
                    <a:round/>
                  </a:ln>
                  <a:effectLst/>
                </c:spPr>
                <c:marker>
                  <c:symbol val="none"/>
                </c:marker>
                <c:cat>
                  <c:numRef>
                    <c:extLst>
                      <c:ext uri="{02D57815-91ED-43cb-92C2-25804820EDAC}">
                        <c15:formulaRef>
                          <c15:sqref>'Valor granel exp'!$U$4:$U$23</c15:sqref>
                        </c15:formulaRef>
                      </c:ext>
                    </c:extLst>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extLst>
                      <c:ext uri="{02D57815-91ED-43cb-92C2-25804820EDAC}">
                        <c15:formulaRef>
                          <c15:sqref>'Valor granel exp'!$V$4:$V$18</c15:sqref>
                        </c15:formulaRef>
                      </c:ext>
                    </c:extLst>
                    <c:numCache>
                      <c:formatCode>_(* #,##0_);_(* \(#,##0\);_(* "-"_);_(@_)</c:formatCode>
                      <c:ptCount val="15"/>
                      <c:pt idx="0">
                        <c:v>4845465.03</c:v>
                      </c:pt>
                      <c:pt idx="1">
                        <c:v>5883360.6499999892</c:v>
                      </c:pt>
                      <c:pt idx="2">
                        <c:v>4079387.1099999989</c:v>
                      </c:pt>
                      <c:pt idx="3">
                        <c:v>4565724.1799999969</c:v>
                      </c:pt>
                      <c:pt idx="4">
                        <c:v>4225105.4499999993</c:v>
                      </c:pt>
                      <c:pt idx="5">
                        <c:v>4695440.7399999965</c:v>
                      </c:pt>
                      <c:pt idx="6">
                        <c:v>4888243.7699999977</c:v>
                      </c:pt>
                      <c:pt idx="7">
                        <c:v>6603232.3299999908</c:v>
                      </c:pt>
                      <c:pt idx="8">
                        <c:v>10296815.880000016</c:v>
                      </c:pt>
                      <c:pt idx="9">
                        <c:v>6138665.4699999932</c:v>
                      </c:pt>
                      <c:pt idx="10">
                        <c:v>5930259.8199999975</c:v>
                      </c:pt>
                      <c:pt idx="11">
                        <c:v>5989602.9699999932</c:v>
                      </c:pt>
                      <c:pt idx="12">
                        <c:v>7511394.7500000019</c:v>
                      </c:pt>
                      <c:pt idx="13">
                        <c:v>6359556.1099999994</c:v>
                      </c:pt>
                      <c:pt idx="14">
                        <c:v>7566842.7299999958</c:v>
                      </c:pt>
                    </c:numCache>
                  </c:numRef>
                </c:val>
                <c:smooth val="0"/>
                <c:extLst>
                  <c:ext xmlns:c16="http://schemas.microsoft.com/office/drawing/2014/chart" uri="{C3380CC4-5D6E-409C-BE32-E72D297353CC}">
                    <c16:uniqueId val="{00000000-98A8-44E5-9A4C-1EEE66311D46}"/>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'Valor granel exp'!$W$1:$W$3</c15:sqref>
                        </c15:formulaRef>
                      </c:ext>
                    </c:extLst>
                    <c:strCache>
                      <c:ptCount val="3"/>
                      <c:pt idx="0">
                        <c:v>Vinos Blancos</c:v>
                      </c:pt>
                      <c:pt idx="2">
                        <c:v>Vol</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'Valor granel exp'!$U$4:$U$23</c15:sqref>
                        </c15:formulaRef>
                      </c:ext>
                    </c:extLst>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extLst xmlns:c15="http://schemas.microsoft.com/office/drawing/2012/chart">
                      <c:ext xmlns:c15="http://schemas.microsoft.com/office/drawing/2012/chart" uri="{02D57815-91ED-43cb-92C2-25804820EDAC}">
                        <c15:formulaRef>
                          <c15:sqref>'Valor granel exp'!$W$4:$W$18</c15:sqref>
                        </c15:formulaRef>
                      </c:ext>
                    </c:extLst>
                    <c:numCache>
                      <c:formatCode>_(* #,##0_);_(* \(#,##0\);_(* "-"_);_(@_)</c:formatCode>
                      <c:ptCount val="15"/>
                      <c:pt idx="0">
                        <c:v>6670745</c:v>
                      </c:pt>
                      <c:pt idx="1">
                        <c:v>7803750</c:v>
                      </c:pt>
                      <c:pt idx="2">
                        <c:v>5597024</c:v>
                      </c:pt>
                      <c:pt idx="3">
                        <c:v>6016990</c:v>
                      </c:pt>
                      <c:pt idx="4">
                        <c:v>5595424</c:v>
                      </c:pt>
                      <c:pt idx="5">
                        <c:v>5944275</c:v>
                      </c:pt>
                      <c:pt idx="6">
                        <c:v>6084547</c:v>
                      </c:pt>
                      <c:pt idx="7">
                        <c:v>8637933</c:v>
                      </c:pt>
                      <c:pt idx="8">
                        <c:v>12789568</c:v>
                      </c:pt>
                      <c:pt idx="9">
                        <c:v>7909470</c:v>
                      </c:pt>
                      <c:pt idx="10">
                        <c:v>7314970.5</c:v>
                      </c:pt>
                      <c:pt idx="11">
                        <c:v>6902856.5</c:v>
                      </c:pt>
                      <c:pt idx="12">
                        <c:v>8822877</c:v>
                      </c:pt>
                      <c:pt idx="13">
                        <c:v>7680550</c:v>
                      </c:pt>
                      <c:pt idx="14">
                        <c:v>8724754</c:v>
                      </c:pt>
                    </c:numCache>
                  </c:numRef>
                </c:val>
                <c:smooth val="0"/>
                <c:extLst xmlns:c15="http://schemas.microsoft.com/office/drawing/2012/chart">
                  <c:ext xmlns:c16="http://schemas.microsoft.com/office/drawing/2014/chart" uri="{C3380CC4-5D6E-409C-BE32-E72D297353CC}">
                    <c16:uniqueId val="{00000001-98A8-44E5-9A4C-1EEE66311D46}"/>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'Valor granel exp'!$Y$1:$Y$3</c15:sqref>
                        </c15:formulaRef>
                      </c:ext>
                    </c:extLst>
                    <c:strCache>
                      <c:ptCount val="3"/>
                      <c:pt idx="0">
                        <c:v>Vinos tintos  </c:v>
                      </c:pt>
                      <c:pt idx="1">
                        <c:v>22042994</c:v>
                      </c:pt>
                      <c:pt idx="2">
                        <c:v>Val</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'Valor granel exp'!$U$4:$U$23</c15:sqref>
                        </c15:formulaRef>
                      </c:ext>
                    </c:extLst>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extLst xmlns:c15="http://schemas.microsoft.com/office/drawing/2012/chart">
                      <c:ext xmlns:c15="http://schemas.microsoft.com/office/drawing/2012/chart" uri="{02D57815-91ED-43cb-92C2-25804820EDAC}">
                        <c15:formulaRef>
                          <c15:sqref>'Valor granel exp'!$Y$4:$Y$18</c15:sqref>
                        </c15:formulaRef>
                      </c:ext>
                    </c:extLst>
                    <c:numCache>
                      <c:formatCode>_(* #,##0_);_(* \(#,##0\);_(* "-"_);_(@_)</c:formatCode>
                      <c:ptCount val="15"/>
                      <c:pt idx="0">
                        <c:v>11355662.840000005</c:v>
                      </c:pt>
                      <c:pt idx="1">
                        <c:v>10450716.030000012</c:v>
                      </c:pt>
                      <c:pt idx="2">
                        <c:v>12714786.770000007</c:v>
                      </c:pt>
                      <c:pt idx="3">
                        <c:v>9941650.8199999966</c:v>
                      </c:pt>
                      <c:pt idx="4">
                        <c:v>9936826.2400000021</c:v>
                      </c:pt>
                      <c:pt idx="5">
                        <c:v>12829087.619999986</c:v>
                      </c:pt>
                      <c:pt idx="6">
                        <c:v>9079823.4499999974</c:v>
                      </c:pt>
                      <c:pt idx="7">
                        <c:v>9852495.3600000031</c:v>
                      </c:pt>
                      <c:pt idx="8">
                        <c:v>7866796.4800000004</c:v>
                      </c:pt>
                      <c:pt idx="9">
                        <c:v>12774771.529999999</c:v>
                      </c:pt>
                      <c:pt idx="10">
                        <c:v>9400170.049999997</c:v>
                      </c:pt>
                      <c:pt idx="11">
                        <c:v>14591720.699999992</c:v>
                      </c:pt>
                      <c:pt idx="12">
                        <c:v>10539186.779999994</c:v>
                      </c:pt>
                      <c:pt idx="13">
                        <c:v>9519800.1999999918</c:v>
                      </c:pt>
                      <c:pt idx="14">
                        <c:v>11679882.429999994</c:v>
                      </c:pt>
                    </c:numCache>
                  </c:numRef>
                </c:val>
                <c:smooth val="0"/>
                <c:extLst xmlns:c15="http://schemas.microsoft.com/office/drawing/2012/chart">
                  <c:ext xmlns:c16="http://schemas.microsoft.com/office/drawing/2014/chart" uri="{C3380CC4-5D6E-409C-BE32-E72D297353CC}">
                    <c16:uniqueId val="{00000003-98A8-44E5-9A4C-1EEE66311D46}"/>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'Valor granel exp'!$Z$1:$Z$3</c15:sqref>
                        </c15:formulaRef>
                      </c:ext>
                    </c:extLst>
                    <c:strCache>
                      <c:ptCount val="3"/>
                      <c:pt idx="0">
                        <c:v>Vinos tintos  </c:v>
                      </c:pt>
                      <c:pt idx="1">
                        <c:v>22042994</c:v>
                      </c:pt>
                      <c:pt idx="2">
                        <c:v>Vol</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'Valor granel exp'!$U$4:$U$23</c15:sqref>
                        </c15:formulaRef>
                      </c:ext>
                    </c:extLst>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extLst xmlns:c15="http://schemas.microsoft.com/office/drawing/2012/chart">
                      <c:ext xmlns:c15="http://schemas.microsoft.com/office/drawing/2012/chart" uri="{02D57815-91ED-43cb-92C2-25804820EDAC}">
                        <c15:formulaRef>
                          <c15:sqref>'Valor granel exp'!$Z$4:$Z$18</c15:sqref>
                        </c15:formulaRef>
                      </c:ext>
                    </c:extLst>
                    <c:numCache>
                      <c:formatCode>_(* #,##0_);_(* \(#,##0\);_(* "-"_);_(@_)</c:formatCode>
                      <c:ptCount val="15"/>
                      <c:pt idx="0">
                        <c:v>16653056</c:v>
                      </c:pt>
                      <c:pt idx="1">
                        <c:v>14502507</c:v>
                      </c:pt>
                      <c:pt idx="2">
                        <c:v>17690215</c:v>
                      </c:pt>
                      <c:pt idx="3">
                        <c:v>14465103</c:v>
                      </c:pt>
                      <c:pt idx="4">
                        <c:v>13621159</c:v>
                      </c:pt>
                      <c:pt idx="5">
                        <c:v>17109249</c:v>
                      </c:pt>
                      <c:pt idx="6">
                        <c:v>14056899</c:v>
                      </c:pt>
                      <c:pt idx="7">
                        <c:v>14674113</c:v>
                      </c:pt>
                      <c:pt idx="8">
                        <c:v>11189492</c:v>
                      </c:pt>
                      <c:pt idx="9">
                        <c:v>18031909</c:v>
                      </c:pt>
                      <c:pt idx="10">
                        <c:v>13520298</c:v>
                      </c:pt>
                      <c:pt idx="11">
                        <c:v>21353120</c:v>
                      </c:pt>
                      <c:pt idx="12">
                        <c:v>15286602</c:v>
                      </c:pt>
                      <c:pt idx="13">
                        <c:v>13761223</c:v>
                      </c:pt>
                      <c:pt idx="14">
                        <c:v>15125034</c:v>
                      </c:pt>
                    </c:numCache>
                  </c:numRef>
                </c:val>
                <c:smooth val="0"/>
                <c:extLst xmlns:c15="http://schemas.microsoft.com/office/drawing/2012/chart">
                  <c:ext xmlns:c16="http://schemas.microsoft.com/office/drawing/2014/chart" uri="{C3380CC4-5D6E-409C-BE32-E72D297353CC}">
                    <c16:uniqueId val="{00000004-98A8-44E5-9A4C-1EEE66311D46}"/>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'Valor granel exp'!$AB$1:$AB$3</c15:sqref>
                        </c15:formulaRef>
                      </c:ext>
                    </c:extLst>
                    <c:strCache>
                      <c:ptCount val="3"/>
                      <c:pt idx="0">
                        <c:v>Otros vinos</c:v>
                      </c:pt>
                      <c:pt idx="2">
                        <c:v>Val</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'Valor granel exp'!$U$4:$U$23</c15:sqref>
                        </c15:formulaRef>
                      </c:ext>
                    </c:extLst>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extLst xmlns:c15="http://schemas.microsoft.com/office/drawing/2012/chart">
                      <c:ext xmlns:c15="http://schemas.microsoft.com/office/drawing/2012/chart" uri="{02D57815-91ED-43cb-92C2-25804820EDAC}">
                        <c15:formulaRef>
                          <c15:sqref>'Valor granel exp'!$AB$4:$AB$18</c15:sqref>
                        </c15:formulaRef>
                      </c:ext>
                    </c:extLst>
                    <c:numCache>
                      <c:formatCode>_(* #,##0_);_(* \(#,##0\);_(* "-"_);_(@_)</c:formatCode>
                      <c:ptCount val="15"/>
                      <c:pt idx="0">
                        <c:v>186689.38</c:v>
                      </c:pt>
                      <c:pt idx="1">
                        <c:v>320252.74</c:v>
                      </c:pt>
                      <c:pt idx="2">
                        <c:v>177600</c:v>
                      </c:pt>
                      <c:pt idx="3">
                        <c:v>66960</c:v>
                      </c:pt>
                      <c:pt idx="4">
                        <c:v>598491</c:v>
                      </c:pt>
                      <c:pt idx="5">
                        <c:v>343200</c:v>
                      </c:pt>
                      <c:pt idx="6">
                        <c:v>198240</c:v>
                      </c:pt>
                      <c:pt idx="7">
                        <c:v>733200</c:v>
                      </c:pt>
                      <c:pt idx="8">
                        <c:v>333117.45999999996</c:v>
                      </c:pt>
                      <c:pt idx="9">
                        <c:v>614635.31999999995</c:v>
                      </c:pt>
                      <c:pt idx="10">
                        <c:v>398208.49000000005</c:v>
                      </c:pt>
                      <c:pt idx="11">
                        <c:v>285120</c:v>
                      </c:pt>
                      <c:pt idx="12">
                        <c:v>688434</c:v>
                      </c:pt>
                      <c:pt idx="13">
                        <c:v>240459.14</c:v>
                      </c:pt>
                      <c:pt idx="14">
                        <c:v>345250.72</c:v>
                      </c:pt>
                    </c:numCache>
                  </c:numRef>
                </c:val>
                <c:smooth val="0"/>
                <c:extLst xmlns:c15="http://schemas.microsoft.com/office/drawing/2012/chart">
                  <c:ext xmlns:c16="http://schemas.microsoft.com/office/drawing/2014/chart" uri="{C3380CC4-5D6E-409C-BE32-E72D297353CC}">
                    <c16:uniqueId val="{00000006-98A8-44E5-9A4C-1EEE66311D46}"/>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'Valor granel exp'!$AC$1:$AC$3</c15:sqref>
                        </c15:formulaRef>
                      </c:ext>
                    </c:extLst>
                    <c:strCache>
                      <c:ptCount val="3"/>
                      <c:pt idx="0">
                        <c:v>Otros vinos</c:v>
                      </c:pt>
                      <c:pt idx="2">
                        <c:v>Vol</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'Valor granel exp'!$U$4:$U$23</c15:sqref>
                        </c15:formulaRef>
                      </c:ext>
                    </c:extLst>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extLst xmlns:c15="http://schemas.microsoft.com/office/drawing/2012/chart">
                      <c:ext xmlns:c15="http://schemas.microsoft.com/office/drawing/2012/chart" uri="{02D57815-91ED-43cb-92C2-25804820EDAC}">
                        <c15:formulaRef>
                          <c15:sqref>'Valor granel exp'!$AC$4:$AC$18</c15:sqref>
                        </c15:formulaRef>
                      </c:ext>
                    </c:extLst>
                    <c:numCache>
                      <c:formatCode>_(* #,##0_);_(* \(#,##0\);_(* "-"_);_(@_)</c:formatCode>
                      <c:ptCount val="15"/>
                      <c:pt idx="0">
                        <c:v>240000</c:v>
                      </c:pt>
                      <c:pt idx="1">
                        <c:v>345952</c:v>
                      </c:pt>
                      <c:pt idx="2">
                        <c:v>240000</c:v>
                      </c:pt>
                      <c:pt idx="3">
                        <c:v>96000</c:v>
                      </c:pt>
                      <c:pt idx="4">
                        <c:v>855900</c:v>
                      </c:pt>
                      <c:pt idx="5">
                        <c:v>528000</c:v>
                      </c:pt>
                      <c:pt idx="6">
                        <c:v>288000</c:v>
                      </c:pt>
                      <c:pt idx="7">
                        <c:v>1128000</c:v>
                      </c:pt>
                      <c:pt idx="8">
                        <c:v>452000</c:v>
                      </c:pt>
                      <c:pt idx="9">
                        <c:v>864000</c:v>
                      </c:pt>
                      <c:pt idx="10">
                        <c:v>569833</c:v>
                      </c:pt>
                      <c:pt idx="11">
                        <c:v>360000</c:v>
                      </c:pt>
                      <c:pt idx="12">
                        <c:v>1047900</c:v>
                      </c:pt>
                      <c:pt idx="13">
                        <c:v>336000</c:v>
                      </c:pt>
                      <c:pt idx="14">
                        <c:v>552000</c:v>
                      </c:pt>
                    </c:numCache>
                  </c:numRef>
                </c:val>
                <c:smooth val="0"/>
                <c:extLst xmlns:c15="http://schemas.microsoft.com/office/drawing/2012/chart">
                  <c:ext xmlns:c16="http://schemas.microsoft.com/office/drawing/2014/chart" uri="{C3380CC4-5D6E-409C-BE32-E72D297353CC}">
                    <c16:uniqueId val="{00000007-98A8-44E5-9A4C-1EEE66311D46}"/>
                  </c:ext>
                </c:extLst>
              </c15:ser>
            </c15:filteredLineSeries>
          </c:ext>
        </c:extLst>
      </c:lineChart>
      <c:dateAx>
        <c:axId val="1865862127"/>
        <c:scaling>
          <c:orientation val="minMax"/>
        </c:scaling>
        <c:delete val="1"/>
        <c:axPos val="b"/>
        <c:numFmt formatCode="mmm\-yy" sourceLinked="1"/>
        <c:majorTickMark val="out"/>
        <c:minorTickMark val="none"/>
        <c:tickLblPos val="nextTo"/>
        <c:crossAx val="1865861295"/>
        <c:crosses val="autoZero"/>
        <c:auto val="1"/>
        <c:lblOffset val="100"/>
        <c:baseTimeUnit val="months"/>
      </c:dateAx>
      <c:valAx>
        <c:axId val="1865861295"/>
        <c:scaling>
          <c:orientation val="minMax"/>
          <c:min val="0.600000000000000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USD / litro</a:t>
                </a:r>
              </a:p>
            </c:rich>
          </c:tx>
          <c:layout>
            <c:manualLayout>
              <c:xMode val="edge"/>
              <c:yMode val="edge"/>
              <c:x val="2.2854324685107699E-2"/>
              <c:y val="0.2825507170719682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_ * #,##0.00_ ;_ * \-#,##0.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65862127"/>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s-CL" sz="1100" b="1"/>
              <a:t>Gráfico 23. Valor</a:t>
            </a:r>
            <a:r>
              <a:rPr lang="es-CL" sz="1100" b="1" baseline="0"/>
              <a:t> medio de exportación vino a granel</a:t>
            </a:r>
          </a:p>
          <a:p>
            <a:pPr>
              <a:defRPr sz="1100" b="1"/>
            </a:pPr>
            <a:r>
              <a:rPr lang="es-CL" sz="1100" b="1" baseline="0"/>
              <a:t>CLP / litro</a:t>
            </a:r>
          </a:p>
        </c:rich>
      </c:tx>
      <c:layout>
        <c:manualLayout>
          <c:xMode val="edge"/>
          <c:yMode val="edge"/>
          <c:x val="0.3203871905045812"/>
          <c:y val="1.666666666666666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051881129537708"/>
          <c:y val="0.13292817679558011"/>
          <c:w val="0.82078107209075934"/>
          <c:h val="0.48940154749844528"/>
        </c:manualLayout>
      </c:layout>
      <c:lineChart>
        <c:grouping val="standard"/>
        <c:varyColors val="0"/>
        <c:ser>
          <c:idx val="2"/>
          <c:order val="2"/>
          <c:tx>
            <c:strRef>
              <c:f>'Valor granel exp'!$AI$1</c:f>
              <c:strCache>
                <c:ptCount val="1"/>
                <c:pt idx="0">
                  <c:v>Vinos Blancos</c:v>
                </c:pt>
              </c:strCache>
            </c:strRef>
          </c:tx>
          <c:spPr>
            <a:ln w="28575" cap="rnd">
              <a:solidFill>
                <a:srgbClr val="92D050"/>
              </a:solidFill>
              <a:round/>
            </a:ln>
            <a:effectLst/>
          </c:spPr>
          <c:marker>
            <c:symbol val="none"/>
          </c:marker>
          <c:cat>
            <c:numRef>
              <c:f>'Valor granel exp'!$U$4:$U$23</c:f>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f>'Valor granel exp'!$AI$4:$AI$23</c:f>
              <c:numCache>
                <c:formatCode>_(* #,##0_);_(* \(#,##0\);_(* "-"_);_(@_)</c:formatCode>
                <c:ptCount val="20"/>
                <c:pt idx="0">
                  <c:v>525.57618033769836</c:v>
                </c:pt>
                <c:pt idx="1">
                  <c:v>544.80126945500456</c:v>
                </c:pt>
                <c:pt idx="2">
                  <c:v>529.41427713919029</c:v>
                </c:pt>
                <c:pt idx="3">
                  <c:v>537.12036430391242</c:v>
                </c:pt>
                <c:pt idx="4">
                  <c:v>537.82762625620501</c:v>
                </c:pt>
                <c:pt idx="5">
                  <c:v>573.90102497606472</c:v>
                </c:pt>
                <c:pt idx="6">
                  <c:v>602.89347009050937</c:v>
                </c:pt>
                <c:pt idx="7">
                  <c:v>596.13783388964612</c:v>
                </c:pt>
                <c:pt idx="8">
                  <c:v>630.89651097241222</c:v>
                </c:pt>
                <c:pt idx="9">
                  <c:v>631.71954117108919</c:v>
                </c:pt>
                <c:pt idx="10">
                  <c:v>658.79250434822643</c:v>
                </c:pt>
                <c:pt idx="11">
                  <c:v>736.78073329300616</c:v>
                </c:pt>
                <c:pt idx="12">
                  <c:v>699.85584682156411</c:v>
                </c:pt>
                <c:pt idx="13">
                  <c:v>668.26033938945773</c:v>
                </c:pt>
                <c:pt idx="14">
                  <c:v>693.124991419666</c:v>
                </c:pt>
                <c:pt idx="15">
                  <c:v>727.61604398621228</c:v>
                </c:pt>
                <c:pt idx="16">
                  <c:v>686.94861615620221</c:v>
                </c:pt>
                <c:pt idx="17">
                  <c:v>881.97459414622699</c:v>
                </c:pt>
                <c:pt idx="18">
                  <c:v>818.87504566096879</c:v>
                </c:pt>
                <c:pt idx="19">
                  <c:v>891.54252747605267</c:v>
                </c:pt>
              </c:numCache>
            </c:numRef>
          </c:val>
          <c:smooth val="0"/>
          <c:extLst>
            <c:ext xmlns:c16="http://schemas.microsoft.com/office/drawing/2014/chart" uri="{C3380CC4-5D6E-409C-BE32-E72D297353CC}">
              <c16:uniqueId val="{00000000-D806-4E5B-84C5-19BB6B9EF906}"/>
            </c:ext>
          </c:extLst>
        </c:ser>
        <c:ser>
          <c:idx val="5"/>
          <c:order val="5"/>
          <c:tx>
            <c:strRef>
              <c:f>'Valor granel exp'!$AJ$1</c:f>
              <c:strCache>
                <c:ptCount val="1"/>
                <c:pt idx="0">
                  <c:v>Vinos Tintos</c:v>
                </c:pt>
              </c:strCache>
            </c:strRef>
          </c:tx>
          <c:spPr>
            <a:ln w="28575" cap="rnd">
              <a:solidFill>
                <a:srgbClr val="C00000"/>
              </a:solidFill>
              <a:round/>
            </a:ln>
            <a:effectLst/>
          </c:spPr>
          <c:marker>
            <c:symbol val="none"/>
          </c:marker>
          <c:cat>
            <c:numRef>
              <c:f>'Valor granel exp'!$U$4:$U$23</c:f>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f>'Valor granel exp'!$AJ$4:$AJ$23</c:f>
              <c:numCache>
                <c:formatCode>_(* #,##0_);_(* \(#,##0\);_(* "-"_);_(@_)</c:formatCode>
                <c:ptCount val="20"/>
                <c:pt idx="0">
                  <c:v>493.39312883535626</c:v>
                </c:pt>
                <c:pt idx="1">
                  <c:v>520.73761624517124</c:v>
                </c:pt>
                <c:pt idx="2">
                  <c:v>522.07616844254892</c:v>
                </c:pt>
                <c:pt idx="3">
                  <c:v>486.49480981483487</c:v>
                </c:pt>
                <c:pt idx="4">
                  <c:v>519.60364442573507</c:v>
                </c:pt>
                <c:pt idx="5">
                  <c:v>544.7840124037466</c:v>
                </c:pt>
                <c:pt idx="6">
                  <c:v>484.73441473955234</c:v>
                </c:pt>
                <c:pt idx="7">
                  <c:v>523.59358665077764</c:v>
                </c:pt>
                <c:pt idx="8">
                  <c:v>550.93276134630594</c:v>
                </c:pt>
                <c:pt idx="9">
                  <c:v>576.64583859886932</c:v>
                </c:pt>
                <c:pt idx="10">
                  <c:v>564.98504589403262</c:v>
                </c:pt>
                <c:pt idx="11">
                  <c:v>580.24878241605882</c:v>
                </c:pt>
                <c:pt idx="12">
                  <c:v>566.75371626074877</c:v>
                </c:pt>
                <c:pt idx="13">
                  <c:v>558.3184828422585</c:v>
                </c:pt>
                <c:pt idx="14">
                  <c:v>617.15201692979304</c:v>
                </c:pt>
                <c:pt idx="15">
                  <c:v>598.99425638796481</c:v>
                </c:pt>
                <c:pt idx="16">
                  <c:v>574.96687707196293</c:v>
                </c:pt>
                <c:pt idx="17">
                  <c:v>620.68403984022859</c:v>
                </c:pt>
                <c:pt idx="18">
                  <c:v>693.23831094172579</c:v>
                </c:pt>
                <c:pt idx="19">
                  <c:v>737.10775005699077</c:v>
                </c:pt>
              </c:numCache>
            </c:numRef>
          </c:val>
          <c:smooth val="0"/>
          <c:extLst>
            <c:ext xmlns:c16="http://schemas.microsoft.com/office/drawing/2014/chart" uri="{C3380CC4-5D6E-409C-BE32-E72D297353CC}">
              <c16:uniqueId val="{00000001-D806-4E5B-84C5-19BB6B9EF906}"/>
            </c:ext>
          </c:extLst>
        </c:ser>
        <c:ser>
          <c:idx val="8"/>
          <c:order val="8"/>
          <c:tx>
            <c:strRef>
              <c:f>'Valor granel exp'!$AK$1</c:f>
              <c:strCache>
                <c:ptCount val="1"/>
                <c:pt idx="0">
                  <c:v>Otros Vinos</c:v>
                </c:pt>
              </c:strCache>
            </c:strRef>
          </c:tx>
          <c:spPr>
            <a:ln w="28575" cap="rnd">
              <a:solidFill>
                <a:schemeClr val="accent3">
                  <a:lumMod val="60000"/>
                </a:schemeClr>
              </a:solidFill>
              <a:round/>
            </a:ln>
            <a:effectLst/>
          </c:spPr>
          <c:marker>
            <c:symbol val="none"/>
          </c:marker>
          <c:cat>
            <c:numRef>
              <c:f>'Valor granel exp'!$U$4:$U$23</c:f>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f>'Valor granel exp'!$AK$4:$AK$23</c:f>
              <c:numCache>
                <c:formatCode>_(* #,##0_);_(* \(#,##0\);_(* "-"_);_(@_)</c:formatCode>
                <c:ptCount val="20"/>
                <c:pt idx="0">
                  <c:v>562.83736580333334</c:v>
                </c:pt>
                <c:pt idx="1">
                  <c:v>668.94897993421046</c:v>
                </c:pt>
                <c:pt idx="2">
                  <c:v>537.51379999999995</c:v>
                </c:pt>
                <c:pt idx="3">
                  <c:v>493.72537500000004</c:v>
                </c:pt>
                <c:pt idx="4">
                  <c:v>498.05023911671924</c:v>
                </c:pt>
                <c:pt idx="5">
                  <c:v>472.25099999999998</c:v>
                </c:pt>
                <c:pt idx="6">
                  <c:v>516.55286666666677</c:v>
                </c:pt>
                <c:pt idx="7">
                  <c:v>506.88950000000006</c:v>
                </c:pt>
                <c:pt idx="8">
                  <c:v>577.52397163672561</c:v>
                </c:pt>
                <c:pt idx="9">
                  <c:v>579.03057721527784</c:v>
                </c:pt>
                <c:pt idx="10">
                  <c:v>567.87196098470963</c:v>
                </c:pt>
                <c:pt idx="11">
                  <c:v>672.50304000000006</c:v>
                </c:pt>
                <c:pt idx="12">
                  <c:v>540.05837360435146</c:v>
                </c:pt>
                <c:pt idx="13">
                  <c:v>577.58142297559527</c:v>
                </c:pt>
                <c:pt idx="14">
                  <c:v>499.85674441449277</c:v>
                </c:pt>
                <c:pt idx="15">
                  <c:v>697.92026626507914</c:v>
                </c:pt>
                <c:pt idx="16">
                  <c:v>646.55191285140052</c:v>
                </c:pt>
                <c:pt idx="17">
                  <c:v>753.36336340464197</c:v>
                </c:pt>
                <c:pt idx="18">
                  <c:v>822.63332429220998</c:v>
                </c:pt>
                <c:pt idx="19">
                  <c:v>757.79744221964108</c:v>
                </c:pt>
              </c:numCache>
            </c:numRef>
          </c:val>
          <c:smooth val="0"/>
          <c:extLst>
            <c:ext xmlns:c16="http://schemas.microsoft.com/office/drawing/2014/chart" uri="{C3380CC4-5D6E-409C-BE32-E72D297353CC}">
              <c16:uniqueId val="{00000002-D806-4E5B-84C5-19BB6B9EF906}"/>
            </c:ext>
          </c:extLst>
        </c:ser>
        <c:ser>
          <c:idx val="9"/>
          <c:order val="9"/>
          <c:tx>
            <c:strRef>
              <c:f>'Valor granel exp'!$AL$1</c:f>
              <c:strCache>
                <c:ptCount val="1"/>
                <c:pt idx="0">
                  <c:v>Total</c:v>
                </c:pt>
              </c:strCache>
            </c:strRef>
          </c:tx>
          <c:spPr>
            <a:ln w="28575" cap="rnd">
              <a:solidFill>
                <a:schemeClr val="accent4">
                  <a:lumMod val="60000"/>
                </a:schemeClr>
              </a:solidFill>
              <a:round/>
            </a:ln>
            <a:effectLst/>
          </c:spPr>
          <c:marker>
            <c:symbol val="none"/>
          </c:marker>
          <c:cat>
            <c:numRef>
              <c:f>'Valor granel exp'!$U$4:$U$23</c:f>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f>'Valor granel exp'!$AL$4:$AL$23</c:f>
              <c:numCache>
                <c:formatCode>_(* #,##0_);_(* \(#,##0\);_(* "-"_);_(@_)</c:formatCode>
                <c:ptCount val="20"/>
                <c:pt idx="0">
                  <c:v>503.21122001539572</c:v>
                </c:pt>
                <c:pt idx="1">
                  <c:v>531.29114554675891</c:v>
                </c:pt>
                <c:pt idx="2">
                  <c:v>523.97934977476984</c:v>
                </c:pt>
                <c:pt idx="3">
                  <c:v>501.33134444236379</c:v>
                </c:pt>
                <c:pt idx="4">
                  <c:v>523.76473130800014</c:v>
                </c:pt>
                <c:pt idx="5">
                  <c:v>550.49959293022744</c:v>
                </c:pt>
                <c:pt idx="6">
                  <c:v>520.37454124682563</c:v>
                </c:pt>
                <c:pt idx="7">
                  <c:v>548.46220340553759</c:v>
                </c:pt>
                <c:pt idx="8">
                  <c:v>593.28544847610431</c:v>
                </c:pt>
                <c:pt idx="9">
                  <c:v>592.97331572383268</c:v>
                </c:pt>
                <c:pt idx="10">
                  <c:v>597.11962141843594</c:v>
                </c:pt>
                <c:pt idx="11">
                  <c:v>619.16861893810926</c:v>
                </c:pt>
                <c:pt idx="12">
                  <c:v>612.32164592489914</c:v>
                </c:pt>
                <c:pt idx="13">
                  <c:v>597.38979992267775</c:v>
                </c:pt>
                <c:pt idx="14">
                  <c:v>641.66245537159784</c:v>
                </c:pt>
                <c:pt idx="15">
                  <c:v>633.95198786743924</c:v>
                </c:pt>
                <c:pt idx="16">
                  <c:v>602.26529212960338</c:v>
                </c:pt>
                <c:pt idx="17">
                  <c:v>700.95615535594607</c:v>
                </c:pt>
                <c:pt idx="18">
                  <c:v>750.2615640917162</c:v>
                </c:pt>
                <c:pt idx="19">
                  <c:v>805.38249125552579</c:v>
                </c:pt>
              </c:numCache>
            </c:numRef>
          </c:val>
          <c:smooth val="0"/>
          <c:extLst>
            <c:ext xmlns:c16="http://schemas.microsoft.com/office/drawing/2014/chart" uri="{C3380CC4-5D6E-409C-BE32-E72D297353CC}">
              <c16:uniqueId val="{00000000-2972-4A71-ACA5-DEA18549DAA8}"/>
            </c:ext>
          </c:extLst>
        </c:ser>
        <c:dLbls>
          <c:showLegendKey val="0"/>
          <c:showVal val="0"/>
          <c:showCatName val="0"/>
          <c:showSerName val="0"/>
          <c:showPercent val="0"/>
          <c:showBubbleSize val="0"/>
        </c:dLbls>
        <c:smooth val="0"/>
        <c:axId val="1865862127"/>
        <c:axId val="1865861295"/>
        <c:extLst>
          <c:ext xmlns:c15="http://schemas.microsoft.com/office/drawing/2012/chart" uri="{02D57815-91ED-43cb-92C2-25804820EDAC}">
            <c15:filteredLineSeries>
              <c15:ser>
                <c:idx val="0"/>
                <c:order val="0"/>
                <c:tx>
                  <c:strRef>
                    <c:extLst>
                      <c:ext uri="{02D57815-91ED-43cb-92C2-25804820EDAC}">
                        <c15:formulaRef>
                          <c15:sqref>'Valor granel exp'!$V$1:$V$3</c15:sqref>
                        </c15:formulaRef>
                      </c:ext>
                    </c:extLst>
                    <c:strCache>
                      <c:ptCount val="3"/>
                      <c:pt idx="0">
                        <c:v>Vinos Blancos</c:v>
                      </c:pt>
                      <c:pt idx="2">
                        <c:v>Val</c:v>
                      </c:pt>
                    </c:strCache>
                  </c:strRef>
                </c:tx>
                <c:spPr>
                  <a:ln w="28575" cap="rnd">
                    <a:solidFill>
                      <a:schemeClr val="accent1"/>
                    </a:solidFill>
                    <a:round/>
                  </a:ln>
                  <a:effectLst/>
                </c:spPr>
                <c:marker>
                  <c:symbol val="none"/>
                </c:marker>
                <c:cat>
                  <c:numRef>
                    <c:extLst>
                      <c:ext uri="{02D57815-91ED-43cb-92C2-25804820EDAC}">
                        <c15:formulaRef>
                          <c15:sqref>'Valor granel exp'!$U$4:$U$23</c15:sqref>
                        </c15:formulaRef>
                      </c:ext>
                    </c:extLst>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extLst>
                      <c:ext uri="{02D57815-91ED-43cb-92C2-25804820EDAC}">
                        <c15:formulaRef>
                          <c15:sqref>'Valor granel exp'!$V$4:$V$18</c15:sqref>
                        </c15:formulaRef>
                      </c:ext>
                    </c:extLst>
                    <c:numCache>
                      <c:formatCode>_(* #,##0_);_(* \(#,##0\);_(* "-"_);_(@_)</c:formatCode>
                      <c:ptCount val="15"/>
                      <c:pt idx="0">
                        <c:v>4845465.03</c:v>
                      </c:pt>
                      <c:pt idx="1">
                        <c:v>5883360.6499999892</c:v>
                      </c:pt>
                      <c:pt idx="2">
                        <c:v>4079387.1099999989</c:v>
                      </c:pt>
                      <c:pt idx="3">
                        <c:v>4565724.1799999969</c:v>
                      </c:pt>
                      <c:pt idx="4">
                        <c:v>4225105.4499999993</c:v>
                      </c:pt>
                      <c:pt idx="5">
                        <c:v>4695440.7399999965</c:v>
                      </c:pt>
                      <c:pt idx="6">
                        <c:v>4888243.7699999977</c:v>
                      </c:pt>
                      <c:pt idx="7">
                        <c:v>6603232.3299999908</c:v>
                      </c:pt>
                      <c:pt idx="8">
                        <c:v>10296815.880000016</c:v>
                      </c:pt>
                      <c:pt idx="9">
                        <c:v>6138665.4699999932</c:v>
                      </c:pt>
                      <c:pt idx="10">
                        <c:v>5930259.8199999975</c:v>
                      </c:pt>
                      <c:pt idx="11">
                        <c:v>5989602.9699999932</c:v>
                      </c:pt>
                      <c:pt idx="12">
                        <c:v>7511394.7500000019</c:v>
                      </c:pt>
                      <c:pt idx="13">
                        <c:v>6359556.1099999994</c:v>
                      </c:pt>
                      <c:pt idx="14">
                        <c:v>7566842.7299999958</c:v>
                      </c:pt>
                    </c:numCache>
                  </c:numRef>
                </c:val>
                <c:smooth val="0"/>
                <c:extLst>
                  <c:ext xmlns:c16="http://schemas.microsoft.com/office/drawing/2014/chart" uri="{C3380CC4-5D6E-409C-BE32-E72D297353CC}">
                    <c16:uniqueId val="{00000003-D806-4E5B-84C5-19BB6B9EF906}"/>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'Valor granel exp'!$W$1:$W$3</c15:sqref>
                        </c15:formulaRef>
                      </c:ext>
                    </c:extLst>
                    <c:strCache>
                      <c:ptCount val="3"/>
                      <c:pt idx="0">
                        <c:v>Vinos Blancos</c:v>
                      </c:pt>
                      <c:pt idx="2">
                        <c:v>Vol</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'Valor granel exp'!$U$4:$U$23</c15:sqref>
                        </c15:formulaRef>
                      </c:ext>
                    </c:extLst>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extLst xmlns:c15="http://schemas.microsoft.com/office/drawing/2012/chart">
                      <c:ext xmlns:c15="http://schemas.microsoft.com/office/drawing/2012/chart" uri="{02D57815-91ED-43cb-92C2-25804820EDAC}">
                        <c15:formulaRef>
                          <c15:sqref>'Valor granel exp'!$W$4:$W$18</c15:sqref>
                        </c15:formulaRef>
                      </c:ext>
                    </c:extLst>
                    <c:numCache>
                      <c:formatCode>_(* #,##0_);_(* \(#,##0\);_(* "-"_);_(@_)</c:formatCode>
                      <c:ptCount val="15"/>
                      <c:pt idx="0">
                        <c:v>6670745</c:v>
                      </c:pt>
                      <c:pt idx="1">
                        <c:v>7803750</c:v>
                      </c:pt>
                      <c:pt idx="2">
                        <c:v>5597024</c:v>
                      </c:pt>
                      <c:pt idx="3">
                        <c:v>6016990</c:v>
                      </c:pt>
                      <c:pt idx="4">
                        <c:v>5595424</c:v>
                      </c:pt>
                      <c:pt idx="5">
                        <c:v>5944275</c:v>
                      </c:pt>
                      <c:pt idx="6">
                        <c:v>6084547</c:v>
                      </c:pt>
                      <c:pt idx="7">
                        <c:v>8637933</c:v>
                      </c:pt>
                      <c:pt idx="8">
                        <c:v>12789568</c:v>
                      </c:pt>
                      <c:pt idx="9">
                        <c:v>7909470</c:v>
                      </c:pt>
                      <c:pt idx="10">
                        <c:v>7314970.5</c:v>
                      </c:pt>
                      <c:pt idx="11">
                        <c:v>6902856.5</c:v>
                      </c:pt>
                      <c:pt idx="12">
                        <c:v>8822877</c:v>
                      </c:pt>
                      <c:pt idx="13">
                        <c:v>7680550</c:v>
                      </c:pt>
                      <c:pt idx="14">
                        <c:v>8724754</c:v>
                      </c:pt>
                    </c:numCache>
                  </c:numRef>
                </c:val>
                <c:smooth val="0"/>
                <c:extLst xmlns:c15="http://schemas.microsoft.com/office/drawing/2012/chart">
                  <c:ext xmlns:c16="http://schemas.microsoft.com/office/drawing/2014/chart" uri="{C3380CC4-5D6E-409C-BE32-E72D297353CC}">
                    <c16:uniqueId val="{00000004-D806-4E5B-84C5-19BB6B9EF906}"/>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'Valor granel exp'!$Y$1:$Y$3</c15:sqref>
                        </c15:formulaRef>
                      </c:ext>
                    </c:extLst>
                    <c:strCache>
                      <c:ptCount val="3"/>
                      <c:pt idx="0">
                        <c:v>Vinos tintos  </c:v>
                      </c:pt>
                      <c:pt idx="1">
                        <c:v>22042994</c:v>
                      </c:pt>
                      <c:pt idx="2">
                        <c:v>Val</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'Valor granel exp'!$U$4:$U$23</c15:sqref>
                        </c15:formulaRef>
                      </c:ext>
                    </c:extLst>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extLst xmlns:c15="http://schemas.microsoft.com/office/drawing/2012/chart">
                      <c:ext xmlns:c15="http://schemas.microsoft.com/office/drawing/2012/chart" uri="{02D57815-91ED-43cb-92C2-25804820EDAC}">
                        <c15:formulaRef>
                          <c15:sqref>'Valor granel exp'!$Y$4:$Y$18</c15:sqref>
                        </c15:formulaRef>
                      </c:ext>
                    </c:extLst>
                    <c:numCache>
                      <c:formatCode>_(* #,##0_);_(* \(#,##0\);_(* "-"_);_(@_)</c:formatCode>
                      <c:ptCount val="15"/>
                      <c:pt idx="0">
                        <c:v>11355662.840000005</c:v>
                      </c:pt>
                      <c:pt idx="1">
                        <c:v>10450716.030000012</c:v>
                      </c:pt>
                      <c:pt idx="2">
                        <c:v>12714786.770000007</c:v>
                      </c:pt>
                      <c:pt idx="3">
                        <c:v>9941650.8199999966</c:v>
                      </c:pt>
                      <c:pt idx="4">
                        <c:v>9936826.2400000021</c:v>
                      </c:pt>
                      <c:pt idx="5">
                        <c:v>12829087.619999986</c:v>
                      </c:pt>
                      <c:pt idx="6">
                        <c:v>9079823.4499999974</c:v>
                      </c:pt>
                      <c:pt idx="7">
                        <c:v>9852495.3600000031</c:v>
                      </c:pt>
                      <c:pt idx="8">
                        <c:v>7866796.4800000004</c:v>
                      </c:pt>
                      <c:pt idx="9">
                        <c:v>12774771.529999999</c:v>
                      </c:pt>
                      <c:pt idx="10">
                        <c:v>9400170.049999997</c:v>
                      </c:pt>
                      <c:pt idx="11">
                        <c:v>14591720.699999992</c:v>
                      </c:pt>
                      <c:pt idx="12">
                        <c:v>10539186.779999994</c:v>
                      </c:pt>
                      <c:pt idx="13">
                        <c:v>9519800.1999999918</c:v>
                      </c:pt>
                      <c:pt idx="14">
                        <c:v>11679882.429999994</c:v>
                      </c:pt>
                    </c:numCache>
                  </c:numRef>
                </c:val>
                <c:smooth val="0"/>
                <c:extLst xmlns:c15="http://schemas.microsoft.com/office/drawing/2012/chart">
                  <c:ext xmlns:c16="http://schemas.microsoft.com/office/drawing/2014/chart" uri="{C3380CC4-5D6E-409C-BE32-E72D297353CC}">
                    <c16:uniqueId val="{00000005-D806-4E5B-84C5-19BB6B9EF906}"/>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'Valor granel exp'!$Z$1:$Z$3</c15:sqref>
                        </c15:formulaRef>
                      </c:ext>
                    </c:extLst>
                    <c:strCache>
                      <c:ptCount val="3"/>
                      <c:pt idx="0">
                        <c:v>Vinos tintos  </c:v>
                      </c:pt>
                      <c:pt idx="1">
                        <c:v>22042994</c:v>
                      </c:pt>
                      <c:pt idx="2">
                        <c:v>Vol</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'Valor granel exp'!$U$4:$U$23</c15:sqref>
                        </c15:formulaRef>
                      </c:ext>
                    </c:extLst>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extLst xmlns:c15="http://schemas.microsoft.com/office/drawing/2012/chart">
                      <c:ext xmlns:c15="http://schemas.microsoft.com/office/drawing/2012/chart" uri="{02D57815-91ED-43cb-92C2-25804820EDAC}">
                        <c15:formulaRef>
                          <c15:sqref>'Valor granel exp'!$Z$4:$Z$18</c15:sqref>
                        </c15:formulaRef>
                      </c:ext>
                    </c:extLst>
                    <c:numCache>
                      <c:formatCode>_(* #,##0_);_(* \(#,##0\);_(* "-"_);_(@_)</c:formatCode>
                      <c:ptCount val="15"/>
                      <c:pt idx="0">
                        <c:v>16653056</c:v>
                      </c:pt>
                      <c:pt idx="1">
                        <c:v>14502507</c:v>
                      </c:pt>
                      <c:pt idx="2">
                        <c:v>17690215</c:v>
                      </c:pt>
                      <c:pt idx="3">
                        <c:v>14465103</c:v>
                      </c:pt>
                      <c:pt idx="4">
                        <c:v>13621159</c:v>
                      </c:pt>
                      <c:pt idx="5">
                        <c:v>17109249</c:v>
                      </c:pt>
                      <c:pt idx="6">
                        <c:v>14056899</c:v>
                      </c:pt>
                      <c:pt idx="7">
                        <c:v>14674113</c:v>
                      </c:pt>
                      <c:pt idx="8">
                        <c:v>11189492</c:v>
                      </c:pt>
                      <c:pt idx="9">
                        <c:v>18031909</c:v>
                      </c:pt>
                      <c:pt idx="10">
                        <c:v>13520298</c:v>
                      </c:pt>
                      <c:pt idx="11">
                        <c:v>21353120</c:v>
                      </c:pt>
                      <c:pt idx="12">
                        <c:v>15286602</c:v>
                      </c:pt>
                      <c:pt idx="13">
                        <c:v>13761223</c:v>
                      </c:pt>
                      <c:pt idx="14">
                        <c:v>15125034</c:v>
                      </c:pt>
                    </c:numCache>
                  </c:numRef>
                </c:val>
                <c:smooth val="0"/>
                <c:extLst xmlns:c15="http://schemas.microsoft.com/office/drawing/2012/chart">
                  <c:ext xmlns:c16="http://schemas.microsoft.com/office/drawing/2014/chart" uri="{C3380CC4-5D6E-409C-BE32-E72D297353CC}">
                    <c16:uniqueId val="{00000006-D806-4E5B-84C5-19BB6B9EF906}"/>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'Valor granel exp'!$AB$1:$AB$3</c15:sqref>
                        </c15:formulaRef>
                      </c:ext>
                    </c:extLst>
                    <c:strCache>
                      <c:ptCount val="3"/>
                      <c:pt idx="0">
                        <c:v>Otros vinos</c:v>
                      </c:pt>
                      <c:pt idx="2">
                        <c:v>Val</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'Valor granel exp'!$U$4:$U$23</c15:sqref>
                        </c15:formulaRef>
                      </c:ext>
                    </c:extLst>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extLst xmlns:c15="http://schemas.microsoft.com/office/drawing/2012/chart">
                      <c:ext xmlns:c15="http://schemas.microsoft.com/office/drawing/2012/chart" uri="{02D57815-91ED-43cb-92C2-25804820EDAC}">
                        <c15:formulaRef>
                          <c15:sqref>'Valor granel exp'!$AB$4:$AB$18</c15:sqref>
                        </c15:formulaRef>
                      </c:ext>
                    </c:extLst>
                    <c:numCache>
                      <c:formatCode>_(* #,##0_);_(* \(#,##0\);_(* "-"_);_(@_)</c:formatCode>
                      <c:ptCount val="15"/>
                      <c:pt idx="0">
                        <c:v>186689.38</c:v>
                      </c:pt>
                      <c:pt idx="1">
                        <c:v>320252.74</c:v>
                      </c:pt>
                      <c:pt idx="2">
                        <c:v>177600</c:v>
                      </c:pt>
                      <c:pt idx="3">
                        <c:v>66960</c:v>
                      </c:pt>
                      <c:pt idx="4">
                        <c:v>598491</c:v>
                      </c:pt>
                      <c:pt idx="5">
                        <c:v>343200</c:v>
                      </c:pt>
                      <c:pt idx="6">
                        <c:v>198240</c:v>
                      </c:pt>
                      <c:pt idx="7">
                        <c:v>733200</c:v>
                      </c:pt>
                      <c:pt idx="8">
                        <c:v>333117.45999999996</c:v>
                      </c:pt>
                      <c:pt idx="9">
                        <c:v>614635.31999999995</c:v>
                      </c:pt>
                      <c:pt idx="10">
                        <c:v>398208.49000000005</c:v>
                      </c:pt>
                      <c:pt idx="11">
                        <c:v>285120</c:v>
                      </c:pt>
                      <c:pt idx="12">
                        <c:v>688434</c:v>
                      </c:pt>
                      <c:pt idx="13">
                        <c:v>240459.14</c:v>
                      </c:pt>
                      <c:pt idx="14">
                        <c:v>345250.72</c:v>
                      </c:pt>
                    </c:numCache>
                  </c:numRef>
                </c:val>
                <c:smooth val="0"/>
                <c:extLst xmlns:c15="http://schemas.microsoft.com/office/drawing/2012/chart">
                  <c:ext xmlns:c16="http://schemas.microsoft.com/office/drawing/2014/chart" uri="{C3380CC4-5D6E-409C-BE32-E72D297353CC}">
                    <c16:uniqueId val="{00000007-D806-4E5B-84C5-19BB6B9EF906}"/>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'Valor granel exp'!$AC$1:$AC$3</c15:sqref>
                        </c15:formulaRef>
                      </c:ext>
                    </c:extLst>
                    <c:strCache>
                      <c:ptCount val="3"/>
                      <c:pt idx="0">
                        <c:v>Otros vinos</c:v>
                      </c:pt>
                      <c:pt idx="2">
                        <c:v>Vol</c:v>
                      </c:pt>
                    </c:strCache>
                  </c:strRef>
                </c:tx>
                <c:spPr>
                  <a:ln w="28575" cap="rnd">
                    <a:solidFill>
                      <a:schemeClr val="accent2">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'Valor granel exp'!$U$4:$U$23</c15:sqref>
                        </c15:formulaRef>
                      </c:ext>
                    </c:extLst>
                    <c:numCache>
                      <c:formatCode>mmm\-yy</c:formatCode>
                      <c:ptCount val="20"/>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numCache>
                  </c:numRef>
                </c:cat>
                <c:val>
                  <c:numRef>
                    <c:extLst xmlns:c15="http://schemas.microsoft.com/office/drawing/2012/chart">
                      <c:ext xmlns:c15="http://schemas.microsoft.com/office/drawing/2012/chart" uri="{02D57815-91ED-43cb-92C2-25804820EDAC}">
                        <c15:formulaRef>
                          <c15:sqref>'Valor granel exp'!$AC$4:$AC$18</c15:sqref>
                        </c15:formulaRef>
                      </c:ext>
                    </c:extLst>
                    <c:numCache>
                      <c:formatCode>_(* #,##0_);_(* \(#,##0\);_(* "-"_);_(@_)</c:formatCode>
                      <c:ptCount val="15"/>
                      <c:pt idx="0">
                        <c:v>240000</c:v>
                      </c:pt>
                      <c:pt idx="1">
                        <c:v>345952</c:v>
                      </c:pt>
                      <c:pt idx="2">
                        <c:v>240000</c:v>
                      </c:pt>
                      <c:pt idx="3">
                        <c:v>96000</c:v>
                      </c:pt>
                      <c:pt idx="4">
                        <c:v>855900</c:v>
                      </c:pt>
                      <c:pt idx="5">
                        <c:v>528000</c:v>
                      </c:pt>
                      <c:pt idx="6">
                        <c:v>288000</c:v>
                      </c:pt>
                      <c:pt idx="7">
                        <c:v>1128000</c:v>
                      </c:pt>
                      <c:pt idx="8">
                        <c:v>452000</c:v>
                      </c:pt>
                      <c:pt idx="9">
                        <c:v>864000</c:v>
                      </c:pt>
                      <c:pt idx="10">
                        <c:v>569833</c:v>
                      </c:pt>
                      <c:pt idx="11">
                        <c:v>360000</c:v>
                      </c:pt>
                      <c:pt idx="12">
                        <c:v>1047900</c:v>
                      </c:pt>
                      <c:pt idx="13">
                        <c:v>336000</c:v>
                      </c:pt>
                      <c:pt idx="14">
                        <c:v>552000</c:v>
                      </c:pt>
                    </c:numCache>
                  </c:numRef>
                </c:val>
                <c:smooth val="0"/>
                <c:extLst xmlns:c15="http://schemas.microsoft.com/office/drawing/2012/chart">
                  <c:ext xmlns:c16="http://schemas.microsoft.com/office/drawing/2014/chart" uri="{C3380CC4-5D6E-409C-BE32-E72D297353CC}">
                    <c16:uniqueId val="{00000008-D806-4E5B-84C5-19BB6B9EF906}"/>
                  </c:ext>
                </c:extLst>
              </c15:ser>
            </c15:filteredLineSeries>
          </c:ext>
        </c:extLst>
      </c:lineChart>
      <c:dateAx>
        <c:axId val="1865862127"/>
        <c:scaling>
          <c:orientation val="minMax"/>
        </c:scaling>
        <c:delete val="1"/>
        <c:axPos val="b"/>
        <c:numFmt formatCode="mmm\-yy" sourceLinked="1"/>
        <c:majorTickMark val="out"/>
        <c:minorTickMark val="none"/>
        <c:tickLblPos val="nextTo"/>
        <c:crossAx val="1865861295"/>
        <c:crosses val="autoZero"/>
        <c:auto val="1"/>
        <c:lblOffset val="100"/>
        <c:baseTimeUnit val="months"/>
      </c:dateAx>
      <c:valAx>
        <c:axId val="1865861295"/>
        <c:scaling>
          <c:orientation val="minMax"/>
          <c:max val="900"/>
          <c:min val="45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CLP / litro</a:t>
                </a:r>
              </a:p>
            </c:rich>
          </c:tx>
          <c:layout>
            <c:manualLayout>
              <c:xMode val="edge"/>
              <c:yMode val="edge"/>
              <c:x val="2.2854324685107699E-2"/>
              <c:y val="0.2825507170719682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65862127"/>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portrait"/>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24. Evolución de la producción de vinos con DO por cepa</a:t>
            </a:r>
          </a:p>
          <a:p>
            <a:pPr algn="ctr">
              <a:defRPr sz="1100"/>
            </a:pPr>
            <a:r>
              <a:rPr lang="en-US" sz="1100" b="0" i="0" baseline="0">
                <a:effectLst/>
              </a:rPr>
              <a:t>(miles de litros)</a:t>
            </a:r>
            <a:endParaRPr lang="es-CL" sz="1100">
              <a:effectLst/>
            </a:endParaRPr>
          </a:p>
        </c:rich>
      </c:tx>
      <c:overlay val="0"/>
      <c:spPr>
        <a:noFill/>
        <a:ln>
          <a:noFill/>
        </a:ln>
        <a:effectLst/>
      </c:spPr>
      <c:txPr>
        <a:bodyPr rot="0" spcFirstLastPara="1" vertOverflow="ellipsis" vert="horz" wrap="square" anchor="ctr" anchorCtr="1"/>
        <a:lstStyle/>
        <a:p>
          <a:pPr algn="ct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4664719329438658"/>
          <c:y val="0.15181356520379086"/>
          <c:w val="0.78346377317754634"/>
          <c:h val="0.47283097992639184"/>
        </c:manualLayout>
      </c:layout>
      <c:lineChart>
        <c:grouping val="standard"/>
        <c:varyColors val="0"/>
        <c:ser>
          <c:idx val="0"/>
          <c:order val="0"/>
          <c:tx>
            <c:strRef>
              <c:f>'Evol. prod. vino DO por cepa'!$A$4</c:f>
              <c:strCache>
                <c:ptCount val="1"/>
                <c:pt idx="0">
                  <c:v>Cabernet Sauvignon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cepa'!$B$4:$L$4</c:f>
              <c:numCache>
                <c:formatCode>#,##0</c:formatCode>
                <c:ptCount val="11"/>
                <c:pt idx="0">
                  <c:v>338735.69400000002</c:v>
                </c:pt>
                <c:pt idx="1">
                  <c:v>371599.26400000002</c:v>
                </c:pt>
                <c:pt idx="2">
                  <c:v>299541.43</c:v>
                </c:pt>
                <c:pt idx="3">
                  <c:v>382942.91899999999</c:v>
                </c:pt>
                <c:pt idx="4">
                  <c:v>277133.39299999998</c:v>
                </c:pt>
                <c:pt idx="5">
                  <c:v>228733.307</c:v>
                </c:pt>
                <c:pt idx="6">
                  <c:v>302226.57799999998</c:v>
                </c:pt>
                <c:pt idx="7">
                  <c:v>358482.89199999999</c:v>
                </c:pt>
                <c:pt idx="8">
                  <c:v>271975.64299999998</c:v>
                </c:pt>
                <c:pt idx="9">
                  <c:v>356471.14500000002</c:v>
                </c:pt>
                <c:pt idx="10">
                  <c:v>340922.31800000003</c:v>
                </c:pt>
              </c:numCache>
            </c:numRef>
          </c:val>
          <c:smooth val="0"/>
          <c:extLst>
            <c:ext xmlns:c16="http://schemas.microsoft.com/office/drawing/2014/chart" uri="{C3380CC4-5D6E-409C-BE32-E72D297353CC}">
              <c16:uniqueId val="{00000000-03FC-4D63-B343-7DE851085A89}"/>
            </c:ext>
          </c:extLst>
        </c:ser>
        <c:ser>
          <c:idx val="1"/>
          <c:order val="1"/>
          <c:tx>
            <c:strRef>
              <c:f>'Evol. prod. vino DO por cepa'!$A$5</c:f>
              <c:strCache>
                <c:ptCount val="1"/>
                <c:pt idx="0">
                  <c:v>Sauvignon Blanc</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cepa'!$B$5:$L$5</c:f>
              <c:numCache>
                <c:formatCode>#,##0</c:formatCode>
                <c:ptCount val="11"/>
                <c:pt idx="0">
                  <c:v>136956.77299999999</c:v>
                </c:pt>
                <c:pt idx="1">
                  <c:v>159909.79</c:v>
                </c:pt>
                <c:pt idx="2">
                  <c:v>117792.588</c:v>
                </c:pt>
                <c:pt idx="3">
                  <c:v>147379.98300000001</c:v>
                </c:pt>
                <c:pt idx="4">
                  <c:v>121299.899</c:v>
                </c:pt>
                <c:pt idx="5">
                  <c:v>123127.952</c:v>
                </c:pt>
                <c:pt idx="6">
                  <c:v>146741.81599999999</c:v>
                </c:pt>
                <c:pt idx="7">
                  <c:v>148118.51699999999</c:v>
                </c:pt>
                <c:pt idx="8">
                  <c:v>129387.04300000001</c:v>
                </c:pt>
                <c:pt idx="9">
                  <c:v>145152.685</c:v>
                </c:pt>
                <c:pt idx="10">
                  <c:v>141061.37100000001</c:v>
                </c:pt>
              </c:numCache>
            </c:numRef>
          </c:val>
          <c:smooth val="0"/>
          <c:extLst>
            <c:ext xmlns:c16="http://schemas.microsoft.com/office/drawing/2014/chart" uri="{C3380CC4-5D6E-409C-BE32-E72D297353CC}">
              <c16:uniqueId val="{00000001-03FC-4D63-B343-7DE851085A89}"/>
            </c:ext>
          </c:extLst>
        </c:ser>
        <c:ser>
          <c:idx val="2"/>
          <c:order val="2"/>
          <c:tx>
            <c:strRef>
              <c:f>'Evol. prod. vino DO por cepa'!$A$6</c:f>
              <c:strCache>
                <c:ptCount val="1"/>
                <c:pt idx="0">
                  <c:v>Merlot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cepa'!$B$6:$L$6</c:f>
              <c:numCache>
                <c:formatCode>#,##0</c:formatCode>
                <c:ptCount val="11"/>
                <c:pt idx="0">
                  <c:v>121080.89599999999</c:v>
                </c:pt>
                <c:pt idx="1">
                  <c:v>128407.243</c:v>
                </c:pt>
                <c:pt idx="2">
                  <c:v>99494.642999999996</c:v>
                </c:pt>
                <c:pt idx="3">
                  <c:v>138831.554</c:v>
                </c:pt>
                <c:pt idx="4">
                  <c:v>107050.094</c:v>
                </c:pt>
                <c:pt idx="5">
                  <c:v>107248.80499999999</c:v>
                </c:pt>
                <c:pt idx="6">
                  <c:v>132493.28700000001</c:v>
                </c:pt>
                <c:pt idx="7">
                  <c:v>121262.86500000001</c:v>
                </c:pt>
                <c:pt idx="8">
                  <c:v>102890.82799999999</c:v>
                </c:pt>
                <c:pt idx="9">
                  <c:v>129761.22500000001</c:v>
                </c:pt>
                <c:pt idx="10">
                  <c:v>123222.61</c:v>
                </c:pt>
              </c:numCache>
            </c:numRef>
          </c:val>
          <c:smooth val="0"/>
          <c:extLst>
            <c:ext xmlns:c16="http://schemas.microsoft.com/office/drawing/2014/chart" uri="{C3380CC4-5D6E-409C-BE32-E72D297353CC}">
              <c16:uniqueId val="{00000002-03FC-4D63-B343-7DE851085A89}"/>
            </c:ext>
          </c:extLst>
        </c:ser>
        <c:ser>
          <c:idx val="3"/>
          <c:order val="3"/>
          <c:tx>
            <c:strRef>
              <c:f>'Evol. prod. vino DO por cepa'!$A$7</c:f>
              <c:strCache>
                <c:ptCount val="1"/>
                <c:pt idx="0">
                  <c:v>Chardonnay</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cepa'!$B$7:$L$7</c:f>
              <c:numCache>
                <c:formatCode>#,##0</c:formatCode>
                <c:ptCount val="11"/>
                <c:pt idx="0">
                  <c:v>94618.622000000003</c:v>
                </c:pt>
                <c:pt idx="1">
                  <c:v>93834.361999999994</c:v>
                </c:pt>
                <c:pt idx="2">
                  <c:v>58133.726000000002</c:v>
                </c:pt>
                <c:pt idx="3">
                  <c:v>92442.466</c:v>
                </c:pt>
                <c:pt idx="4">
                  <c:v>81945.692999999999</c:v>
                </c:pt>
                <c:pt idx="5">
                  <c:v>74308.028000000006</c:v>
                </c:pt>
                <c:pt idx="6">
                  <c:v>101364.386</c:v>
                </c:pt>
                <c:pt idx="7">
                  <c:v>91269.048999999999</c:v>
                </c:pt>
                <c:pt idx="8">
                  <c:v>80426.101999999999</c:v>
                </c:pt>
                <c:pt idx="9">
                  <c:v>103267.196</c:v>
                </c:pt>
                <c:pt idx="10">
                  <c:v>104103.156</c:v>
                </c:pt>
              </c:numCache>
            </c:numRef>
          </c:val>
          <c:smooth val="0"/>
          <c:extLst>
            <c:ext xmlns:c16="http://schemas.microsoft.com/office/drawing/2014/chart" uri="{C3380CC4-5D6E-409C-BE32-E72D297353CC}">
              <c16:uniqueId val="{00000003-03FC-4D63-B343-7DE851085A89}"/>
            </c:ext>
          </c:extLst>
        </c:ser>
        <c:ser>
          <c:idx val="4"/>
          <c:order val="4"/>
          <c:tx>
            <c:strRef>
              <c:f>'Evol. prod. vino DO por cepa'!$A$8</c:f>
              <c:strCache>
                <c:ptCount val="1"/>
                <c:pt idx="0">
                  <c:v>Carménère</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cepa'!$B$8:$L$8</c:f>
              <c:numCache>
                <c:formatCode>#,##0</c:formatCode>
                <c:ptCount val="11"/>
                <c:pt idx="0">
                  <c:v>85138.429000000004</c:v>
                </c:pt>
                <c:pt idx="1">
                  <c:v>95861.706000000006</c:v>
                </c:pt>
                <c:pt idx="2">
                  <c:v>62244.786</c:v>
                </c:pt>
                <c:pt idx="3">
                  <c:v>95987.126999999993</c:v>
                </c:pt>
                <c:pt idx="4">
                  <c:v>61201.010999999999</c:v>
                </c:pt>
                <c:pt idx="5">
                  <c:v>53860.764000000003</c:v>
                </c:pt>
                <c:pt idx="6">
                  <c:v>77502.972999999998</c:v>
                </c:pt>
                <c:pt idx="7">
                  <c:v>88681.398000000001</c:v>
                </c:pt>
                <c:pt idx="8">
                  <c:v>67269.255999999994</c:v>
                </c:pt>
                <c:pt idx="9">
                  <c:v>89299.183999999994</c:v>
                </c:pt>
                <c:pt idx="10">
                  <c:v>88431.267999999996</c:v>
                </c:pt>
              </c:numCache>
            </c:numRef>
          </c:val>
          <c:smooth val="0"/>
          <c:extLst>
            <c:ext xmlns:c16="http://schemas.microsoft.com/office/drawing/2014/chart" uri="{C3380CC4-5D6E-409C-BE32-E72D297353CC}">
              <c16:uniqueId val="{00000004-03FC-4D63-B343-7DE851085A89}"/>
            </c:ext>
          </c:extLst>
        </c:ser>
        <c:ser>
          <c:idx val="5"/>
          <c:order val="5"/>
          <c:tx>
            <c:strRef>
              <c:f>'Evol. prod. vino DO por cepa'!$A$9</c:f>
              <c:strCache>
                <c:ptCount val="1"/>
                <c:pt idx="0">
                  <c:v>Syrah</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cepa'!$B$9:$L$9</c:f>
              <c:numCache>
                <c:formatCode>#,##0</c:formatCode>
                <c:ptCount val="11"/>
                <c:pt idx="0">
                  <c:v>68454.87</c:v>
                </c:pt>
                <c:pt idx="1">
                  <c:v>79059.006999999998</c:v>
                </c:pt>
                <c:pt idx="2">
                  <c:v>66476.902000000002</c:v>
                </c:pt>
                <c:pt idx="3">
                  <c:v>74723.073000000004</c:v>
                </c:pt>
                <c:pt idx="4">
                  <c:v>59201.275000000001</c:v>
                </c:pt>
                <c:pt idx="5">
                  <c:v>63642.875</c:v>
                </c:pt>
                <c:pt idx="6">
                  <c:v>72922.379000000001</c:v>
                </c:pt>
                <c:pt idx="7">
                  <c:v>63888.031000000003</c:v>
                </c:pt>
                <c:pt idx="8">
                  <c:v>51358.394</c:v>
                </c:pt>
                <c:pt idx="9">
                  <c:v>58624.139000000003</c:v>
                </c:pt>
                <c:pt idx="10">
                  <c:v>61230.065000000002</c:v>
                </c:pt>
              </c:numCache>
            </c:numRef>
          </c:val>
          <c:smooth val="0"/>
          <c:extLst>
            <c:ext xmlns:c16="http://schemas.microsoft.com/office/drawing/2014/chart" uri="{C3380CC4-5D6E-409C-BE32-E72D297353CC}">
              <c16:uniqueId val="{00000005-03FC-4D63-B343-7DE851085A89}"/>
            </c:ext>
          </c:extLst>
        </c:ser>
        <c:ser>
          <c:idx val="6"/>
          <c:order val="6"/>
          <c:tx>
            <c:strRef>
              <c:f>'Evol. prod. vino DO por cepa'!$A$10</c:f>
              <c:strCache>
                <c:ptCount val="1"/>
                <c:pt idx="0">
                  <c:v>Pedro Jiménez</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cepa'!$B$10:$L$10</c:f>
              <c:numCache>
                <c:formatCode>#,##0</c:formatCode>
                <c:ptCount val="11"/>
                <c:pt idx="0">
                  <c:v>21042.874</c:v>
                </c:pt>
                <c:pt idx="1">
                  <c:v>17084.405999999999</c:v>
                </c:pt>
                <c:pt idx="2">
                  <c:v>23724.564999999999</c:v>
                </c:pt>
                <c:pt idx="3">
                  <c:v>16345.252</c:v>
                </c:pt>
                <c:pt idx="4">
                  <c:v>19151.685000000001</c:v>
                </c:pt>
                <c:pt idx="5">
                  <c:v>25946.812000000002</c:v>
                </c:pt>
                <c:pt idx="6">
                  <c:v>54897.921000000002</c:v>
                </c:pt>
                <c:pt idx="7">
                  <c:v>39563.391000000003</c:v>
                </c:pt>
                <c:pt idx="8">
                  <c:v>46031.659</c:v>
                </c:pt>
                <c:pt idx="9">
                  <c:v>54754.248</c:v>
                </c:pt>
                <c:pt idx="10">
                  <c:v>31495.200000000001</c:v>
                </c:pt>
              </c:numCache>
            </c:numRef>
          </c:val>
          <c:smooth val="0"/>
          <c:extLst>
            <c:ext xmlns:c16="http://schemas.microsoft.com/office/drawing/2014/chart" uri="{C3380CC4-5D6E-409C-BE32-E72D297353CC}">
              <c16:uniqueId val="{00000006-03FC-4D63-B343-7DE851085A89}"/>
            </c:ext>
          </c:extLst>
        </c:ser>
        <c:ser>
          <c:idx val="7"/>
          <c:order val="7"/>
          <c:tx>
            <c:strRef>
              <c:f>'Evol. prod. vino DO por cepa'!$A$11</c:f>
              <c:strCache>
                <c:ptCount val="1"/>
                <c:pt idx="0">
                  <c:v>Malbec</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cepa'!$B$11:$L$11</c:f>
              <c:numCache>
                <c:formatCode>#,##0</c:formatCode>
                <c:ptCount val="11"/>
                <c:pt idx="0">
                  <c:v>12589.758</c:v>
                </c:pt>
                <c:pt idx="1">
                  <c:v>13524.266</c:v>
                </c:pt>
                <c:pt idx="2">
                  <c:v>12305.128000000001</c:v>
                </c:pt>
                <c:pt idx="3">
                  <c:v>19028.348999999998</c:v>
                </c:pt>
                <c:pt idx="4">
                  <c:v>13645.607</c:v>
                </c:pt>
                <c:pt idx="5">
                  <c:v>18144.418000000001</c:v>
                </c:pt>
                <c:pt idx="6">
                  <c:v>21937.399000000001</c:v>
                </c:pt>
                <c:pt idx="7">
                  <c:v>22583.955000000002</c:v>
                </c:pt>
                <c:pt idx="8">
                  <c:v>19012.752</c:v>
                </c:pt>
                <c:pt idx="9">
                  <c:v>29262.522000000001</c:v>
                </c:pt>
                <c:pt idx="10">
                  <c:v>25691.383000000002</c:v>
                </c:pt>
              </c:numCache>
            </c:numRef>
          </c:val>
          <c:smooth val="0"/>
          <c:extLst>
            <c:ext xmlns:c16="http://schemas.microsoft.com/office/drawing/2014/chart" uri="{C3380CC4-5D6E-409C-BE32-E72D297353CC}">
              <c16:uniqueId val="{00000007-03FC-4D63-B343-7DE851085A89}"/>
            </c:ext>
          </c:extLst>
        </c:ser>
        <c:ser>
          <c:idx val="8"/>
          <c:order val="8"/>
          <c:tx>
            <c:strRef>
              <c:f>'Evol. prod. vino DO por cepa'!$A$12</c:f>
              <c:strCache>
                <c:ptCount val="1"/>
                <c:pt idx="0">
                  <c:v>Pinot Noir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cepa'!$B$12:$L$12</c:f>
              <c:numCache>
                <c:formatCode>#,##0</c:formatCode>
                <c:ptCount val="11"/>
                <c:pt idx="0">
                  <c:v>23823.706999999999</c:v>
                </c:pt>
                <c:pt idx="1">
                  <c:v>26160.901999999998</c:v>
                </c:pt>
                <c:pt idx="2">
                  <c:v>19884.831999999999</c:v>
                </c:pt>
                <c:pt idx="3">
                  <c:v>25596.091</c:v>
                </c:pt>
                <c:pt idx="4">
                  <c:v>26134.602999999999</c:v>
                </c:pt>
                <c:pt idx="5">
                  <c:v>23719.378000000001</c:v>
                </c:pt>
                <c:pt idx="6">
                  <c:v>26661.965</c:v>
                </c:pt>
                <c:pt idx="7">
                  <c:v>25858.561000000002</c:v>
                </c:pt>
                <c:pt idx="8">
                  <c:v>21013.623</c:v>
                </c:pt>
                <c:pt idx="9">
                  <c:v>24935.200000000001</c:v>
                </c:pt>
                <c:pt idx="10">
                  <c:v>26946.832999999999</c:v>
                </c:pt>
              </c:numCache>
            </c:numRef>
          </c:val>
          <c:smooth val="0"/>
          <c:extLst>
            <c:ext xmlns:c16="http://schemas.microsoft.com/office/drawing/2014/chart" uri="{C3380CC4-5D6E-409C-BE32-E72D297353CC}">
              <c16:uniqueId val="{00000008-03FC-4D63-B343-7DE851085A89}"/>
            </c:ext>
          </c:extLst>
        </c:ser>
        <c:ser>
          <c:idx val="9"/>
          <c:order val="9"/>
          <c:tx>
            <c:strRef>
              <c:f>'Evol. prod. vino DO por cepa'!$A$13</c:f>
              <c:strCache>
                <c:ptCount val="1"/>
                <c:pt idx="0">
                  <c:v>País - Mission</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cepa'!$B$13:$L$13</c:f>
              <c:numCache>
                <c:formatCode>#,##0</c:formatCode>
                <c:ptCount val="11"/>
                <c:pt idx="0">
                  <c:v>28842.839</c:v>
                </c:pt>
                <c:pt idx="1">
                  <c:v>18310.151999999998</c:v>
                </c:pt>
                <c:pt idx="2">
                  <c:v>15716.58</c:v>
                </c:pt>
                <c:pt idx="3">
                  <c:v>19821.627</c:v>
                </c:pt>
                <c:pt idx="4">
                  <c:v>24033.350999999999</c:v>
                </c:pt>
                <c:pt idx="5">
                  <c:v>20375.241000000002</c:v>
                </c:pt>
                <c:pt idx="6">
                  <c:v>35512.849000000002</c:v>
                </c:pt>
                <c:pt idx="7">
                  <c:v>33883.722999999998</c:v>
                </c:pt>
                <c:pt idx="8">
                  <c:v>26794.792000000001</c:v>
                </c:pt>
                <c:pt idx="9">
                  <c:v>19941.007000000001</c:v>
                </c:pt>
                <c:pt idx="10">
                  <c:v>15946.671</c:v>
                </c:pt>
              </c:numCache>
            </c:numRef>
          </c:val>
          <c:smooth val="0"/>
          <c:extLst>
            <c:ext xmlns:c16="http://schemas.microsoft.com/office/drawing/2014/chart" uri="{C3380CC4-5D6E-409C-BE32-E72D297353CC}">
              <c16:uniqueId val="{00000009-03FC-4D63-B343-7DE851085A89}"/>
            </c:ext>
          </c:extLst>
        </c:ser>
        <c:ser>
          <c:idx val="10"/>
          <c:order val="10"/>
          <c:tx>
            <c:strRef>
              <c:f>'Evol. prod. vino DO por cepa'!$A$14</c:f>
              <c:strCache>
                <c:ptCount val="1"/>
                <c:pt idx="0">
                  <c:v>Moscatel de Alejandría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cepa'!$B$14:$L$14</c:f>
              <c:numCache>
                <c:formatCode>#,##0</c:formatCode>
                <c:ptCount val="11"/>
                <c:pt idx="0">
                  <c:v>33589.83</c:v>
                </c:pt>
                <c:pt idx="1">
                  <c:v>17614.305</c:v>
                </c:pt>
                <c:pt idx="2">
                  <c:v>16874.953000000001</c:v>
                </c:pt>
                <c:pt idx="3">
                  <c:v>15420.183999999999</c:v>
                </c:pt>
                <c:pt idx="4">
                  <c:v>15326.906000000001</c:v>
                </c:pt>
                <c:pt idx="5">
                  <c:v>18395.760999999999</c:v>
                </c:pt>
                <c:pt idx="6">
                  <c:v>18654.705000000002</c:v>
                </c:pt>
                <c:pt idx="7">
                  <c:v>16367.661</c:v>
                </c:pt>
                <c:pt idx="8">
                  <c:v>21472.255000000001</c:v>
                </c:pt>
                <c:pt idx="9">
                  <c:v>15278.168</c:v>
                </c:pt>
                <c:pt idx="10">
                  <c:v>11989.893</c:v>
                </c:pt>
              </c:numCache>
            </c:numRef>
          </c:val>
          <c:smooth val="0"/>
          <c:extLst>
            <c:ext xmlns:c16="http://schemas.microsoft.com/office/drawing/2014/chart" uri="{C3380CC4-5D6E-409C-BE32-E72D297353CC}">
              <c16:uniqueId val="{0000000A-03FC-4D63-B343-7DE851085A89}"/>
            </c:ext>
          </c:extLst>
        </c:ser>
        <c:ser>
          <c:idx val="11"/>
          <c:order val="11"/>
          <c:tx>
            <c:strRef>
              <c:f>'Evol. prod. vino DO por cepa'!$A$15</c:f>
              <c:strCache>
                <c:ptCount val="1"/>
                <c:pt idx="0">
                  <c:v>Otras </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numRef>
              <c:f>'Evol. prod. vino DO por cepa'!$B$3:$L$3</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'Evol. prod. vino DO por cepa'!$B$15:$L$15</c:f>
              <c:numCache>
                <c:formatCode>#,##0</c:formatCode>
                <c:ptCount val="11"/>
                <c:pt idx="0">
                  <c:v>51111.241000000002</c:v>
                </c:pt>
                <c:pt idx="1">
                  <c:v>53274.555999999997</c:v>
                </c:pt>
                <c:pt idx="2">
                  <c:v>48774.767</c:v>
                </c:pt>
                <c:pt idx="3">
                  <c:v>52768.055999999997</c:v>
                </c:pt>
                <c:pt idx="4">
                  <c:v>46360.313000000002</c:v>
                </c:pt>
                <c:pt idx="5">
                  <c:v>47558.072999999997</c:v>
                </c:pt>
                <c:pt idx="6">
                  <c:v>61865.686000000002</c:v>
                </c:pt>
                <c:pt idx="7">
                  <c:v>20087.521000000001</c:v>
                </c:pt>
                <c:pt idx="8">
                  <c:v>50574.358</c:v>
                </c:pt>
                <c:pt idx="9">
                  <c:v>62611.133999999998</c:v>
                </c:pt>
                <c:pt idx="10">
                  <c:v>64445.440000000061</c:v>
                </c:pt>
              </c:numCache>
            </c:numRef>
          </c:val>
          <c:smooth val="0"/>
          <c:extLst>
            <c:ext xmlns:c16="http://schemas.microsoft.com/office/drawing/2014/chart" uri="{C3380CC4-5D6E-409C-BE32-E72D297353CC}">
              <c16:uniqueId val="{0000000B-03FC-4D63-B343-7DE851085A89}"/>
            </c:ext>
          </c:extLst>
        </c:ser>
        <c:dLbls>
          <c:showLegendKey val="0"/>
          <c:showVal val="0"/>
          <c:showCatName val="0"/>
          <c:showSerName val="0"/>
          <c:showPercent val="0"/>
          <c:showBubbleSize val="0"/>
        </c:dLbls>
        <c:marker val="1"/>
        <c:smooth val="0"/>
        <c:axId val="-1401088624"/>
        <c:axId val="-1401085872"/>
      </c:lineChart>
      <c:catAx>
        <c:axId val="-140108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5872"/>
        <c:crosses val="autoZero"/>
        <c:auto val="1"/>
        <c:lblAlgn val="ctr"/>
        <c:lblOffset val="100"/>
        <c:noMultiLvlLbl val="0"/>
      </c:catAx>
      <c:valAx>
        <c:axId val="-1401085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miles de litros</a:t>
                </a:r>
              </a:p>
            </c:rich>
          </c:tx>
          <c:layout>
            <c:manualLayout>
              <c:xMode val="edge"/>
              <c:yMode val="edge"/>
              <c:x val="4.1009837228007801E-2"/>
              <c:y val="0.312392024485854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8624"/>
        <c:crosses val="autoZero"/>
        <c:crossBetween val="between"/>
      </c:valAx>
      <c:spPr>
        <a:noFill/>
        <a:ln>
          <a:noFill/>
        </a:ln>
        <a:effectLst/>
      </c:spPr>
    </c:plotArea>
    <c:legend>
      <c:legendPos val="b"/>
      <c:layout>
        <c:manualLayout>
          <c:xMode val="edge"/>
          <c:yMode val="edge"/>
          <c:x val="0.10745203426004871"/>
          <c:y val="0.7331305177761871"/>
          <c:w val="0.86065388323274872"/>
          <c:h val="0.12833164663194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landscape"/>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25. Producción de vinos con DO por variedades. Año 2022</a:t>
            </a:r>
            <a:endParaRPr lang="en-US"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268598683460818"/>
          <c:y val="0.152982191772075"/>
          <c:w val="0.45163568527426001"/>
          <c:h val="0.6307050844094389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53-4FFD-B49C-8333902170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6F53-4FFD-B49C-8333902170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3-6F53-4FFD-B49C-83339021707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4-6F53-4FFD-B49C-83339021707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6F53-4FFD-B49C-83339021707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6-6F53-4FFD-B49C-83339021707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7-6F53-4FFD-B49C-83339021707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8-6F53-4FFD-B49C-83339021707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9-6F53-4FFD-B49C-83339021707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A-6F53-4FFD-B49C-83339021707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B-6F53-4FFD-B49C-83339021707F}"/>
              </c:ext>
            </c:extLst>
          </c:dPt>
          <c:dLbls>
            <c:dLbl>
              <c:idx val="0"/>
              <c:layout>
                <c:manualLayout>
                  <c:x val="2.1829119203059501E-2"/>
                  <c:y val="0.103811301672427"/>
                </c:manualLayout>
              </c:layout>
              <c:tx>
                <c:rich>
                  <a:bodyPr/>
                  <a:lstStyle/>
                  <a:p>
                    <a:fld id="{A4402506-9302-47AC-A50C-002D16A76F48}" type="CELLRANGE">
                      <a:rPr lang="en-US" baseline="0"/>
                      <a:pPr/>
                      <a:t>[CELLRANGE]</a:t>
                    </a:fld>
                    <a:r>
                      <a:rPr lang="en-US" baseline="0"/>
                      <a:t>; </a:t>
                    </a:r>
                    <a:fld id="{46AD38BF-7FA1-44D1-8ED4-6FABC26C218C}"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F53-4FFD-B49C-83339021707F}"/>
                </c:ext>
              </c:extLst>
            </c:dLbl>
            <c:dLbl>
              <c:idx val="1"/>
              <c:layout>
                <c:manualLayout>
                  <c:x val="1.0263125283675499E-2"/>
                  <c:y val="-3.8234835392222201E-2"/>
                </c:manualLayout>
              </c:layout>
              <c:tx>
                <c:rich>
                  <a:bodyPr/>
                  <a:lstStyle/>
                  <a:p>
                    <a:fld id="{BF766DD3-D27D-4E09-AEEF-9EA3ACECEFFD}" type="CELLRANGE">
                      <a:rPr lang="en-US" baseline="0"/>
                      <a:pPr/>
                      <a:t>[CELLRANGE]</a:t>
                    </a:fld>
                    <a:r>
                      <a:rPr lang="en-US" baseline="0"/>
                      <a:t>; </a:t>
                    </a:r>
                    <a:fld id="{5846C8FF-3530-42CD-BE15-567F76A199FD}"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F53-4FFD-B49C-83339021707F}"/>
                </c:ext>
              </c:extLst>
            </c:dLbl>
            <c:dLbl>
              <c:idx val="2"/>
              <c:layout>
                <c:manualLayout>
                  <c:x val="3.6677078492140698E-2"/>
                  <c:y val="-1.13632840956647E-2"/>
                </c:manualLayout>
              </c:layout>
              <c:tx>
                <c:rich>
                  <a:bodyPr/>
                  <a:lstStyle/>
                  <a:p>
                    <a:fld id="{72FFD539-EBDD-45B4-A389-2BB4634B6EF4}" type="CELLRANGE">
                      <a:rPr lang="en-US" baseline="0"/>
                      <a:pPr/>
                      <a:t>[CELLRANGE]</a:t>
                    </a:fld>
                    <a:r>
                      <a:rPr lang="en-US" baseline="0"/>
                      <a:t>; </a:t>
                    </a:r>
                    <a:fld id="{EDE59A96-BC99-485A-9523-027B332BB4C6}"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F53-4FFD-B49C-83339021707F}"/>
                </c:ext>
              </c:extLst>
            </c:dLbl>
            <c:dLbl>
              <c:idx val="3"/>
              <c:layout>
                <c:manualLayout>
                  <c:x val="-2.0015001877578178E-2"/>
                  <c:y val="-2.8422499108762031E-2"/>
                </c:manualLayout>
              </c:layout>
              <c:tx>
                <c:rich>
                  <a:bodyPr/>
                  <a:lstStyle/>
                  <a:p>
                    <a:fld id="{86501406-CD40-43CC-878C-36AFA2A1BB27}" type="CELLRANGE">
                      <a:rPr lang="en-US" baseline="0"/>
                      <a:pPr/>
                      <a:t>[CELLRANGE]</a:t>
                    </a:fld>
                    <a:r>
                      <a:rPr lang="en-US" baseline="0"/>
                      <a:t>; </a:t>
                    </a:r>
                    <a:fld id="{97070D3C-92B4-4E28-8418-0A06D971F5B8}"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F53-4FFD-B49C-83339021707F}"/>
                </c:ext>
              </c:extLst>
            </c:dLbl>
            <c:dLbl>
              <c:idx val="4"/>
              <c:layout>
                <c:manualLayout>
                  <c:x val="1.26965715591623E-2"/>
                  <c:y val="-1.4054435265123901E-2"/>
                </c:manualLayout>
              </c:layout>
              <c:tx>
                <c:rich>
                  <a:bodyPr/>
                  <a:lstStyle/>
                  <a:p>
                    <a:fld id="{BC636E26-9E7F-4A21-999C-00A3BCCEF3DE}" type="CELLRANGE">
                      <a:rPr lang="en-US" baseline="0"/>
                      <a:pPr/>
                      <a:t>[CELLRANGE]</a:t>
                    </a:fld>
                    <a:r>
                      <a:rPr lang="en-US" baseline="0"/>
                      <a:t>; </a:t>
                    </a:r>
                    <a:fld id="{68B1574D-4F76-4DD0-A3C9-456956455AC7}"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F53-4FFD-B49C-83339021707F}"/>
                </c:ext>
              </c:extLst>
            </c:dLbl>
            <c:dLbl>
              <c:idx val="5"/>
              <c:layout>
                <c:manualLayout>
                  <c:x val="6.9570691708041197E-3"/>
                  <c:y val="3.0853786598880901E-2"/>
                </c:manualLayout>
              </c:layout>
              <c:tx>
                <c:rich>
                  <a:bodyPr/>
                  <a:lstStyle/>
                  <a:p>
                    <a:fld id="{1059A4CD-7723-47B3-8C04-94D3DFC73E06}" type="CELLRANGE">
                      <a:rPr lang="en-US" baseline="0"/>
                      <a:pPr/>
                      <a:t>[CELLRANGE]</a:t>
                    </a:fld>
                    <a:r>
                      <a:rPr lang="en-US" baseline="0"/>
                      <a:t>; </a:t>
                    </a:r>
                    <a:fld id="{87063C87-D451-4674-8B4A-EB6B5599A09D}"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F53-4FFD-B49C-83339021707F}"/>
                </c:ext>
              </c:extLst>
            </c:dLbl>
            <c:dLbl>
              <c:idx val="6"/>
              <c:tx>
                <c:rich>
                  <a:bodyPr/>
                  <a:lstStyle/>
                  <a:p>
                    <a:fld id="{F9EA9294-9CEC-4812-95BB-28D9756781E6}" type="CELLRANGE">
                      <a:rPr lang="en-US"/>
                      <a:pPr/>
                      <a:t>[CELLRANGE]</a:t>
                    </a:fld>
                    <a:r>
                      <a:rPr lang="en-US" baseline="0"/>
                      <a:t>; </a:t>
                    </a:r>
                    <a:fld id="{939417EC-BBCC-4D76-8DCA-2F336738FA53}"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6F53-4FFD-B49C-83339021707F}"/>
                </c:ext>
              </c:extLst>
            </c:dLbl>
            <c:dLbl>
              <c:idx val="7"/>
              <c:tx>
                <c:rich>
                  <a:bodyPr/>
                  <a:lstStyle/>
                  <a:p>
                    <a:fld id="{27CEBEFA-39CF-4864-A80E-425EEBEB5E73}" type="CELLRANGE">
                      <a:rPr lang="en-US"/>
                      <a:pPr/>
                      <a:t>[CELLRANGE]</a:t>
                    </a:fld>
                    <a:r>
                      <a:rPr lang="en-US" baseline="0"/>
                      <a:t>; </a:t>
                    </a:r>
                    <a:fld id="{5EE2AD99-68F7-4F9F-8F16-C5E765C35D45}"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6F53-4FFD-B49C-83339021707F}"/>
                </c:ext>
              </c:extLst>
            </c:dLbl>
            <c:dLbl>
              <c:idx val="8"/>
              <c:tx>
                <c:rich>
                  <a:bodyPr/>
                  <a:lstStyle/>
                  <a:p>
                    <a:fld id="{7A01E160-2B92-4D09-8351-3A5DC6BF2579}" type="CELLRANGE">
                      <a:rPr lang="en-US"/>
                      <a:pPr/>
                      <a:t>[CELLRANGE]</a:t>
                    </a:fld>
                    <a:r>
                      <a:rPr lang="en-US" baseline="0"/>
                      <a:t>; </a:t>
                    </a:r>
                    <a:fld id="{823F278E-6102-44CE-A9D0-777DFBA09F7C}"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6F53-4FFD-B49C-83339021707F}"/>
                </c:ext>
              </c:extLst>
            </c:dLbl>
            <c:dLbl>
              <c:idx val="9"/>
              <c:layout>
                <c:manualLayout>
                  <c:x val="2.05656206534722E-2"/>
                  <c:y val="-6.0128289830587302E-2"/>
                </c:manualLayout>
              </c:layout>
              <c:tx>
                <c:rich>
                  <a:bodyPr/>
                  <a:lstStyle/>
                  <a:p>
                    <a:fld id="{9BC701E4-0EB0-4A18-8424-F008D865748C}" type="CELLRANGE">
                      <a:rPr lang="en-US" baseline="0"/>
                      <a:pPr/>
                      <a:t>[CELLRANGE]</a:t>
                    </a:fld>
                    <a:r>
                      <a:rPr lang="en-US" baseline="0"/>
                      <a:t>; </a:t>
                    </a:r>
                    <a:fld id="{C8042F2E-3346-40EA-A2EA-C52ACCD978E3}"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F53-4FFD-B49C-83339021707F}"/>
                </c:ext>
              </c:extLst>
            </c:dLbl>
            <c:dLbl>
              <c:idx val="10"/>
              <c:layout>
                <c:manualLayout>
                  <c:x val="0.11043993446568"/>
                  <c:y val="-1.0008989878636699E-2"/>
                </c:manualLayout>
              </c:layout>
              <c:tx>
                <c:rich>
                  <a:bodyPr/>
                  <a:lstStyle/>
                  <a:p>
                    <a:fld id="{AC710448-31DF-493E-9D09-BF6BFA3FB3D5}" type="CELLRANGE">
                      <a:rPr lang="en-US" baseline="0"/>
                      <a:pPr/>
                      <a:t>[CELLRANGE]</a:t>
                    </a:fld>
                    <a:r>
                      <a:rPr lang="en-US" baseline="0"/>
                      <a:t>; </a:t>
                    </a:r>
                    <a:fld id="{E9E4A1C4-AC23-4503-AF30-A2AE5223D327}" type="CATEGORYNAME">
                      <a:rPr lang="en-US" baseline="0"/>
                      <a:pPr/>
                      <a:t>[NOMBRE DE CATEGORÍA]</a:t>
                    </a:fld>
                    <a:endParaRPr lang="en-US" baseline="0"/>
                  </a:p>
                </c:rich>
              </c:tx>
              <c:dLblPos val="bestFit"/>
              <c:showLegendKey val="0"/>
              <c:showVal val="0"/>
              <c:showCatName val="1"/>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F53-4FFD-B49C-8333902170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'Prod vino graf'!$O$2:$O$12</c:f>
              <c:strCache>
                <c:ptCount val="11"/>
                <c:pt idx="0">
                  <c:v>Cabernet Sauvignon</c:v>
                </c:pt>
                <c:pt idx="1">
                  <c:v>Sauvignon Blanc</c:v>
                </c:pt>
                <c:pt idx="2">
                  <c:v>Merlot</c:v>
                </c:pt>
                <c:pt idx="3">
                  <c:v>Chardonnay</c:v>
                </c:pt>
                <c:pt idx="4">
                  <c:v>Carménère</c:v>
                </c:pt>
                <c:pt idx="5">
                  <c:v>Syrah</c:v>
                </c:pt>
                <c:pt idx="6">
                  <c:v>Pedro Jiménez</c:v>
                </c:pt>
                <c:pt idx="7">
                  <c:v>Malbec</c:v>
                </c:pt>
                <c:pt idx="8">
                  <c:v>Pinot Noir</c:v>
                </c:pt>
                <c:pt idx="9">
                  <c:v>País - Mission</c:v>
                </c:pt>
                <c:pt idx="10">
                  <c:v>Otras </c:v>
                </c:pt>
              </c:strCache>
            </c:strRef>
          </c:cat>
          <c:val>
            <c:numRef>
              <c:f>'Prod vino graf'!$P$2:$P$12</c:f>
              <c:numCache>
                <c:formatCode>#,##0</c:formatCode>
                <c:ptCount val="11"/>
                <c:pt idx="0">
                  <c:v>340922318</c:v>
                </c:pt>
                <c:pt idx="1">
                  <c:v>141061371</c:v>
                </c:pt>
                <c:pt idx="2">
                  <c:v>123222610</c:v>
                </c:pt>
                <c:pt idx="3">
                  <c:v>104103156</c:v>
                </c:pt>
                <c:pt idx="4">
                  <c:v>88431268</c:v>
                </c:pt>
                <c:pt idx="5">
                  <c:v>61235365</c:v>
                </c:pt>
                <c:pt idx="6">
                  <c:v>31495200</c:v>
                </c:pt>
                <c:pt idx="7">
                  <c:v>25691383</c:v>
                </c:pt>
                <c:pt idx="8">
                  <c:v>26946833</c:v>
                </c:pt>
                <c:pt idx="9">
                  <c:v>15948021</c:v>
                </c:pt>
                <c:pt idx="10">
                  <c:v>76428675</c:v>
                </c:pt>
              </c:numCache>
            </c:numRef>
          </c:val>
          <c:extLst>
            <c:ext xmlns:c15="http://schemas.microsoft.com/office/drawing/2012/chart" uri="{02D57815-91ED-43cb-92C2-25804820EDAC}">
              <c15:datalabelsRange>
                <c15:f>'Prod vino graf'!$Q$2:$Q$12</c15:f>
                <c15:dlblRangeCache>
                  <c:ptCount val="11"/>
                  <c:pt idx="0">
                    <c:v>32,9%</c:v>
                  </c:pt>
                  <c:pt idx="1">
                    <c:v>13,6%</c:v>
                  </c:pt>
                  <c:pt idx="2">
                    <c:v>11,9%</c:v>
                  </c:pt>
                  <c:pt idx="3">
                    <c:v>10,1%</c:v>
                  </c:pt>
                  <c:pt idx="4">
                    <c:v>8,5%</c:v>
                  </c:pt>
                  <c:pt idx="5">
                    <c:v>5,9%</c:v>
                  </c:pt>
                  <c:pt idx="6">
                    <c:v>3,0%</c:v>
                  </c:pt>
                  <c:pt idx="7">
                    <c:v>2,5%</c:v>
                  </c:pt>
                  <c:pt idx="8">
                    <c:v>2,6%</c:v>
                  </c:pt>
                  <c:pt idx="9">
                    <c:v>1,5%</c:v>
                  </c:pt>
                  <c:pt idx="10">
                    <c:v>7,4%</c:v>
                  </c:pt>
                </c15:dlblRangeCache>
              </c15:datalabelsRange>
            </c:ext>
            <c:ext xmlns:c16="http://schemas.microsoft.com/office/drawing/2014/chart" uri="{C3380CC4-5D6E-409C-BE32-E72D297353CC}">
              <c16:uniqueId val="{00000000-6F53-4FFD-B49C-83339021707F}"/>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1.6016392727661501E-2"/>
          <c:y val="0.82495018342617199"/>
          <c:w val="0.952333487618932"/>
          <c:h val="0.13138510458656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lumMod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0" i="0" baseline="0">
                <a:effectLst/>
              </a:rPr>
              <a:t>Gráfico 26. Evolución de la producción de vinos por categorías</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7184876973990301"/>
          <c:y val="0.109382427178388"/>
          <c:w val="0.80362503182085498"/>
          <c:h val="0.64200581854978966"/>
        </c:manualLayout>
      </c:layout>
      <c:lineChart>
        <c:grouping val="standard"/>
        <c:varyColors val="0"/>
        <c:ser>
          <c:idx val="0"/>
          <c:order val="0"/>
          <c:tx>
            <c:strRef>
              <c:f>'Prod vino graf'!$P$16</c:f>
              <c:strCache>
                <c:ptCount val="1"/>
                <c:pt idx="0">
                  <c:v>Vinos con D.O.</c:v>
                </c:pt>
              </c:strCache>
            </c:strRef>
          </c:tx>
          <c:spPr>
            <a:ln w="28575" cap="rnd">
              <a:solidFill>
                <a:schemeClr val="accent1"/>
              </a:solidFill>
              <a:round/>
            </a:ln>
            <a:effectLst/>
          </c:spPr>
          <c:marker>
            <c:symbol val="none"/>
          </c:marker>
          <c:cat>
            <c:numRef>
              <c:f>'Prod vino graf'!$O$19:$O$42</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'Prod vino graf'!$P$19:$P$42</c:f>
              <c:numCache>
                <c:formatCode>#,##0</c:formatCode>
                <c:ptCount val="24"/>
                <c:pt idx="0">
                  <c:v>2395729</c:v>
                </c:pt>
                <c:pt idx="1">
                  <c:v>3748213</c:v>
                </c:pt>
                <c:pt idx="2">
                  <c:v>4460397</c:v>
                </c:pt>
                <c:pt idx="3">
                  <c:v>4430500</c:v>
                </c:pt>
                <c:pt idx="4">
                  <c:v>5460865</c:v>
                </c:pt>
                <c:pt idx="5">
                  <c:v>5474888</c:v>
                </c:pt>
                <c:pt idx="6">
                  <c:v>6303212</c:v>
                </c:pt>
                <c:pt idx="7">
                  <c:v>7163043</c:v>
                </c:pt>
                <c:pt idx="8">
                  <c:v>7038874</c:v>
                </c:pt>
                <c:pt idx="9">
                  <c:v>6927908</c:v>
                </c:pt>
                <c:pt idx="10">
                  <c:v>8665659</c:v>
                </c:pt>
                <c:pt idx="11">
                  <c:v>7445528</c:v>
                </c:pt>
                <c:pt idx="12">
                  <c:v>8286392</c:v>
                </c:pt>
                <c:pt idx="13">
                  <c:v>10159853</c:v>
                </c:pt>
                <c:pt idx="14">
                  <c:v>10746399.59</c:v>
                </c:pt>
                <c:pt idx="15">
                  <c:v>8409649</c:v>
                </c:pt>
                <c:pt idx="16">
                  <c:v>10812866.810000001</c:v>
                </c:pt>
                <c:pt idx="17">
                  <c:v>8524838.3000000007</c:v>
                </c:pt>
                <c:pt idx="18">
                  <c:v>8050614.1399999997</c:v>
                </c:pt>
                <c:pt idx="19">
                  <c:v>10527819.439999999</c:v>
                </c:pt>
                <c:pt idx="20">
                  <c:v>10300475</c:v>
                </c:pt>
                <c:pt idx="21">
                  <c:v>8882067</c:v>
                </c:pt>
                <c:pt idx="22">
                  <c:v>10893578.529999999</c:v>
                </c:pt>
                <c:pt idx="23">
                  <c:v>10354862</c:v>
                </c:pt>
              </c:numCache>
            </c:numRef>
          </c:val>
          <c:smooth val="0"/>
          <c:extLst>
            <c:ext xmlns:c16="http://schemas.microsoft.com/office/drawing/2014/chart" uri="{C3380CC4-5D6E-409C-BE32-E72D297353CC}">
              <c16:uniqueId val="{00000000-713A-442F-8DC8-E1D6CB83F3F4}"/>
            </c:ext>
          </c:extLst>
        </c:ser>
        <c:ser>
          <c:idx val="1"/>
          <c:order val="1"/>
          <c:tx>
            <c:strRef>
              <c:f>'Prod vino graf'!$Q$16</c:f>
              <c:strCache>
                <c:ptCount val="1"/>
                <c:pt idx="0">
                  <c:v>Vinos sin D.O. (*)</c:v>
                </c:pt>
              </c:strCache>
            </c:strRef>
          </c:tx>
          <c:spPr>
            <a:ln w="28575" cap="rnd">
              <a:solidFill>
                <a:schemeClr val="accent2"/>
              </a:solidFill>
              <a:round/>
            </a:ln>
            <a:effectLst/>
          </c:spPr>
          <c:marker>
            <c:symbol val="none"/>
          </c:marker>
          <c:cat>
            <c:numRef>
              <c:f>'Prod vino graf'!$O$19:$O$42</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'Prod vino graf'!$Q$19:$Q$42</c:f>
              <c:numCache>
                <c:formatCode>#,##0</c:formatCode>
                <c:ptCount val="24"/>
                <c:pt idx="0">
                  <c:v>1318548</c:v>
                </c:pt>
                <c:pt idx="1">
                  <c:v>1956098</c:v>
                </c:pt>
                <c:pt idx="2">
                  <c:v>583290</c:v>
                </c:pt>
                <c:pt idx="3">
                  <c:v>834463</c:v>
                </c:pt>
                <c:pt idx="4">
                  <c:v>947611</c:v>
                </c:pt>
                <c:pt idx="5">
                  <c:v>577173</c:v>
                </c:pt>
                <c:pt idx="6">
                  <c:v>1047796</c:v>
                </c:pt>
                <c:pt idx="7">
                  <c:v>861365</c:v>
                </c:pt>
                <c:pt idx="8">
                  <c:v>879062</c:v>
                </c:pt>
                <c:pt idx="9">
                  <c:v>1318511</c:v>
                </c:pt>
                <c:pt idx="10">
                  <c:v>1152065</c:v>
                </c:pt>
                <c:pt idx="11">
                  <c:v>1271633</c:v>
                </c:pt>
                <c:pt idx="12">
                  <c:v>1180010</c:v>
                </c:pt>
                <c:pt idx="13">
                  <c:v>1716869</c:v>
                </c:pt>
                <c:pt idx="14">
                  <c:v>1361019.94</c:v>
                </c:pt>
                <c:pt idx="15">
                  <c:v>1101227.26</c:v>
                </c:pt>
                <c:pt idx="16">
                  <c:v>1522542.81</c:v>
                </c:pt>
                <c:pt idx="17">
                  <c:v>1217747.5</c:v>
                </c:pt>
                <c:pt idx="18">
                  <c:v>1103298.02</c:v>
                </c:pt>
                <c:pt idx="19">
                  <c:v>1358918.94</c:v>
                </c:pt>
                <c:pt idx="20">
                  <c:v>1339894</c:v>
                </c:pt>
                <c:pt idx="21">
                  <c:v>1219875</c:v>
                </c:pt>
                <c:pt idx="22">
                  <c:v>1874779</c:v>
                </c:pt>
                <c:pt idx="23">
                  <c:v>1905859</c:v>
                </c:pt>
              </c:numCache>
            </c:numRef>
          </c:val>
          <c:smooth val="0"/>
          <c:extLst>
            <c:ext xmlns:c16="http://schemas.microsoft.com/office/drawing/2014/chart" uri="{C3380CC4-5D6E-409C-BE32-E72D297353CC}">
              <c16:uniqueId val="{00000001-713A-442F-8DC8-E1D6CB83F3F4}"/>
            </c:ext>
          </c:extLst>
        </c:ser>
        <c:ser>
          <c:idx val="2"/>
          <c:order val="2"/>
          <c:tx>
            <c:strRef>
              <c:f>'Prod vino graf'!$R$16</c:f>
              <c:strCache>
                <c:ptCount val="1"/>
                <c:pt idx="0">
                  <c:v>Vinos de mesa</c:v>
                </c:pt>
              </c:strCache>
            </c:strRef>
          </c:tx>
          <c:spPr>
            <a:ln w="28575" cap="rnd">
              <a:solidFill>
                <a:schemeClr val="accent3"/>
              </a:solidFill>
              <a:round/>
            </a:ln>
            <a:effectLst/>
          </c:spPr>
          <c:marker>
            <c:symbol val="none"/>
          </c:marker>
          <c:cat>
            <c:numRef>
              <c:f>'Prod vino graf'!$O$19:$O$42</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'Prod vino graf'!$R$19:$R$42</c:f>
              <c:numCache>
                <c:formatCode>#,##0</c:formatCode>
                <c:ptCount val="24"/>
                <c:pt idx="0">
                  <c:v>565874</c:v>
                </c:pt>
                <c:pt idx="1">
                  <c:v>715063</c:v>
                </c:pt>
                <c:pt idx="2">
                  <c:v>408098</c:v>
                </c:pt>
                <c:pt idx="3">
                  <c:v>358267</c:v>
                </c:pt>
                <c:pt idx="4">
                  <c:v>273745</c:v>
                </c:pt>
                <c:pt idx="5">
                  <c:v>248675</c:v>
                </c:pt>
                <c:pt idx="6">
                  <c:v>534503</c:v>
                </c:pt>
                <c:pt idx="7">
                  <c:v>424370</c:v>
                </c:pt>
                <c:pt idx="8">
                  <c:v>359524</c:v>
                </c:pt>
                <c:pt idx="9">
                  <c:v>436551</c:v>
                </c:pt>
                <c:pt idx="10">
                  <c:v>275198</c:v>
                </c:pt>
                <c:pt idx="11">
                  <c:v>435221</c:v>
                </c:pt>
                <c:pt idx="12">
                  <c:v>997406</c:v>
                </c:pt>
                <c:pt idx="13">
                  <c:v>676985</c:v>
                </c:pt>
                <c:pt idx="14">
                  <c:v>713532.72</c:v>
                </c:pt>
                <c:pt idx="15">
                  <c:v>385395</c:v>
                </c:pt>
                <c:pt idx="16">
                  <c:v>531451.97</c:v>
                </c:pt>
                <c:pt idx="17">
                  <c:v>401034.54</c:v>
                </c:pt>
                <c:pt idx="18">
                  <c:v>338145.85</c:v>
                </c:pt>
                <c:pt idx="19">
                  <c:v>1012231.45</c:v>
                </c:pt>
                <c:pt idx="20">
                  <c:v>298388</c:v>
                </c:pt>
                <c:pt idx="21">
                  <c:v>235286</c:v>
                </c:pt>
                <c:pt idx="22">
                  <c:v>668928.74</c:v>
                </c:pt>
                <c:pt idx="23">
                  <c:v>182978</c:v>
                </c:pt>
              </c:numCache>
            </c:numRef>
          </c:val>
          <c:smooth val="0"/>
          <c:extLst>
            <c:ext xmlns:c16="http://schemas.microsoft.com/office/drawing/2014/chart" uri="{C3380CC4-5D6E-409C-BE32-E72D297353CC}">
              <c16:uniqueId val="{00000002-713A-442F-8DC8-E1D6CB83F3F4}"/>
            </c:ext>
          </c:extLst>
        </c:ser>
        <c:dLbls>
          <c:showLegendKey val="0"/>
          <c:showVal val="0"/>
          <c:showCatName val="0"/>
          <c:showSerName val="0"/>
          <c:showPercent val="0"/>
          <c:showBubbleSize val="0"/>
        </c:dLbls>
        <c:smooth val="0"/>
        <c:axId val="-1401088624"/>
        <c:axId val="-1401085872"/>
      </c:lineChart>
      <c:catAx>
        <c:axId val="-140108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5872"/>
        <c:crosses val="autoZero"/>
        <c:auto val="1"/>
        <c:lblAlgn val="ctr"/>
        <c:lblOffset val="100"/>
        <c:noMultiLvlLbl val="0"/>
      </c:catAx>
      <c:valAx>
        <c:axId val="-1401085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hectolitros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088624"/>
        <c:crosses val="autoZero"/>
        <c:crossBetween val="between"/>
      </c:valAx>
      <c:spPr>
        <a:noFill/>
        <a:ln>
          <a:noFill/>
        </a:ln>
        <a:effectLst/>
      </c:spPr>
    </c:plotArea>
    <c:legend>
      <c:legendPos val="b"/>
      <c:layout>
        <c:manualLayout>
          <c:xMode val="edge"/>
          <c:yMode val="edge"/>
          <c:x val="0.19370989452133888"/>
          <c:y val="0.8653603916980257"/>
          <c:w val="0.64496528234974004"/>
          <c:h val="5.590101966397929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s-CL"/>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27. Evolución de la existencia de vinos años 1997 - 2021 </a:t>
            </a:r>
            <a:endParaRPr lang="es-CL" sz="1050">
              <a:effectLst/>
            </a:endParaRPr>
          </a:p>
          <a:p>
            <a:pPr>
              <a:defRPr sz="1050"/>
            </a:pPr>
            <a:r>
              <a:rPr lang="en-US" sz="1050" b="0" i="0" baseline="0">
                <a:effectLst/>
              </a:rPr>
              <a:t>(Litros)</a:t>
            </a:r>
            <a:endParaRPr lang="es-CL" sz="1050">
              <a:effectLst/>
            </a:endParaRPr>
          </a:p>
        </c:rich>
      </c:tx>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0"/>
          <c:order val="0"/>
          <c:tx>
            <c:strRef>
              <c:f>Existencias!$S$3</c:f>
              <c:strCache>
                <c:ptCount val="1"/>
                <c:pt idx="0">
                  <c:v>VINOS CON DO</c:v>
                </c:pt>
              </c:strCache>
            </c:strRef>
          </c:tx>
          <c:spPr>
            <a:ln w="28575" cap="rnd">
              <a:solidFill>
                <a:schemeClr val="accent1"/>
              </a:solidFill>
              <a:round/>
            </a:ln>
            <a:effectLst/>
          </c:spPr>
          <c:marker>
            <c:symbol val="none"/>
          </c:marker>
          <c:cat>
            <c:numRef>
              <c:f>Existencias!$R$5:$R$26</c:f>
              <c:numCache>
                <c:formatCode>General</c:formatCode>
                <c:ptCount val="22"/>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Existencias!$S$5:$S$26</c:f>
              <c:numCache>
                <c:formatCode>#,##0</c:formatCode>
                <c:ptCount val="22"/>
                <c:pt idx="0">
                  <c:v>175671044</c:v>
                </c:pt>
                <c:pt idx="1">
                  <c:v>186035029</c:v>
                </c:pt>
                <c:pt idx="2">
                  <c:v>355207662</c:v>
                </c:pt>
                <c:pt idx="3">
                  <c:v>422117624</c:v>
                </c:pt>
                <c:pt idx="4">
                  <c:v>459598864</c:v>
                </c:pt>
                <c:pt idx="5">
                  <c:v>517275967</c:v>
                </c:pt>
                <c:pt idx="6">
                  <c:v>454557377</c:v>
                </c:pt>
                <c:pt idx="7">
                  <c:v>528219123</c:v>
                </c:pt>
                <c:pt idx="8">
                  <c:v>645935956</c:v>
                </c:pt>
                <c:pt idx="9">
                  <c:v>669596858</c:v>
                </c:pt>
                <c:pt idx="10">
                  <c:v>602142263</c:v>
                </c:pt>
                <c:pt idx="11">
                  <c:v>681916797</c:v>
                </c:pt>
                <c:pt idx="12">
                  <c:v>881764871</c:v>
                </c:pt>
                <c:pt idx="13">
                  <c:v>1031461850</c:v>
                </c:pt>
                <c:pt idx="14">
                  <c:v>909784707</c:v>
                </c:pt>
                <c:pt idx="15">
                  <c:v>1050473041</c:v>
                </c:pt>
                <c:pt idx="16">
                  <c:v>957630543</c:v>
                </c:pt>
                <c:pt idx="17" formatCode="General">
                  <c:v>870555453</c:v>
                </c:pt>
                <c:pt idx="18" formatCode="_-* #,##0_-;\-* #,##0_-;_-* &quot;-&quot;??_-;_-@_-">
                  <c:v>1040338369</c:v>
                </c:pt>
                <c:pt idx="19">
                  <c:v>1102141162</c:v>
                </c:pt>
                <c:pt idx="20">
                  <c:v>1042170904</c:v>
                </c:pt>
                <c:pt idx="21">
                  <c:v>1138154351</c:v>
                </c:pt>
              </c:numCache>
            </c:numRef>
          </c:val>
          <c:smooth val="0"/>
          <c:extLst>
            <c:ext xmlns:c16="http://schemas.microsoft.com/office/drawing/2014/chart" uri="{C3380CC4-5D6E-409C-BE32-E72D297353CC}">
              <c16:uniqueId val="{00000000-2594-4C4B-93DE-AE161C384A1B}"/>
            </c:ext>
          </c:extLst>
        </c:ser>
        <c:ser>
          <c:idx val="1"/>
          <c:order val="1"/>
          <c:tx>
            <c:strRef>
              <c:f>Existencias!$T$3</c:f>
              <c:strCache>
                <c:ptCount val="1"/>
                <c:pt idx="0">
                  <c:v>VINOS SIN DO</c:v>
                </c:pt>
              </c:strCache>
            </c:strRef>
          </c:tx>
          <c:spPr>
            <a:ln w="28575" cap="rnd">
              <a:solidFill>
                <a:schemeClr val="accent2"/>
              </a:solidFill>
              <a:round/>
            </a:ln>
            <a:effectLst/>
          </c:spPr>
          <c:marker>
            <c:symbol val="none"/>
          </c:marker>
          <c:cat>
            <c:numRef>
              <c:f>Existencias!$R$5:$R$26</c:f>
              <c:numCache>
                <c:formatCode>General</c:formatCode>
                <c:ptCount val="22"/>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Existencias!$T$5:$T$26</c:f>
              <c:numCache>
                <c:formatCode>#,##0</c:formatCode>
                <c:ptCount val="22"/>
                <c:pt idx="0">
                  <c:v>99355647</c:v>
                </c:pt>
                <c:pt idx="1">
                  <c:v>107976074</c:v>
                </c:pt>
                <c:pt idx="2">
                  <c:v>120440370</c:v>
                </c:pt>
                <c:pt idx="3">
                  <c:v>121706615</c:v>
                </c:pt>
                <c:pt idx="4">
                  <c:v>95384544</c:v>
                </c:pt>
                <c:pt idx="5">
                  <c:v>70183358</c:v>
                </c:pt>
                <c:pt idx="6">
                  <c:v>62161175</c:v>
                </c:pt>
                <c:pt idx="7">
                  <c:v>90100557</c:v>
                </c:pt>
                <c:pt idx="8">
                  <c:v>93428473</c:v>
                </c:pt>
                <c:pt idx="9">
                  <c:v>125498308</c:v>
                </c:pt>
                <c:pt idx="10">
                  <c:v>75437320</c:v>
                </c:pt>
                <c:pt idx="11">
                  <c:v>94052153</c:v>
                </c:pt>
                <c:pt idx="12">
                  <c:v>114940176</c:v>
                </c:pt>
                <c:pt idx="13">
                  <c:v>129767391</c:v>
                </c:pt>
                <c:pt idx="14">
                  <c:v>120607285</c:v>
                </c:pt>
                <c:pt idx="15">
                  <c:v>145294410</c:v>
                </c:pt>
                <c:pt idx="16">
                  <c:v>153155678</c:v>
                </c:pt>
                <c:pt idx="17" formatCode="General">
                  <c:v>113958000</c:v>
                </c:pt>
                <c:pt idx="18" formatCode="_-* #,##0_-;\-* #,##0_-;_-* &quot;-&quot;??_-;_-@_-">
                  <c:v>160562174</c:v>
                </c:pt>
                <c:pt idx="19">
                  <c:v>166254507</c:v>
                </c:pt>
                <c:pt idx="20">
                  <c:v>144895261</c:v>
                </c:pt>
                <c:pt idx="21">
                  <c:v>128728892</c:v>
                </c:pt>
              </c:numCache>
            </c:numRef>
          </c:val>
          <c:smooth val="0"/>
          <c:extLst>
            <c:ext xmlns:c16="http://schemas.microsoft.com/office/drawing/2014/chart" uri="{C3380CC4-5D6E-409C-BE32-E72D297353CC}">
              <c16:uniqueId val="{00000001-2594-4C4B-93DE-AE161C384A1B}"/>
            </c:ext>
          </c:extLst>
        </c:ser>
        <c:ser>
          <c:idx val="2"/>
          <c:order val="2"/>
          <c:tx>
            <c:strRef>
              <c:f>Existencias!$U$3</c:f>
              <c:strCache>
                <c:ptCount val="1"/>
                <c:pt idx="0">
                  <c:v>VINOS DE MESA</c:v>
                </c:pt>
              </c:strCache>
            </c:strRef>
          </c:tx>
          <c:spPr>
            <a:ln w="28575" cap="rnd">
              <a:solidFill>
                <a:schemeClr val="accent3"/>
              </a:solidFill>
              <a:round/>
            </a:ln>
            <a:effectLst/>
          </c:spPr>
          <c:marker>
            <c:symbol val="none"/>
          </c:marker>
          <c:cat>
            <c:numRef>
              <c:f>Existencias!$R$5:$R$26</c:f>
              <c:numCache>
                <c:formatCode>General</c:formatCode>
                <c:ptCount val="22"/>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Existencias!$U$5:$U$26</c:f>
              <c:numCache>
                <c:formatCode>#,##0</c:formatCode>
                <c:ptCount val="22"/>
                <c:pt idx="0">
                  <c:v>26687277</c:v>
                </c:pt>
                <c:pt idx="1">
                  <c:v>33667102</c:v>
                </c:pt>
                <c:pt idx="2">
                  <c:v>33393302</c:v>
                </c:pt>
                <c:pt idx="3">
                  <c:v>21364383</c:v>
                </c:pt>
                <c:pt idx="4">
                  <c:v>15798762</c:v>
                </c:pt>
                <c:pt idx="5">
                  <c:v>12671888</c:v>
                </c:pt>
                <c:pt idx="6">
                  <c:v>9399397</c:v>
                </c:pt>
                <c:pt idx="7">
                  <c:v>31587725</c:v>
                </c:pt>
                <c:pt idx="8">
                  <c:v>8710391</c:v>
                </c:pt>
                <c:pt idx="9">
                  <c:v>13688181</c:v>
                </c:pt>
                <c:pt idx="10">
                  <c:v>23542006</c:v>
                </c:pt>
                <c:pt idx="11">
                  <c:v>40696383</c:v>
                </c:pt>
                <c:pt idx="12">
                  <c:v>45930007</c:v>
                </c:pt>
                <c:pt idx="13">
                  <c:v>20783176</c:v>
                </c:pt>
                <c:pt idx="14">
                  <c:v>29649575</c:v>
                </c:pt>
                <c:pt idx="15">
                  <c:v>42291177</c:v>
                </c:pt>
                <c:pt idx="16">
                  <c:v>20489291</c:v>
                </c:pt>
                <c:pt idx="17" formatCode="General">
                  <c:v>31442154</c:v>
                </c:pt>
                <c:pt idx="18" formatCode="_-* #,##0_-;\-* #,##0_-;_-* &quot;-&quot;??_-;_-@_-">
                  <c:v>65811070</c:v>
                </c:pt>
                <c:pt idx="19">
                  <c:v>27757545</c:v>
                </c:pt>
                <c:pt idx="20">
                  <c:v>13720399</c:v>
                </c:pt>
                <c:pt idx="21">
                  <c:v>20569924</c:v>
                </c:pt>
              </c:numCache>
            </c:numRef>
          </c:val>
          <c:smooth val="0"/>
          <c:extLst>
            <c:ext xmlns:c16="http://schemas.microsoft.com/office/drawing/2014/chart" uri="{C3380CC4-5D6E-409C-BE32-E72D297353CC}">
              <c16:uniqueId val="{00000002-2594-4C4B-93DE-AE161C384A1B}"/>
            </c:ext>
          </c:extLst>
        </c:ser>
        <c:ser>
          <c:idx val="3"/>
          <c:order val="3"/>
          <c:tx>
            <c:strRef>
              <c:f>Existencias!$V$3</c:f>
              <c:strCache>
                <c:ptCount val="1"/>
                <c:pt idx="0">
                  <c:v>TOTAL</c:v>
                </c:pt>
              </c:strCache>
            </c:strRef>
          </c:tx>
          <c:spPr>
            <a:ln w="28575" cap="rnd">
              <a:solidFill>
                <a:schemeClr val="accent4"/>
              </a:solidFill>
              <a:round/>
            </a:ln>
            <a:effectLst/>
          </c:spPr>
          <c:marker>
            <c:symbol val="none"/>
          </c:marker>
          <c:cat>
            <c:numRef>
              <c:f>Existencias!$R$5:$R$26</c:f>
              <c:numCache>
                <c:formatCode>General</c:formatCode>
                <c:ptCount val="22"/>
                <c:pt idx="0">
                  <c:v>1997</c:v>
                </c:pt>
                <c:pt idx="1">
                  <c:v>1999</c:v>
                </c:pt>
                <c:pt idx="2">
                  <c:v>2000</c:v>
                </c:pt>
                <c:pt idx="3">
                  <c:v>2001</c:v>
                </c:pt>
                <c:pt idx="4">
                  <c:v>2002</c:v>
                </c:pt>
                <c:pt idx="5">
                  <c:v>2003</c:v>
                </c:pt>
                <c:pt idx="6">
                  <c:v>2004</c:v>
                </c:pt>
                <c:pt idx="7">
                  <c:v>2005</c:v>
                </c:pt>
                <c:pt idx="8">
                  <c:v>2007</c:v>
                </c:pt>
                <c:pt idx="9">
                  <c:v>2008</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Existencias!$V$5:$V$26</c:f>
              <c:numCache>
                <c:formatCode>#,##0</c:formatCode>
                <c:ptCount val="22"/>
                <c:pt idx="0">
                  <c:v>301713968</c:v>
                </c:pt>
                <c:pt idx="1">
                  <c:v>327678205</c:v>
                </c:pt>
                <c:pt idx="2">
                  <c:v>509041334</c:v>
                </c:pt>
                <c:pt idx="3">
                  <c:v>565188622</c:v>
                </c:pt>
                <c:pt idx="4">
                  <c:v>570782170</c:v>
                </c:pt>
                <c:pt idx="5">
                  <c:v>600131213</c:v>
                </c:pt>
                <c:pt idx="6">
                  <c:v>526117949</c:v>
                </c:pt>
                <c:pt idx="7">
                  <c:v>649907405</c:v>
                </c:pt>
                <c:pt idx="8">
                  <c:v>748074820</c:v>
                </c:pt>
                <c:pt idx="9">
                  <c:v>808783347</c:v>
                </c:pt>
                <c:pt idx="10">
                  <c:v>701121589</c:v>
                </c:pt>
                <c:pt idx="11">
                  <c:v>816665333</c:v>
                </c:pt>
                <c:pt idx="12">
                  <c:v>1042635054</c:v>
                </c:pt>
                <c:pt idx="13">
                  <c:v>1182012417</c:v>
                </c:pt>
                <c:pt idx="14">
                  <c:v>1060041567</c:v>
                </c:pt>
                <c:pt idx="15">
                  <c:v>1238058628</c:v>
                </c:pt>
                <c:pt idx="16">
                  <c:v>1131275512</c:v>
                </c:pt>
                <c:pt idx="17" formatCode="_-* #,##0_-;\-* #,##0_-;_-* &quot;-&quot;_-;_-@_-">
                  <c:v>1015955607</c:v>
                </c:pt>
                <c:pt idx="18" formatCode="_-* #,##0_-;\-* #,##0_-;_-* &quot;-&quot;_-;_-@_-">
                  <c:v>1266711613</c:v>
                </c:pt>
                <c:pt idx="19">
                  <c:v>1296153214</c:v>
                </c:pt>
                <c:pt idx="20">
                  <c:v>1200786564</c:v>
                </c:pt>
                <c:pt idx="21">
                  <c:v>1287453167</c:v>
                </c:pt>
              </c:numCache>
            </c:numRef>
          </c:val>
          <c:smooth val="0"/>
          <c:extLst>
            <c:ext xmlns:c16="http://schemas.microsoft.com/office/drawing/2014/chart" uri="{C3380CC4-5D6E-409C-BE32-E72D297353CC}">
              <c16:uniqueId val="{00000003-2594-4C4B-93DE-AE161C384A1B}"/>
            </c:ext>
          </c:extLst>
        </c:ser>
        <c:dLbls>
          <c:showLegendKey val="0"/>
          <c:showVal val="0"/>
          <c:showCatName val="0"/>
          <c:showSerName val="0"/>
          <c:showPercent val="0"/>
          <c:showBubbleSize val="0"/>
        </c:dLbls>
        <c:smooth val="0"/>
        <c:axId val="-1545820032"/>
        <c:axId val="-1545816768"/>
      </c:lineChart>
      <c:catAx>
        <c:axId val="-1545820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16768"/>
        <c:crosses val="autoZero"/>
        <c:auto val="1"/>
        <c:lblAlgn val="ctr"/>
        <c:lblOffset val="100"/>
        <c:noMultiLvlLbl val="0"/>
      </c:catAx>
      <c:valAx>
        <c:axId val="-1545816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45820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portrait"/>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r>
              <a:rPr lang="en-US" sz="1050" b="0" i="0" baseline="0">
                <a:effectLst/>
              </a:rPr>
              <a:t>Gráfico 28. Evolución de la superficie de vides por cepaje (ha)</a:t>
            </a:r>
            <a:endParaRPr lang="es-CL" sz="1050">
              <a:effectLst/>
            </a:endParaRPr>
          </a:p>
        </c:rich>
      </c:tx>
      <c:layout>
        <c:manualLayout>
          <c:xMode val="edge"/>
          <c:yMode val="edge"/>
          <c:x val="0.30215438949396417"/>
          <c:y val="5.0980392156862744E-2"/>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9.4489451444832021E-2"/>
          <c:y val="0.17262323841582899"/>
          <c:w val="0.84290616143723252"/>
          <c:h val="0.53742147497956194"/>
        </c:manualLayout>
      </c:layout>
      <c:barChart>
        <c:barDir val="col"/>
        <c:grouping val="clustered"/>
        <c:varyColors val="0"/>
        <c:ser>
          <c:idx val="0"/>
          <c:order val="0"/>
          <c:tx>
            <c:strRef>
              <c:f>'Sup plantada vides (2)'!$A$4</c:f>
              <c:strCache>
                <c:ptCount val="1"/>
                <c:pt idx="0">
                  <c:v>C.  Sauv.</c:v>
                </c:pt>
              </c:strCache>
            </c:strRef>
          </c:tx>
          <c:spPr>
            <a:solidFill>
              <a:schemeClr val="accent1"/>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(2)'!$B$4:$P$4</c15:sqref>
                  </c15:fullRef>
                </c:ext>
              </c:extLst>
              <c:f>'Sup plantada vides (2)'!$F$4:$P$4</c:f>
              <c:numCache>
                <c:formatCode>#,##0</c:formatCode>
                <c:ptCount val="11"/>
                <c:pt idx="0">
                  <c:v>38425.67</c:v>
                </c:pt>
                <c:pt idx="1">
                  <c:v>40836.949999999997</c:v>
                </c:pt>
                <c:pt idx="2">
                  <c:v>41521.930000000008</c:v>
                </c:pt>
                <c:pt idx="3">
                  <c:v>42195.360000000001</c:v>
                </c:pt>
                <c:pt idx="4">
                  <c:v>44176.37</c:v>
                </c:pt>
                <c:pt idx="5">
                  <c:v>43211.01</c:v>
                </c:pt>
                <c:pt idx="6">
                  <c:v>42408.65</c:v>
                </c:pt>
                <c:pt idx="7">
                  <c:v>41155.97</c:v>
                </c:pt>
                <c:pt idx="8">
                  <c:v>41098.58</c:v>
                </c:pt>
                <c:pt idx="9">
                  <c:v>40204.730000000003</c:v>
                </c:pt>
                <c:pt idx="10">
                  <c:v>40053.480000000032</c:v>
                </c:pt>
              </c:numCache>
            </c:numRef>
          </c:val>
          <c:extLst>
            <c:ext xmlns:c16="http://schemas.microsoft.com/office/drawing/2014/chart" uri="{C3380CC4-5D6E-409C-BE32-E72D297353CC}">
              <c16:uniqueId val="{00000000-DC70-459D-98DC-0554272EBDCC}"/>
            </c:ext>
          </c:extLst>
        </c:ser>
        <c:ser>
          <c:idx val="1"/>
          <c:order val="1"/>
          <c:tx>
            <c:strRef>
              <c:f>'Sup plantada vides (2)'!$A$5</c:f>
              <c:strCache>
                <c:ptCount val="1"/>
                <c:pt idx="0">
                  <c:v>S. Blanc</c:v>
                </c:pt>
              </c:strCache>
            </c:strRef>
          </c:tx>
          <c:spPr>
            <a:solidFill>
              <a:schemeClr val="accent2"/>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(2)'!$B$5:$P$5</c15:sqref>
                  </c15:fullRef>
                </c:ext>
              </c:extLst>
              <c:f>'Sup plantada vides (2)'!$F$5:$P$5</c:f>
              <c:numCache>
                <c:formatCode>#,##0</c:formatCode>
                <c:ptCount val="11"/>
                <c:pt idx="0">
                  <c:v>13277.82</c:v>
                </c:pt>
                <c:pt idx="1">
                  <c:v>13922.32</c:v>
                </c:pt>
                <c:pt idx="2">
                  <c:v>14131.97</c:v>
                </c:pt>
                <c:pt idx="3">
                  <c:v>14392.98</c:v>
                </c:pt>
                <c:pt idx="4">
                  <c:v>15142.33</c:v>
                </c:pt>
                <c:pt idx="5">
                  <c:v>15172.99</c:v>
                </c:pt>
                <c:pt idx="6">
                  <c:v>14999.23</c:v>
                </c:pt>
                <c:pt idx="7">
                  <c:v>15161.98</c:v>
                </c:pt>
                <c:pt idx="8">
                  <c:v>15383.48</c:v>
                </c:pt>
                <c:pt idx="9">
                  <c:v>15222.18</c:v>
                </c:pt>
                <c:pt idx="10">
                  <c:v>15224.260000000009</c:v>
                </c:pt>
              </c:numCache>
            </c:numRef>
          </c:val>
          <c:extLst>
            <c:ext xmlns:c16="http://schemas.microsoft.com/office/drawing/2014/chart" uri="{C3380CC4-5D6E-409C-BE32-E72D297353CC}">
              <c16:uniqueId val="{00000001-DC70-459D-98DC-0554272EBDCC}"/>
            </c:ext>
          </c:extLst>
        </c:ser>
        <c:ser>
          <c:idx val="2"/>
          <c:order val="2"/>
          <c:tx>
            <c:strRef>
              <c:f>'Sup plantada vides (2)'!$A$6</c:f>
              <c:strCache>
                <c:ptCount val="1"/>
                <c:pt idx="0">
                  <c:v>Merlot</c:v>
                </c:pt>
              </c:strCache>
            </c:strRef>
          </c:tx>
          <c:spPr>
            <a:solidFill>
              <a:schemeClr val="accent3"/>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(2)'!$B$6:$P$6</c15:sqref>
                  </c15:fullRef>
                </c:ext>
              </c:extLst>
              <c:f>'Sup plantada vides (2)'!$F$6:$P$6</c:f>
              <c:numCache>
                <c:formatCode>#,##0</c:formatCode>
                <c:ptCount val="11"/>
                <c:pt idx="0">
                  <c:v>10640.15</c:v>
                </c:pt>
                <c:pt idx="1">
                  <c:v>11431.95</c:v>
                </c:pt>
                <c:pt idx="2">
                  <c:v>11649.07</c:v>
                </c:pt>
                <c:pt idx="3">
                  <c:v>11925.19</c:v>
                </c:pt>
                <c:pt idx="4">
                  <c:v>12480.13</c:v>
                </c:pt>
                <c:pt idx="5">
                  <c:v>12242.78</c:v>
                </c:pt>
                <c:pt idx="6">
                  <c:v>12056.67</c:v>
                </c:pt>
                <c:pt idx="7">
                  <c:v>11702.929999999998</c:v>
                </c:pt>
                <c:pt idx="8">
                  <c:v>11843.75</c:v>
                </c:pt>
                <c:pt idx="9">
                  <c:v>11757.17</c:v>
                </c:pt>
                <c:pt idx="10">
                  <c:v>11366.2</c:v>
                </c:pt>
              </c:numCache>
            </c:numRef>
          </c:val>
          <c:extLst>
            <c:ext xmlns:c16="http://schemas.microsoft.com/office/drawing/2014/chart" uri="{C3380CC4-5D6E-409C-BE32-E72D297353CC}">
              <c16:uniqueId val="{00000002-DC70-459D-98DC-0554272EBDCC}"/>
            </c:ext>
          </c:extLst>
        </c:ser>
        <c:ser>
          <c:idx val="3"/>
          <c:order val="3"/>
          <c:tx>
            <c:strRef>
              <c:f>'Sup plantada vides (2)'!$A$7</c:f>
              <c:strCache>
                <c:ptCount val="1"/>
                <c:pt idx="0">
                  <c:v>Chardonnay</c:v>
                </c:pt>
              </c:strCache>
            </c:strRef>
          </c:tx>
          <c:spPr>
            <a:solidFill>
              <a:schemeClr val="accent4"/>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(2)'!$B$7:$P$7</c15:sqref>
                  </c15:fullRef>
                </c:ext>
              </c:extLst>
              <c:f>'Sup plantada vides (2)'!$F$7:$P$7</c:f>
              <c:numCache>
                <c:formatCode>#,##0</c:formatCode>
                <c:ptCount val="11"/>
                <c:pt idx="0">
                  <c:v>10834.02</c:v>
                </c:pt>
                <c:pt idx="1">
                  <c:v>10970.36</c:v>
                </c:pt>
                <c:pt idx="2">
                  <c:v>10570.910000000002</c:v>
                </c:pt>
                <c:pt idx="3">
                  <c:v>10693.92</c:v>
                </c:pt>
                <c:pt idx="4">
                  <c:v>11633.83</c:v>
                </c:pt>
                <c:pt idx="5">
                  <c:v>11698.3</c:v>
                </c:pt>
                <c:pt idx="6">
                  <c:v>11434.73</c:v>
                </c:pt>
                <c:pt idx="7">
                  <c:v>11297.15</c:v>
                </c:pt>
                <c:pt idx="8">
                  <c:v>11241.53</c:v>
                </c:pt>
                <c:pt idx="9">
                  <c:v>11124.33</c:v>
                </c:pt>
                <c:pt idx="10">
                  <c:v>10919.79</c:v>
                </c:pt>
              </c:numCache>
            </c:numRef>
          </c:val>
          <c:extLst>
            <c:ext xmlns:c16="http://schemas.microsoft.com/office/drawing/2014/chart" uri="{C3380CC4-5D6E-409C-BE32-E72D297353CC}">
              <c16:uniqueId val="{00000003-DC70-459D-98DC-0554272EBDCC}"/>
            </c:ext>
          </c:extLst>
        </c:ser>
        <c:ser>
          <c:idx val="4"/>
          <c:order val="4"/>
          <c:tx>
            <c:strRef>
              <c:f>'Sup plantada vides (2)'!$A$8</c:f>
              <c:strCache>
                <c:ptCount val="1"/>
                <c:pt idx="0">
                  <c:v>Carmenère</c:v>
                </c:pt>
              </c:strCache>
            </c:strRef>
          </c:tx>
          <c:spPr>
            <a:solidFill>
              <a:schemeClr val="accent5"/>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(2)'!$B$8:$P$8</c15:sqref>
                  </c15:fullRef>
                </c:ext>
              </c:extLst>
              <c:f>'Sup plantada vides (2)'!$F$8:$P$8</c:f>
              <c:numCache>
                <c:formatCode>#,##0</c:formatCode>
                <c:ptCount val="11"/>
                <c:pt idx="0">
                  <c:v>9501.99</c:v>
                </c:pt>
                <c:pt idx="1">
                  <c:v>10040</c:v>
                </c:pt>
                <c:pt idx="2">
                  <c:v>10418.06</c:v>
                </c:pt>
                <c:pt idx="3">
                  <c:v>10732.48</c:v>
                </c:pt>
                <c:pt idx="4">
                  <c:v>11319.49</c:v>
                </c:pt>
                <c:pt idx="5">
                  <c:v>10860.86</c:v>
                </c:pt>
                <c:pt idx="6">
                  <c:v>10503.29</c:v>
                </c:pt>
                <c:pt idx="7">
                  <c:v>10249.56</c:v>
                </c:pt>
                <c:pt idx="8">
                  <c:v>10646.77</c:v>
                </c:pt>
                <c:pt idx="9">
                  <c:v>10732.12</c:v>
                </c:pt>
                <c:pt idx="10">
                  <c:v>10836.809999999994</c:v>
                </c:pt>
              </c:numCache>
            </c:numRef>
          </c:val>
          <c:extLst>
            <c:ext xmlns:c16="http://schemas.microsoft.com/office/drawing/2014/chart" uri="{C3380CC4-5D6E-409C-BE32-E72D297353CC}">
              <c16:uniqueId val="{00000004-DC70-459D-98DC-0554272EBDCC}"/>
            </c:ext>
          </c:extLst>
        </c:ser>
        <c:ser>
          <c:idx val="5"/>
          <c:order val="5"/>
          <c:tx>
            <c:strRef>
              <c:f>'Sup plantada vides (2)'!$A$9</c:f>
              <c:strCache>
                <c:ptCount val="1"/>
                <c:pt idx="0">
                  <c:v>País</c:v>
                </c:pt>
              </c:strCache>
            </c:strRef>
          </c:tx>
          <c:spPr>
            <a:solidFill>
              <a:schemeClr val="accent6"/>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(2)'!$B$9:$P$9</c15:sqref>
                  </c15:fullRef>
                </c:ext>
              </c:extLst>
              <c:f>'Sup plantada vides (2)'!$F$9:$P$9</c:f>
              <c:numCache>
                <c:formatCode>#,##0</c:formatCode>
                <c:ptCount val="11"/>
                <c:pt idx="0">
                  <c:v>5855.13</c:v>
                </c:pt>
                <c:pt idx="1">
                  <c:v>7079.16</c:v>
                </c:pt>
                <c:pt idx="2">
                  <c:v>7247.52</c:v>
                </c:pt>
                <c:pt idx="3">
                  <c:v>7338.68</c:v>
                </c:pt>
                <c:pt idx="4">
                  <c:v>7652.58</c:v>
                </c:pt>
                <c:pt idx="5">
                  <c:v>12520.57</c:v>
                </c:pt>
                <c:pt idx="6">
                  <c:v>9684.2000000000007</c:v>
                </c:pt>
                <c:pt idx="7">
                  <c:v>10056.119999999999</c:v>
                </c:pt>
                <c:pt idx="8">
                  <c:v>10236.540000000001</c:v>
                </c:pt>
                <c:pt idx="9">
                  <c:v>10319.379999999999</c:v>
                </c:pt>
                <c:pt idx="10">
                  <c:v>10442.589999999984</c:v>
                </c:pt>
              </c:numCache>
            </c:numRef>
          </c:val>
          <c:extLst>
            <c:ext xmlns:c16="http://schemas.microsoft.com/office/drawing/2014/chart" uri="{C3380CC4-5D6E-409C-BE32-E72D297353CC}">
              <c16:uniqueId val="{00000005-DC70-459D-98DC-0554272EBDCC}"/>
            </c:ext>
          </c:extLst>
        </c:ser>
        <c:ser>
          <c:idx val="6"/>
          <c:order val="6"/>
          <c:tx>
            <c:strRef>
              <c:f>'Sup plantada vides (2)'!$A$10</c:f>
              <c:strCache>
                <c:ptCount val="1"/>
                <c:pt idx="0">
                  <c:v>Syrah</c:v>
                </c:pt>
              </c:strCache>
            </c:strRef>
          </c:tx>
          <c:spPr>
            <a:solidFill>
              <a:schemeClr val="accent1">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(2)'!$B$10:$P$10</c15:sqref>
                  </c15:fullRef>
                </c:ext>
              </c:extLst>
              <c:f>'Sup plantada vides (2)'!$F$10:$P$10</c:f>
              <c:numCache>
                <c:formatCode>#,##0</c:formatCode>
                <c:ptCount val="11"/>
                <c:pt idx="0">
                  <c:v>6886.77</c:v>
                </c:pt>
                <c:pt idx="1">
                  <c:v>7393.45</c:v>
                </c:pt>
                <c:pt idx="2">
                  <c:v>7744.63</c:v>
                </c:pt>
                <c:pt idx="3">
                  <c:v>7933.12</c:v>
                </c:pt>
                <c:pt idx="4">
                  <c:v>8432.24</c:v>
                </c:pt>
                <c:pt idx="5">
                  <c:v>8232.68</c:v>
                </c:pt>
                <c:pt idx="6">
                  <c:v>7994.35</c:v>
                </c:pt>
                <c:pt idx="7">
                  <c:v>7737.7099999999982</c:v>
                </c:pt>
                <c:pt idx="8">
                  <c:v>7668.49</c:v>
                </c:pt>
                <c:pt idx="9">
                  <c:v>7528.54</c:v>
                </c:pt>
                <c:pt idx="10">
                  <c:v>7399.92</c:v>
                </c:pt>
              </c:numCache>
            </c:numRef>
          </c:val>
          <c:extLst>
            <c:ext xmlns:c16="http://schemas.microsoft.com/office/drawing/2014/chart" uri="{C3380CC4-5D6E-409C-BE32-E72D297353CC}">
              <c16:uniqueId val="{00000006-DC70-459D-98DC-0554272EBDCC}"/>
            </c:ext>
          </c:extLst>
        </c:ser>
        <c:ser>
          <c:idx val="7"/>
          <c:order val="7"/>
          <c:tx>
            <c:strRef>
              <c:f>'Sup plantada vides (2)'!$A$11</c:f>
              <c:strCache>
                <c:ptCount val="1"/>
                <c:pt idx="0">
                  <c:v>M. Alejandría</c:v>
                </c:pt>
              </c:strCache>
            </c:strRef>
          </c:tx>
          <c:spPr>
            <a:solidFill>
              <a:schemeClr val="accent2">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(2)'!$B$11:$P$11</c15:sqref>
                  </c15:fullRef>
                </c:ext>
              </c:extLst>
              <c:f>'Sup plantada vides (2)'!$F$11:$P$11</c:f>
              <c:numCache>
                <c:formatCode>#,##0</c:formatCode>
                <c:ptCount val="11"/>
                <c:pt idx="0">
                  <c:v>3117.54</c:v>
                </c:pt>
                <c:pt idx="1">
                  <c:v>3266.01</c:v>
                </c:pt>
                <c:pt idx="2">
                  <c:v>3320.6999999999994</c:v>
                </c:pt>
                <c:pt idx="3">
                  <c:v>3344.42</c:v>
                </c:pt>
                <c:pt idx="4">
                  <c:v>3574.28</c:v>
                </c:pt>
                <c:pt idx="5">
                  <c:v>4031.5</c:v>
                </c:pt>
                <c:pt idx="6">
                  <c:v>4274.8</c:v>
                </c:pt>
                <c:pt idx="7">
                  <c:v>4327.8100000000004</c:v>
                </c:pt>
                <c:pt idx="8">
                  <c:v>4285.3599999999997</c:v>
                </c:pt>
                <c:pt idx="9">
                  <c:v>4368.7700000000004</c:v>
                </c:pt>
                <c:pt idx="10">
                  <c:v>4298.3199999999879</c:v>
                </c:pt>
              </c:numCache>
            </c:numRef>
          </c:val>
          <c:extLst>
            <c:ext xmlns:c16="http://schemas.microsoft.com/office/drawing/2014/chart" uri="{C3380CC4-5D6E-409C-BE32-E72D297353CC}">
              <c16:uniqueId val="{00000007-DC70-459D-98DC-0554272EBDCC}"/>
            </c:ext>
          </c:extLst>
        </c:ser>
        <c:ser>
          <c:idx val="8"/>
          <c:order val="8"/>
          <c:tx>
            <c:strRef>
              <c:f>'Sup plantada vides (2)'!$A$12</c:f>
              <c:strCache>
                <c:ptCount val="1"/>
                <c:pt idx="0">
                  <c:v>Pinot Noir</c:v>
                </c:pt>
              </c:strCache>
            </c:strRef>
          </c:tx>
          <c:spPr>
            <a:solidFill>
              <a:schemeClr val="accent3">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(2)'!$B$12:$P$12</c15:sqref>
                  </c15:fullRef>
                </c:ext>
              </c:extLst>
              <c:f>'Sup plantada vides (2)'!$F$12:$P$12</c:f>
              <c:numCache>
                <c:formatCode>#,##0</c:formatCode>
                <c:ptCount val="11"/>
                <c:pt idx="0">
                  <c:v>3306.82</c:v>
                </c:pt>
                <c:pt idx="1">
                  <c:v>3729.32</c:v>
                </c:pt>
                <c:pt idx="2">
                  <c:v>4012.4500000000003</c:v>
                </c:pt>
                <c:pt idx="3">
                  <c:v>4059.89</c:v>
                </c:pt>
                <c:pt idx="4">
                  <c:v>4195.8500000000004</c:v>
                </c:pt>
                <c:pt idx="5">
                  <c:v>4148.55</c:v>
                </c:pt>
                <c:pt idx="6">
                  <c:v>4090.53</c:v>
                </c:pt>
                <c:pt idx="7">
                  <c:v>4041.0400000000004</c:v>
                </c:pt>
                <c:pt idx="8">
                  <c:v>4143.6099999999997</c:v>
                </c:pt>
                <c:pt idx="9">
                  <c:v>4045.01</c:v>
                </c:pt>
                <c:pt idx="10">
                  <c:v>4178.7800000000007</c:v>
                </c:pt>
              </c:numCache>
            </c:numRef>
          </c:val>
          <c:extLst>
            <c:ext xmlns:c16="http://schemas.microsoft.com/office/drawing/2014/chart" uri="{C3380CC4-5D6E-409C-BE32-E72D297353CC}">
              <c16:uniqueId val="{00000008-DC70-459D-98DC-0554272EBDCC}"/>
            </c:ext>
          </c:extLst>
        </c:ser>
        <c:ser>
          <c:idx val="9"/>
          <c:order val="9"/>
          <c:tx>
            <c:strRef>
              <c:f>'Sup plantada vides (2)'!$A$13</c:f>
              <c:strCache>
                <c:ptCount val="1"/>
                <c:pt idx="0">
                  <c:v>Malbec</c:v>
                </c:pt>
              </c:strCache>
            </c:strRef>
          </c:tx>
          <c:spPr>
            <a:solidFill>
              <a:schemeClr val="accent4">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(2)'!$B$13:$P$13</c15:sqref>
                  </c15:fullRef>
                </c:ext>
              </c:extLst>
              <c:f>'Sup plantada vides (2)'!$F$13:$P$13</c:f>
              <c:numCache>
                <c:formatCode>#,##0</c:formatCode>
                <c:ptCount val="11"/>
                <c:pt idx="0">
                  <c:v>1489.39</c:v>
                </c:pt>
                <c:pt idx="1">
                  <c:v>1827.86</c:v>
                </c:pt>
                <c:pt idx="2">
                  <c:v>1980.61</c:v>
                </c:pt>
                <c:pt idx="3">
                  <c:v>2103.85</c:v>
                </c:pt>
                <c:pt idx="4">
                  <c:v>2309.5100000000002</c:v>
                </c:pt>
                <c:pt idx="5">
                  <c:v>2312.94</c:v>
                </c:pt>
                <c:pt idx="6">
                  <c:v>2292.8200000000002</c:v>
                </c:pt>
                <c:pt idx="7">
                  <c:v>2248.6999999999998</c:v>
                </c:pt>
                <c:pt idx="8">
                  <c:v>2340.2399999999998</c:v>
                </c:pt>
                <c:pt idx="9">
                  <c:v>2336.54</c:v>
                </c:pt>
                <c:pt idx="10">
                  <c:v>2361.5399999999995</c:v>
                </c:pt>
              </c:numCache>
            </c:numRef>
          </c:val>
          <c:extLst>
            <c:ext xmlns:c16="http://schemas.microsoft.com/office/drawing/2014/chart" uri="{C3380CC4-5D6E-409C-BE32-E72D297353CC}">
              <c16:uniqueId val="{00000009-DC70-459D-98DC-0554272EBDCC}"/>
            </c:ext>
          </c:extLst>
        </c:ser>
        <c:ser>
          <c:idx val="10"/>
          <c:order val="10"/>
          <c:tx>
            <c:strRef>
              <c:f>'Sup plantada vides (2)'!$A$14</c:f>
              <c:strCache>
                <c:ptCount val="1"/>
                <c:pt idx="0">
                  <c:v>C. Franc</c:v>
                </c:pt>
              </c:strCache>
            </c:strRef>
          </c:tx>
          <c:spPr>
            <a:solidFill>
              <a:schemeClr val="accent5">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(2)'!$B$14:$P$14</c15:sqref>
                  </c15:fullRef>
                </c:ext>
              </c:extLst>
              <c:f>'Sup plantada vides (2)'!$F$14:$P$14</c:f>
              <c:numCache>
                <c:formatCode>#,##0</c:formatCode>
                <c:ptCount val="11"/>
                <c:pt idx="0">
                  <c:v>1345.01</c:v>
                </c:pt>
                <c:pt idx="1">
                  <c:v>1450.96</c:v>
                </c:pt>
                <c:pt idx="2">
                  <c:v>1533.2800000000002</c:v>
                </c:pt>
                <c:pt idx="3">
                  <c:v>1591.26</c:v>
                </c:pt>
                <c:pt idx="4">
                  <c:v>1661.46</c:v>
                </c:pt>
                <c:pt idx="5">
                  <c:v>1671.84</c:v>
                </c:pt>
                <c:pt idx="6">
                  <c:v>1578.39</c:v>
                </c:pt>
                <c:pt idx="7">
                  <c:v>1578.34</c:v>
                </c:pt>
                <c:pt idx="8">
                  <c:v>1646.29</c:v>
                </c:pt>
                <c:pt idx="9">
                  <c:v>1684.55</c:v>
                </c:pt>
                <c:pt idx="10">
                  <c:v>1691.9899999999998</c:v>
                </c:pt>
              </c:numCache>
            </c:numRef>
          </c:val>
          <c:extLst>
            <c:ext xmlns:c16="http://schemas.microsoft.com/office/drawing/2014/chart" uri="{C3380CC4-5D6E-409C-BE32-E72D297353CC}">
              <c16:uniqueId val="{0000000A-DC70-459D-98DC-0554272EBDCC}"/>
            </c:ext>
          </c:extLst>
        </c:ser>
        <c:ser>
          <c:idx val="11"/>
          <c:order val="11"/>
          <c:tx>
            <c:strRef>
              <c:f>'Sup plantada vides (2)'!$A$15</c:f>
              <c:strCache>
                <c:ptCount val="1"/>
                <c:pt idx="0">
                  <c:v>Otros</c:v>
                </c:pt>
              </c:strCache>
            </c:strRef>
          </c:tx>
          <c:spPr>
            <a:solidFill>
              <a:schemeClr val="accent6">
                <a:lumMod val="60000"/>
              </a:schemeClr>
            </a:solidFill>
            <a:ln>
              <a:noFill/>
            </a:ln>
            <a:effectLst/>
          </c:spPr>
          <c:invertIfNegative val="0"/>
          <c:cat>
            <c:numRef>
              <c:extLst>
                <c:ext xmlns:c15="http://schemas.microsoft.com/office/drawing/2012/chart" uri="{02D57815-91ED-43cb-92C2-25804820EDAC}">
                  <c15:fullRef>
                    <c15:sqref>'Sup plantada vides (2)'!$B$3:$P$3</c15:sqref>
                  </c15:fullRef>
                </c:ext>
              </c:extLst>
              <c:f>'Sup plantada vides (2)'!$F$3:$P$3</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extLst>
                <c:ext xmlns:c15="http://schemas.microsoft.com/office/drawing/2012/chart" uri="{02D57815-91ED-43cb-92C2-25804820EDAC}">
                  <c15:fullRef>
                    <c15:sqref>'Sup plantada vides (2)'!$B$15:$P$15</c15:sqref>
                  </c15:fullRef>
                </c:ext>
              </c:extLst>
              <c:f>'Sup plantada vides (2)'!$F$15:$P$15</c:f>
              <c:numCache>
                <c:formatCode>#,##0</c:formatCode>
                <c:ptCount val="11"/>
                <c:pt idx="0">
                  <c:v>12150.47</c:v>
                </c:pt>
                <c:pt idx="1">
                  <c:v>13997.89</c:v>
                </c:pt>
                <c:pt idx="2">
                  <c:v>14506.74</c:v>
                </c:pt>
                <c:pt idx="3">
                  <c:v>14050.550000000001</c:v>
                </c:pt>
                <c:pt idx="4">
                  <c:v>15014.37</c:v>
                </c:pt>
                <c:pt idx="5">
                  <c:v>15814.11</c:v>
                </c:pt>
                <c:pt idx="6">
                  <c:v>16057.27</c:v>
                </c:pt>
                <c:pt idx="7">
                  <c:v>16350.44</c:v>
                </c:pt>
                <c:pt idx="8">
                  <c:v>16655.95</c:v>
                </c:pt>
                <c:pt idx="9">
                  <c:v>16965.22</c:v>
                </c:pt>
                <c:pt idx="10">
                  <c:v>17392.560000000005</c:v>
                </c:pt>
              </c:numCache>
            </c:numRef>
          </c:val>
          <c:extLst xmlns:c15="http://schemas.microsoft.com/office/drawing/2012/chart">
            <c:ext xmlns:c16="http://schemas.microsoft.com/office/drawing/2014/chart" uri="{C3380CC4-5D6E-409C-BE32-E72D297353CC}">
              <c16:uniqueId val="{0000000B-DC70-459D-98DC-0554272EBDCC}"/>
            </c:ext>
          </c:extLst>
        </c:ser>
        <c:dLbls>
          <c:showLegendKey val="0"/>
          <c:showVal val="0"/>
          <c:showCatName val="0"/>
          <c:showSerName val="0"/>
          <c:showPercent val="0"/>
          <c:showBubbleSize val="0"/>
        </c:dLbls>
        <c:gapWidth val="219"/>
        <c:overlap val="-27"/>
        <c:axId val="-1400996048"/>
        <c:axId val="-1400993296"/>
        <c:extLst/>
      </c:barChart>
      <c:catAx>
        <c:axId val="-1400996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0993296"/>
        <c:crosses val="autoZero"/>
        <c:auto val="1"/>
        <c:lblAlgn val="ctr"/>
        <c:lblOffset val="100"/>
        <c:noMultiLvlLbl val="0"/>
      </c:catAx>
      <c:valAx>
        <c:axId val="-1400993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Superficie (ha)</a:t>
                </a:r>
              </a:p>
            </c:rich>
          </c:tx>
          <c:layout>
            <c:manualLayout>
              <c:xMode val="edge"/>
              <c:yMode val="edge"/>
              <c:x val="1.0916943462875223E-2"/>
              <c:y val="0.3290333781323309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0996048"/>
        <c:crosses val="autoZero"/>
        <c:crossBetween val="between"/>
      </c:valAx>
      <c:spPr>
        <a:noFill/>
        <a:ln>
          <a:noFill/>
        </a:ln>
        <a:effectLst/>
      </c:spPr>
    </c:plotArea>
    <c:legend>
      <c:legendPos val="b"/>
      <c:layout>
        <c:manualLayout>
          <c:xMode val="edge"/>
          <c:yMode val="edge"/>
          <c:x val="8.7737423589281507E-2"/>
          <c:y val="0.80971854696441636"/>
          <c:w val="0.81228255478790568"/>
          <c:h val="6.5761046167498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n-US" sz="1000" b="0" i="0" baseline="0">
                <a:effectLst/>
              </a:rPr>
              <a:t>Gráfico 29. Comparación de precios de vinos en Chile y Argentina  </a:t>
            </a:r>
            <a:endParaRPr lang="es-CL" sz="1000">
              <a:effectLst/>
            </a:endParaRPr>
          </a:p>
          <a:p>
            <a:pPr>
              <a:defRPr sz="1000"/>
            </a:pPr>
            <a:r>
              <a:rPr lang="en-US" sz="1000" b="0" i="0" baseline="0">
                <a:effectLst/>
              </a:rPr>
              <a:t>(pesos chilenos)</a:t>
            </a:r>
            <a:endParaRPr lang="es-CL" sz="1000">
              <a:effectLst/>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5256999125109361"/>
          <c:y val="0.17313851824921625"/>
          <c:w val="0.82253124997786897"/>
          <c:h val="0.52237674683837643"/>
        </c:manualLayout>
      </c:layout>
      <c:lineChart>
        <c:grouping val="standard"/>
        <c:varyColors val="0"/>
        <c:ser>
          <c:idx val="0"/>
          <c:order val="0"/>
          <c:tx>
            <c:strRef>
              <c:f>'Precios comparativos'!$V$3</c:f>
              <c:strCache>
                <c:ptCount val="1"/>
                <c:pt idx="0">
                  <c:v>Chile genérico tinto</c:v>
                </c:pt>
              </c:strCache>
            </c:strRef>
          </c:tx>
          <c:spPr>
            <a:ln w="28575" cap="rnd">
              <a:solidFill>
                <a:schemeClr val="accent1"/>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pt idx="63">
                  <c:v>44743</c:v>
                </c:pt>
              </c:numCache>
            </c:numRef>
          </c:cat>
          <c:val>
            <c:numRef>
              <c:f>'Precios comparativos'!$V$4:$V$74</c:f>
              <c:numCache>
                <c:formatCode>_(* #,##0_);_(* \(#,##0\);_(* "-"_);_(@_)</c:formatCode>
                <c:ptCount val="71"/>
                <c:pt idx="0">
                  <c:v>30000</c:v>
                </c:pt>
                <c:pt idx="1">
                  <c:v>33750</c:v>
                </c:pt>
                <c:pt idx="2">
                  <c:v>37500</c:v>
                </c:pt>
                <c:pt idx="3">
                  <c:v>36250</c:v>
                </c:pt>
                <c:pt idx="4">
                  <c:v>36250</c:v>
                </c:pt>
                <c:pt idx="5">
                  <c:v>38750</c:v>
                </c:pt>
                <c:pt idx="6">
                  <c:v>37500</c:v>
                </c:pt>
                <c:pt idx="7">
                  <c:v>37500</c:v>
                </c:pt>
                <c:pt idx="8">
                  <c:v>37500</c:v>
                </c:pt>
                <c:pt idx="9">
                  <c:v>36300</c:v>
                </c:pt>
                <c:pt idx="10">
                  <c:v>41300</c:v>
                </c:pt>
                <c:pt idx="11">
                  <c:v>40000</c:v>
                </c:pt>
                <c:pt idx="12">
                  <c:v>40000</c:v>
                </c:pt>
                <c:pt idx="13">
                  <c:v>37500</c:v>
                </c:pt>
                <c:pt idx="14">
                  <c:v>35000</c:v>
                </c:pt>
                <c:pt idx="15">
                  <c:v>36250</c:v>
                </c:pt>
                <c:pt idx="16">
                  <c:v>37500</c:v>
                </c:pt>
                <c:pt idx="17">
                  <c:v>33750</c:v>
                </c:pt>
                <c:pt idx="18">
                  <c:v>25000</c:v>
                </c:pt>
                <c:pt idx="19">
                  <c:v>27500</c:v>
                </c:pt>
                <c:pt idx="20">
                  <c:v>25000</c:v>
                </c:pt>
                <c:pt idx="21">
                  <c:v>26250</c:v>
                </c:pt>
                <c:pt idx="22">
                  <c:v>25000</c:v>
                </c:pt>
                <c:pt idx="23">
                  <c:v>30000</c:v>
                </c:pt>
                <c:pt idx="24">
                  <c:v>27500</c:v>
                </c:pt>
                <c:pt idx="25">
                  <c:v>27500</c:v>
                </c:pt>
                <c:pt idx="26">
                  <c:v>26250</c:v>
                </c:pt>
                <c:pt idx="27">
                  <c:v>27500</c:v>
                </c:pt>
                <c:pt idx="28">
                  <c:v>25000</c:v>
                </c:pt>
                <c:pt idx="29">
                  <c:v>25000</c:v>
                </c:pt>
                <c:pt idx="30">
                  <c:v>25000</c:v>
                </c:pt>
                <c:pt idx="31">
                  <c:v>25000</c:v>
                </c:pt>
                <c:pt idx="32">
                  <c:v>25000</c:v>
                </c:pt>
                <c:pt idx="33">
                  <c:v>25000</c:v>
                </c:pt>
                <c:pt idx="34">
                  <c:v>23750</c:v>
                </c:pt>
                <c:pt idx="35">
                  <c:v>23750</c:v>
                </c:pt>
                <c:pt idx="36">
                  <c:v>23750</c:v>
                </c:pt>
                <c:pt idx="37">
                  <c:v>25000</c:v>
                </c:pt>
                <c:pt idx="38">
                  <c:v>25000</c:v>
                </c:pt>
                <c:pt idx="39">
                  <c:v>22500</c:v>
                </c:pt>
                <c:pt idx="40">
                  <c:v>28750</c:v>
                </c:pt>
                <c:pt idx="41">
                  <c:v>28750</c:v>
                </c:pt>
                <c:pt idx="42">
                  <c:v>27500</c:v>
                </c:pt>
                <c:pt idx="43">
                  <c:v>25000</c:v>
                </c:pt>
                <c:pt idx="44">
                  <c:v>25000</c:v>
                </c:pt>
                <c:pt idx="45">
                  <c:v>23750</c:v>
                </c:pt>
                <c:pt idx="46">
                  <c:v>23750</c:v>
                </c:pt>
                <c:pt idx="47">
                  <c:v>25000</c:v>
                </c:pt>
                <c:pt idx="48">
                  <c:v>25000</c:v>
                </c:pt>
                <c:pt idx="49">
                  <c:v>25000</c:v>
                </c:pt>
                <c:pt idx="50">
                  <c:v>25000</c:v>
                </c:pt>
                <c:pt idx="51">
                  <c:v>25000</c:v>
                </c:pt>
                <c:pt idx="52">
                  <c:v>30000</c:v>
                </c:pt>
                <c:pt idx="53">
                  <c:v>30000</c:v>
                </c:pt>
                <c:pt idx="54">
                  <c:v>30000</c:v>
                </c:pt>
                <c:pt idx="55">
                  <c:v>31250</c:v>
                </c:pt>
                <c:pt idx="56">
                  <c:v>30000</c:v>
                </c:pt>
                <c:pt idx="57">
                  <c:v>30000</c:v>
                </c:pt>
                <c:pt idx="58">
                  <c:v>30000</c:v>
                </c:pt>
                <c:pt idx="59">
                  <c:v>30000</c:v>
                </c:pt>
                <c:pt idx="60">
                  <c:v>27500</c:v>
                </c:pt>
                <c:pt idx="61">
                  <c:v>30000</c:v>
                </c:pt>
                <c:pt idx="62">
                  <c:v>30000</c:v>
                </c:pt>
              </c:numCache>
            </c:numRef>
          </c:val>
          <c:smooth val="0"/>
          <c:extLst>
            <c:ext xmlns:c16="http://schemas.microsoft.com/office/drawing/2014/chart" uri="{C3380CC4-5D6E-409C-BE32-E72D297353CC}">
              <c16:uniqueId val="{00000000-44A8-47B3-BDDD-B8346BAA5922}"/>
            </c:ext>
          </c:extLst>
        </c:ser>
        <c:ser>
          <c:idx val="1"/>
          <c:order val="1"/>
          <c:tx>
            <c:strRef>
              <c:f>'Precios comparativos'!$W$3</c:f>
              <c:strCache>
                <c:ptCount val="1"/>
                <c:pt idx="0">
                  <c:v>Argentino tinto</c:v>
                </c:pt>
              </c:strCache>
            </c:strRef>
          </c:tx>
          <c:spPr>
            <a:ln w="28575" cap="rnd">
              <a:solidFill>
                <a:schemeClr val="accent2"/>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pt idx="63">
                  <c:v>44743</c:v>
                </c:pt>
              </c:numCache>
            </c:numRef>
          </c:cat>
          <c:val>
            <c:numRef>
              <c:f>'Precios comparativos'!$W$4:$W$74</c:f>
              <c:numCache>
                <c:formatCode>_(* #,##0_);_(* \(#,##0\);_(* "-"_);_(@_)</c:formatCode>
                <c:ptCount val="71"/>
                <c:pt idx="0">
                  <c:v>46925.701430000001</c:v>
                </c:pt>
                <c:pt idx="1">
                  <c:v>43871.711999999992</c:v>
                </c:pt>
                <c:pt idx="2">
                  <c:v>48537.614399999999</c:v>
                </c:pt>
                <c:pt idx="3">
                  <c:v>38655.199800000002</c:v>
                </c:pt>
                <c:pt idx="4">
                  <c:v>38505.667199999996</c:v>
                </c:pt>
                <c:pt idx="5">
                  <c:v>43426.05</c:v>
                </c:pt>
                <c:pt idx="6">
                  <c:v>36885.199999999997</c:v>
                </c:pt>
                <c:pt idx="7">
                  <c:v>37362.699999999997</c:v>
                </c:pt>
                <c:pt idx="8">
                  <c:v>42349.2</c:v>
                </c:pt>
                <c:pt idx="9">
                  <c:v>35410.527000000002</c:v>
                </c:pt>
                <c:pt idx="10">
                  <c:v>32959.599999999999</c:v>
                </c:pt>
                <c:pt idx="11">
                  <c:v>33097.9</c:v>
                </c:pt>
                <c:pt idx="12">
                  <c:v>31842.9</c:v>
                </c:pt>
                <c:pt idx="13">
                  <c:v>28778.6</c:v>
                </c:pt>
                <c:pt idx="14">
                  <c:v>26036.5</c:v>
                </c:pt>
                <c:pt idx="15">
                  <c:v>24378</c:v>
                </c:pt>
                <c:pt idx="16">
                  <c:v>21549</c:v>
                </c:pt>
                <c:pt idx="17">
                  <c:v>16574.2</c:v>
                </c:pt>
                <c:pt idx="18">
                  <c:v>17075.5</c:v>
                </c:pt>
                <c:pt idx="19">
                  <c:v>15981.2</c:v>
                </c:pt>
                <c:pt idx="20">
                  <c:v>17237.2</c:v>
                </c:pt>
                <c:pt idx="21">
                  <c:v>16241</c:v>
                </c:pt>
                <c:pt idx="22">
                  <c:v>15749.8</c:v>
                </c:pt>
                <c:pt idx="23">
                  <c:v>13142</c:v>
                </c:pt>
                <c:pt idx="24">
                  <c:v>11341.8</c:v>
                </c:pt>
                <c:pt idx="25">
                  <c:v>10455.5</c:v>
                </c:pt>
                <c:pt idx="26">
                  <c:v>12008.2</c:v>
                </c:pt>
                <c:pt idx="27">
                  <c:v>11260.3</c:v>
                </c:pt>
                <c:pt idx="28">
                  <c:v>9868.7000000000007</c:v>
                </c:pt>
                <c:pt idx="29">
                  <c:v>9904.4</c:v>
                </c:pt>
                <c:pt idx="30">
                  <c:v>9776</c:v>
                </c:pt>
                <c:pt idx="31">
                  <c:v>12340.8</c:v>
                </c:pt>
                <c:pt idx="32">
                  <c:v>10155.6</c:v>
                </c:pt>
                <c:pt idx="33">
                  <c:v>11188.7</c:v>
                </c:pt>
                <c:pt idx="34">
                  <c:v>13103.5</c:v>
                </c:pt>
                <c:pt idx="35">
                  <c:v>12589.6</c:v>
                </c:pt>
                <c:pt idx="36">
                  <c:v>11803.6</c:v>
                </c:pt>
                <c:pt idx="37">
                  <c:v>10964.8</c:v>
                </c:pt>
                <c:pt idx="38">
                  <c:v>11447.4</c:v>
                </c:pt>
                <c:pt idx="39">
                  <c:v>12079.4</c:v>
                </c:pt>
                <c:pt idx="40">
                  <c:v>14715.9</c:v>
                </c:pt>
                <c:pt idx="41">
                  <c:v>12508</c:v>
                </c:pt>
                <c:pt idx="42">
                  <c:v>12922</c:v>
                </c:pt>
                <c:pt idx="43">
                  <c:v>17821</c:v>
                </c:pt>
                <c:pt idx="44">
                  <c:v>15522</c:v>
                </c:pt>
                <c:pt idx="45">
                  <c:v>18184.268700000001</c:v>
                </c:pt>
                <c:pt idx="46">
                  <c:v>19466.006399999998</c:v>
                </c:pt>
                <c:pt idx="47">
                  <c:v>20801.625599999999</c:v>
                </c:pt>
                <c:pt idx="48">
                  <c:v>24423.0196</c:v>
                </c:pt>
                <c:pt idx="49">
                  <c:v>25651.702000000001</c:v>
                </c:pt>
                <c:pt idx="50">
                  <c:v>28202.921600000001</c:v>
                </c:pt>
                <c:pt idx="51">
                  <c:v>29510.52</c:v>
                </c:pt>
                <c:pt idx="52">
                  <c:v>29312.390799999997</c:v>
                </c:pt>
                <c:pt idx="53">
                  <c:v>27038.235000000001</c:v>
                </c:pt>
                <c:pt idx="54">
                  <c:v>30997.676000000003</c:v>
                </c:pt>
                <c:pt idx="55">
                  <c:v>27428.381999999998</c:v>
                </c:pt>
                <c:pt idx="56">
                  <c:v>26537.713199999998</c:v>
                </c:pt>
                <c:pt idx="57">
                  <c:v>36915.040799999995</c:v>
                </c:pt>
                <c:pt idx="58">
                  <c:v>28911.995999999999</c:v>
                </c:pt>
                <c:pt idx="59">
                  <c:v>33345.967199999999</c:v>
                </c:pt>
                <c:pt idx="60">
                  <c:v>44077.758200000004</c:v>
                </c:pt>
                <c:pt idx="61">
                  <c:v>47620.520799999998</c:v>
                </c:pt>
                <c:pt idx="62">
                  <c:v>38232.399799999999</c:v>
                </c:pt>
              </c:numCache>
            </c:numRef>
          </c:val>
          <c:smooth val="0"/>
          <c:extLst>
            <c:ext xmlns:c16="http://schemas.microsoft.com/office/drawing/2014/chart" uri="{C3380CC4-5D6E-409C-BE32-E72D297353CC}">
              <c16:uniqueId val="{00000001-44A8-47B3-BDDD-B8346BAA5922}"/>
            </c:ext>
          </c:extLst>
        </c:ser>
        <c:ser>
          <c:idx val="2"/>
          <c:order val="2"/>
          <c:tx>
            <c:strRef>
              <c:f>'Precios comparativos'!$X$3</c:f>
              <c:strCache>
                <c:ptCount val="1"/>
                <c:pt idx="0">
                  <c:v>Chile Semillón</c:v>
                </c:pt>
              </c:strCache>
            </c:strRef>
          </c:tx>
          <c:spPr>
            <a:ln w="28575" cap="rnd">
              <a:solidFill>
                <a:schemeClr val="accent3"/>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pt idx="63">
                  <c:v>44743</c:v>
                </c:pt>
              </c:numCache>
            </c:numRef>
          </c:cat>
          <c:val>
            <c:numRef>
              <c:f>'Precios comparativos'!$X$4:$X$74</c:f>
              <c:numCache>
                <c:formatCode>_(* #,##0_);_(* \(#,##0\);_(* "-"_);_(@_)</c:formatCode>
                <c:ptCount val="71"/>
                <c:pt idx="0">
                  <c:v>40000</c:v>
                </c:pt>
                <c:pt idx="1">
                  <c:v>43750</c:v>
                </c:pt>
                <c:pt idx="2">
                  <c:v>42500</c:v>
                </c:pt>
                <c:pt idx="3">
                  <c:v>45000</c:v>
                </c:pt>
                <c:pt idx="4">
                  <c:v>45000</c:v>
                </c:pt>
                <c:pt idx="6">
                  <c:v>45000</c:v>
                </c:pt>
                <c:pt idx="7">
                  <c:v>45000</c:v>
                </c:pt>
                <c:pt idx="8">
                  <c:v>46875</c:v>
                </c:pt>
                <c:pt idx="9">
                  <c:v>45000</c:v>
                </c:pt>
                <c:pt idx="10">
                  <c:v>46300</c:v>
                </c:pt>
                <c:pt idx="11">
                  <c:v>50000</c:v>
                </c:pt>
                <c:pt idx="12">
                  <c:v>50000</c:v>
                </c:pt>
                <c:pt idx="13">
                  <c:v>47500</c:v>
                </c:pt>
                <c:pt idx="14">
                  <c:v>45000</c:v>
                </c:pt>
                <c:pt idx="15">
                  <c:v>43750</c:v>
                </c:pt>
                <c:pt idx="16">
                  <c:v>43750</c:v>
                </c:pt>
                <c:pt idx="17">
                  <c:v>38750</c:v>
                </c:pt>
                <c:pt idx="18">
                  <c:v>35000</c:v>
                </c:pt>
                <c:pt idx="19">
                  <c:v>35000</c:v>
                </c:pt>
                <c:pt idx="20">
                  <c:v>30625</c:v>
                </c:pt>
                <c:pt idx="21">
                  <c:v>32500</c:v>
                </c:pt>
                <c:pt idx="22">
                  <c:v>30000</c:v>
                </c:pt>
                <c:pt idx="23">
                  <c:v>31250</c:v>
                </c:pt>
                <c:pt idx="24">
                  <c:v>30000</c:v>
                </c:pt>
                <c:pt idx="25">
                  <c:v>30000</c:v>
                </c:pt>
                <c:pt idx="26">
                  <c:v>30000</c:v>
                </c:pt>
                <c:pt idx="27">
                  <c:v>28750</c:v>
                </c:pt>
                <c:pt idx="28">
                  <c:v>28750</c:v>
                </c:pt>
                <c:pt idx="29">
                  <c:v>22500</c:v>
                </c:pt>
                <c:pt idx="30">
                  <c:v>30000</c:v>
                </c:pt>
                <c:pt idx="31">
                  <c:v>27500</c:v>
                </c:pt>
                <c:pt idx="32">
                  <c:v>27500</c:v>
                </c:pt>
                <c:pt idx="33">
                  <c:v>25000</c:v>
                </c:pt>
                <c:pt idx="34">
                  <c:v>30000</c:v>
                </c:pt>
                <c:pt idx="35">
                  <c:v>30000</c:v>
                </c:pt>
                <c:pt idx="36">
                  <c:v>31250</c:v>
                </c:pt>
                <c:pt idx="37">
                  <c:v>31250</c:v>
                </c:pt>
                <c:pt idx="38">
                  <c:v>30000</c:v>
                </c:pt>
                <c:pt idx="39">
                  <c:v>30000</c:v>
                </c:pt>
                <c:pt idx="40">
                  <c:v>40000</c:v>
                </c:pt>
                <c:pt idx="41">
                  <c:v>40000</c:v>
                </c:pt>
                <c:pt idx="42">
                  <c:v>35000</c:v>
                </c:pt>
                <c:pt idx="43">
                  <c:v>37500</c:v>
                </c:pt>
                <c:pt idx="44">
                  <c:v>47500</c:v>
                </c:pt>
                <c:pt idx="45">
                  <c:v>36250</c:v>
                </c:pt>
                <c:pt idx="46">
                  <c:v>40000</c:v>
                </c:pt>
                <c:pt idx="47">
                  <c:v>40000</c:v>
                </c:pt>
                <c:pt idx="48">
                  <c:v>40000</c:v>
                </c:pt>
                <c:pt idx="49">
                  <c:v>47500</c:v>
                </c:pt>
                <c:pt idx="50">
                  <c:v>47500</c:v>
                </c:pt>
                <c:pt idx="51">
                  <c:v>47500</c:v>
                </c:pt>
                <c:pt idx="52">
                  <c:v>47500</c:v>
                </c:pt>
                <c:pt idx="53">
                  <c:v>45000</c:v>
                </c:pt>
                <c:pt idx="54">
                  <c:v>50000</c:v>
                </c:pt>
                <c:pt idx="55">
                  <c:v>60000</c:v>
                </c:pt>
                <c:pt idx="56">
                  <c:v>60000</c:v>
                </c:pt>
                <c:pt idx="57">
                  <c:v>60000</c:v>
                </c:pt>
                <c:pt idx="58" formatCode="General">
                  <c:v>60000</c:v>
                </c:pt>
                <c:pt idx="59" formatCode="General">
                  <c:v>57500</c:v>
                </c:pt>
                <c:pt idx="60" formatCode="General">
                  <c:v>57500</c:v>
                </c:pt>
                <c:pt idx="61" formatCode="General">
                  <c:v>55000</c:v>
                </c:pt>
                <c:pt idx="62" formatCode="General">
                  <c:v>55000</c:v>
                </c:pt>
              </c:numCache>
            </c:numRef>
          </c:val>
          <c:smooth val="0"/>
          <c:extLst>
            <c:ext xmlns:c16="http://schemas.microsoft.com/office/drawing/2014/chart" uri="{C3380CC4-5D6E-409C-BE32-E72D297353CC}">
              <c16:uniqueId val="{00000002-44A8-47B3-BDDD-B8346BAA5922}"/>
            </c:ext>
          </c:extLst>
        </c:ser>
        <c:ser>
          <c:idx val="3"/>
          <c:order val="3"/>
          <c:tx>
            <c:strRef>
              <c:f>'Precios comparativos'!$Y$3</c:f>
              <c:strCache>
                <c:ptCount val="1"/>
                <c:pt idx="0">
                  <c:v>Argentino blanco</c:v>
                </c:pt>
              </c:strCache>
            </c:strRef>
          </c:tx>
          <c:spPr>
            <a:ln w="28575" cap="rnd">
              <a:solidFill>
                <a:schemeClr val="accent4"/>
              </a:solidFill>
              <a:round/>
            </a:ln>
            <a:effectLst/>
          </c:spPr>
          <c:marker>
            <c:symbol val="none"/>
          </c:marker>
          <c:cat>
            <c:numRef>
              <c:f>'Precios comparativos'!$U$4:$U$74</c:f>
              <c:numCache>
                <c:formatCode>mmm\-yy</c:formatCode>
                <c:ptCount val="71"/>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pt idx="26">
                  <c:v>43617</c:v>
                </c:pt>
                <c:pt idx="27">
                  <c:v>43647</c:v>
                </c:pt>
                <c:pt idx="28">
                  <c:v>43678</c:v>
                </c:pt>
                <c:pt idx="29">
                  <c:v>43709</c:v>
                </c:pt>
                <c:pt idx="30">
                  <c:v>43739</c:v>
                </c:pt>
                <c:pt idx="31">
                  <c:v>43770</c:v>
                </c:pt>
                <c:pt idx="32">
                  <c:v>43800</c:v>
                </c:pt>
                <c:pt idx="33">
                  <c:v>43831</c:v>
                </c:pt>
                <c:pt idx="34">
                  <c:v>43862</c:v>
                </c:pt>
                <c:pt idx="35">
                  <c:v>43891</c:v>
                </c:pt>
                <c:pt idx="36">
                  <c:v>43922</c:v>
                </c:pt>
                <c:pt idx="37">
                  <c:v>43952</c:v>
                </c:pt>
                <c:pt idx="38">
                  <c:v>43983</c:v>
                </c:pt>
                <c:pt idx="39">
                  <c:v>44013</c:v>
                </c:pt>
                <c:pt idx="40">
                  <c:v>44044</c:v>
                </c:pt>
                <c:pt idx="41">
                  <c:v>44075</c:v>
                </c:pt>
                <c:pt idx="42">
                  <c:v>44105</c:v>
                </c:pt>
                <c:pt idx="43">
                  <c:v>44136</c:v>
                </c:pt>
                <c:pt idx="44">
                  <c:v>44166</c:v>
                </c:pt>
                <c:pt idx="45">
                  <c:v>44197</c:v>
                </c:pt>
                <c:pt idx="46">
                  <c:v>44228</c:v>
                </c:pt>
                <c:pt idx="47">
                  <c:v>44256</c:v>
                </c:pt>
                <c:pt idx="48">
                  <c:v>44287</c:v>
                </c:pt>
                <c:pt idx="49">
                  <c:v>44317</c:v>
                </c:pt>
                <c:pt idx="50">
                  <c:v>44348</c:v>
                </c:pt>
                <c:pt idx="51">
                  <c:v>44378</c:v>
                </c:pt>
                <c:pt idx="52">
                  <c:v>44409</c:v>
                </c:pt>
                <c:pt idx="53">
                  <c:v>44440</c:v>
                </c:pt>
                <c:pt idx="54">
                  <c:v>44470</c:v>
                </c:pt>
                <c:pt idx="55">
                  <c:v>44501</c:v>
                </c:pt>
                <c:pt idx="56">
                  <c:v>44531</c:v>
                </c:pt>
                <c:pt idx="57">
                  <c:v>44562</c:v>
                </c:pt>
                <c:pt idx="58">
                  <c:v>44593</c:v>
                </c:pt>
                <c:pt idx="59">
                  <c:v>44621</c:v>
                </c:pt>
                <c:pt idx="60">
                  <c:v>44652</c:v>
                </c:pt>
                <c:pt idx="61">
                  <c:v>44682</c:v>
                </c:pt>
                <c:pt idx="62">
                  <c:v>44713</c:v>
                </c:pt>
                <c:pt idx="63">
                  <c:v>44743</c:v>
                </c:pt>
              </c:numCache>
            </c:numRef>
          </c:cat>
          <c:val>
            <c:numRef>
              <c:f>'Precios comparativos'!$Y$4:$Y$74</c:f>
              <c:numCache>
                <c:formatCode>_(* #,##0_);_(* \(#,##0\);_(* "-"_);_(@_)</c:formatCode>
                <c:ptCount val="71"/>
                <c:pt idx="0">
                  <c:v>25764.053500000002</c:v>
                </c:pt>
                <c:pt idx="1">
                  <c:v>31906.115999999998</c:v>
                </c:pt>
                <c:pt idx="2">
                  <c:v>25486.445600000003</c:v>
                </c:pt>
                <c:pt idx="3">
                  <c:v>25972.531200000001</c:v>
                </c:pt>
                <c:pt idx="4">
                  <c:v>23750.126400000001</c:v>
                </c:pt>
                <c:pt idx="5">
                  <c:v>25232.537500000002</c:v>
                </c:pt>
                <c:pt idx="6">
                  <c:v>26190.3</c:v>
                </c:pt>
                <c:pt idx="7">
                  <c:v>23350.2</c:v>
                </c:pt>
                <c:pt idx="8">
                  <c:v>23345.4</c:v>
                </c:pt>
                <c:pt idx="9">
                  <c:v>20134.571800000002</c:v>
                </c:pt>
                <c:pt idx="10">
                  <c:v>21974</c:v>
                </c:pt>
                <c:pt idx="11">
                  <c:v>20207.599999999999</c:v>
                </c:pt>
                <c:pt idx="12">
                  <c:v>19226.099999999999</c:v>
                </c:pt>
                <c:pt idx="13">
                  <c:v>17684.8</c:v>
                </c:pt>
                <c:pt idx="14">
                  <c:v>16989.900000000001</c:v>
                </c:pt>
                <c:pt idx="15">
                  <c:v>15691.7</c:v>
                </c:pt>
                <c:pt idx="16">
                  <c:v>13418.5</c:v>
                </c:pt>
                <c:pt idx="17">
                  <c:v>10940.1</c:v>
                </c:pt>
                <c:pt idx="18">
                  <c:v>11494.6</c:v>
                </c:pt>
                <c:pt idx="19">
                  <c:v>12682</c:v>
                </c:pt>
                <c:pt idx="20">
                  <c:v>12669.5</c:v>
                </c:pt>
                <c:pt idx="21">
                  <c:v>11843</c:v>
                </c:pt>
                <c:pt idx="22">
                  <c:v>10835.7</c:v>
                </c:pt>
                <c:pt idx="23">
                  <c:v>10658.1</c:v>
                </c:pt>
                <c:pt idx="24">
                  <c:v>9681.6</c:v>
                </c:pt>
                <c:pt idx="25">
                  <c:v>8767</c:v>
                </c:pt>
                <c:pt idx="26">
                  <c:v>10086</c:v>
                </c:pt>
                <c:pt idx="27">
                  <c:v>10623.4</c:v>
                </c:pt>
                <c:pt idx="28">
                  <c:v>8526.7999999999993</c:v>
                </c:pt>
                <c:pt idx="29">
                  <c:v>8096.9</c:v>
                </c:pt>
                <c:pt idx="30">
                  <c:v>7651.5</c:v>
                </c:pt>
                <c:pt idx="31">
                  <c:v>9096.9</c:v>
                </c:pt>
                <c:pt idx="32">
                  <c:v>9119.4</c:v>
                </c:pt>
                <c:pt idx="33">
                  <c:v>9168.1</c:v>
                </c:pt>
                <c:pt idx="34">
                  <c:v>10006.200000000001</c:v>
                </c:pt>
                <c:pt idx="35">
                  <c:v>10822.6</c:v>
                </c:pt>
                <c:pt idx="36">
                  <c:v>7921.5</c:v>
                </c:pt>
                <c:pt idx="37">
                  <c:v>13163.8</c:v>
                </c:pt>
                <c:pt idx="38">
                  <c:v>12848.5</c:v>
                </c:pt>
                <c:pt idx="39">
                  <c:v>11462.2</c:v>
                </c:pt>
                <c:pt idx="40">
                  <c:v>11739.5</c:v>
                </c:pt>
                <c:pt idx="41">
                  <c:v>14796.5</c:v>
                </c:pt>
                <c:pt idx="42">
                  <c:v>15487.1</c:v>
                </c:pt>
                <c:pt idx="43">
                  <c:v>14101.8</c:v>
                </c:pt>
                <c:pt idx="44">
                  <c:v>12936.4</c:v>
                </c:pt>
                <c:pt idx="45" formatCode="#,##0">
                  <c:v>15148.372799999999</c:v>
                </c:pt>
                <c:pt idx="46" formatCode="#,##0">
                  <c:v>17454.892800000001</c:v>
                </c:pt>
                <c:pt idx="47" formatCode="#,##0">
                  <c:v>14951.407800000001</c:v>
                </c:pt>
                <c:pt idx="48" formatCode="#,##0">
                  <c:v>23694.736099999998</c:v>
                </c:pt>
                <c:pt idx="49" formatCode="#,##0">
                  <c:v>29417.625599999999</c:v>
                </c:pt>
                <c:pt idx="50" formatCode="#,##0">
                  <c:v>28164.619000000002</c:v>
                </c:pt>
                <c:pt idx="51" formatCode="#,##0">
                  <c:v>25042.991999999998</c:v>
                </c:pt>
                <c:pt idx="52" formatCode="#,##0">
                  <c:v>26932.379099999995</c:v>
                </c:pt>
                <c:pt idx="53" formatCode="#,##0">
                  <c:v>23738.345400000002</c:v>
                </c:pt>
                <c:pt idx="54" formatCode="#,##0">
                  <c:v>23621.3194</c:v>
                </c:pt>
                <c:pt idx="55" formatCode="#,##0">
                  <c:v>20553.668999999998</c:v>
                </c:pt>
                <c:pt idx="56" formatCode="#,##0">
                  <c:v>22041.702599999997</c:v>
                </c:pt>
                <c:pt idx="57" formatCode="#,##0">
                  <c:v>29205.1584</c:v>
                </c:pt>
                <c:pt idx="58" formatCode="#,##0">
                  <c:v>27228.823999999997</c:v>
                </c:pt>
                <c:pt idx="59" formatCode="#,##0">
                  <c:v>32706.272399999998</c:v>
                </c:pt>
                <c:pt idx="60" formatCode="#,##0">
                  <c:v>37764.538</c:v>
                </c:pt>
                <c:pt idx="61" formatCode="#,##0">
                  <c:v>34836.5</c:v>
                </c:pt>
                <c:pt idx="62" formatCode="#,##0">
                  <c:v>33652.135900000001</c:v>
                </c:pt>
              </c:numCache>
            </c:numRef>
          </c:val>
          <c:smooth val="0"/>
          <c:extLst>
            <c:ext xmlns:c16="http://schemas.microsoft.com/office/drawing/2014/chart" uri="{C3380CC4-5D6E-409C-BE32-E72D297353CC}">
              <c16:uniqueId val="{00000003-44A8-47B3-BDDD-B8346BAA5922}"/>
            </c:ext>
          </c:extLst>
        </c:ser>
        <c:dLbls>
          <c:showLegendKey val="0"/>
          <c:showVal val="0"/>
          <c:showCatName val="0"/>
          <c:showSerName val="0"/>
          <c:showPercent val="0"/>
          <c:showBubbleSize val="0"/>
        </c:dLbls>
        <c:smooth val="0"/>
        <c:axId val="-1371154512"/>
        <c:axId val="-1371151248"/>
      </c:lineChart>
      <c:dateAx>
        <c:axId val="-13711545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151248"/>
        <c:crosses val="autoZero"/>
        <c:auto val="1"/>
        <c:lblOffset val="100"/>
        <c:baseTimeUnit val="months"/>
      </c:dateAx>
      <c:valAx>
        <c:axId val="-1371151248"/>
        <c:scaling>
          <c:orientation val="minMax"/>
          <c:min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 / hectolitro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154512"/>
        <c:crosses val="autoZero"/>
        <c:crossBetween val="between"/>
      </c:valAx>
      <c:spPr>
        <a:noFill/>
        <a:ln>
          <a:noFill/>
        </a:ln>
        <a:effectLst/>
      </c:spPr>
    </c:plotArea>
    <c:legend>
      <c:legendPos val="b"/>
      <c:layout>
        <c:manualLayout>
          <c:xMode val="edge"/>
          <c:yMode val="edge"/>
          <c:x val="7.0766987459900843E-2"/>
          <c:y val="0.8255074323759638"/>
          <c:w val="0.88389326334208229"/>
          <c:h val="0.107980692141741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bg1">
          <a:lumMod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3. Evolución de las exportaciones de vino con denominación de origen.</a:t>
            </a:r>
            <a:r>
              <a:rPr lang="es-CL" sz="1100" baseline="0"/>
              <a:t> </a:t>
            </a:r>
          </a:p>
          <a:p>
            <a:pPr>
              <a:defRPr sz="1100"/>
            </a:pPr>
            <a:r>
              <a:rPr lang="es-CL" sz="1100" baseline="0"/>
              <a:t>Período 2002 - 2021</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export'!$O$10:$P$10</c:f>
              <c:strCache>
                <c:ptCount val="2"/>
                <c:pt idx="0">
                  <c:v>Volumen de vino con denominación de origen</c:v>
                </c:pt>
                <c:pt idx="1">
                  <c:v>Mill. Litros</c:v>
                </c:pt>
              </c:strCache>
            </c:strRef>
          </c:tx>
          <c:spPr>
            <a:solidFill>
              <a:schemeClr val="accent1"/>
            </a:solidFill>
            <a:ln>
              <a:noFill/>
            </a:ln>
            <a:effectLst/>
          </c:spPr>
          <c:invertIfNegative val="0"/>
          <c:cat>
            <c:strRef>
              <c:f>'Evol export'!$S$8:$AL$9</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export'!$S$10:$AL$10</c:f>
              <c:numCache>
                <c:formatCode>#,##0</c:formatCode>
                <c:ptCount val="20"/>
                <c:pt idx="0">
                  <c:v>175.49329445519999</c:v>
                </c:pt>
                <c:pt idx="1">
                  <c:v>192.93670056670001</c:v>
                </c:pt>
                <c:pt idx="2">
                  <c:v>233.3400807802</c:v>
                </c:pt>
                <c:pt idx="3">
                  <c:v>242.48022453990001</c:v>
                </c:pt>
                <c:pt idx="4">
                  <c:v>258.75041966539999</c:v>
                </c:pt>
                <c:pt idx="5">
                  <c:v>317.69890552209995</c:v>
                </c:pt>
                <c:pt idx="6">
                  <c:v>326.99190337199997</c:v>
                </c:pt>
                <c:pt idx="7">
                  <c:v>348.41301345569997</c:v>
                </c:pt>
                <c:pt idx="8">
                  <c:v>382.55308354490001</c:v>
                </c:pt>
                <c:pt idx="9">
                  <c:v>396.57615365309999</c:v>
                </c:pt>
                <c:pt idx="10">
                  <c:v>401.84123653259996</c:v>
                </c:pt>
                <c:pt idx="11">
                  <c:v>398.37695106059999</c:v>
                </c:pt>
                <c:pt idx="12">
                  <c:v>413.56919094929998</c:v>
                </c:pt>
                <c:pt idx="13">
                  <c:v>437.84699999999998</c:v>
                </c:pt>
                <c:pt idx="14">
                  <c:v>451.06700000000001</c:v>
                </c:pt>
                <c:pt idx="15">
                  <c:v>477.19299999999998</c:v>
                </c:pt>
                <c:pt idx="16">
                  <c:v>456.7</c:v>
                </c:pt>
                <c:pt idx="17">
                  <c:v>444.00099999999998</c:v>
                </c:pt>
                <c:pt idx="18">
                  <c:v>445.9</c:v>
                </c:pt>
                <c:pt idx="19">
                  <c:v>448.18783447550004</c:v>
                </c:pt>
              </c:numCache>
            </c:numRef>
          </c:val>
          <c:extLst>
            <c:ext xmlns:c16="http://schemas.microsoft.com/office/drawing/2014/chart" uri="{C3380CC4-5D6E-409C-BE32-E72D297353CC}">
              <c16:uniqueId val="{00000000-F289-4370-9D45-083C85A1181F}"/>
            </c:ext>
          </c:extLst>
        </c:ser>
        <c:ser>
          <c:idx val="1"/>
          <c:order val="1"/>
          <c:tx>
            <c:strRef>
              <c:f>'Evol export'!$O$11:$P$11</c:f>
              <c:strCache>
                <c:ptCount val="2"/>
                <c:pt idx="0">
                  <c:v>Valor vino con denominación de origen</c:v>
                </c:pt>
                <c:pt idx="1">
                  <c:v>Mill. USD</c:v>
                </c:pt>
              </c:strCache>
            </c:strRef>
          </c:tx>
          <c:spPr>
            <a:solidFill>
              <a:schemeClr val="accent2"/>
            </a:solidFill>
            <a:ln>
              <a:noFill/>
            </a:ln>
            <a:effectLst/>
          </c:spPr>
          <c:invertIfNegative val="0"/>
          <c:cat>
            <c:strRef>
              <c:f>'Evol export'!$S$8:$AL$9</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export'!$S$11:$AL$11</c:f>
              <c:numCache>
                <c:formatCode>#,##0</c:formatCode>
                <c:ptCount val="20"/>
                <c:pt idx="0">
                  <c:v>471.66601617999999</c:v>
                </c:pt>
                <c:pt idx="1">
                  <c:v>524.11470127999996</c:v>
                </c:pt>
                <c:pt idx="2">
                  <c:v>650.14249059000008</c:v>
                </c:pt>
                <c:pt idx="3">
                  <c:v>696.04023954000002</c:v>
                </c:pt>
                <c:pt idx="4">
                  <c:v>772.21546238999997</c:v>
                </c:pt>
                <c:pt idx="5">
                  <c:v>1012.17846896</c:v>
                </c:pt>
                <c:pt idx="6">
                  <c:v>1095.4763609000001</c:v>
                </c:pt>
                <c:pt idx="7">
                  <c:v>1069.12207951</c:v>
                </c:pt>
                <c:pt idx="8">
                  <c:v>1186.4632452799999</c:v>
                </c:pt>
                <c:pt idx="9">
                  <c:v>1321.6412109100002</c:v>
                </c:pt>
                <c:pt idx="10">
                  <c:v>1337.7155418900002</c:v>
                </c:pt>
                <c:pt idx="11">
                  <c:v>1362.5547327000002</c:v>
                </c:pt>
                <c:pt idx="12">
                  <c:v>1422.0179057400001</c:v>
                </c:pt>
                <c:pt idx="13">
                  <c:v>1443.4</c:v>
                </c:pt>
                <c:pt idx="14">
                  <c:v>1427.481</c:v>
                </c:pt>
                <c:pt idx="15">
                  <c:v>1520.2370000000001</c:v>
                </c:pt>
                <c:pt idx="16">
                  <c:v>1507.3</c:v>
                </c:pt>
                <c:pt idx="17">
                  <c:v>1444.989</c:v>
                </c:pt>
                <c:pt idx="18">
                  <c:v>1394.1</c:v>
                </c:pt>
                <c:pt idx="19">
                  <c:v>1503.9203183799993</c:v>
                </c:pt>
              </c:numCache>
            </c:numRef>
          </c:val>
          <c:extLst>
            <c:ext xmlns:c16="http://schemas.microsoft.com/office/drawing/2014/chart" uri="{C3380CC4-5D6E-409C-BE32-E72D297353CC}">
              <c16:uniqueId val="{00000001-F289-4370-9D45-083C85A1181F}"/>
            </c:ext>
          </c:extLst>
        </c:ser>
        <c:dLbls>
          <c:showLegendKey val="0"/>
          <c:showVal val="0"/>
          <c:showCatName val="0"/>
          <c:showSerName val="0"/>
          <c:showPercent val="0"/>
          <c:showBubbleSize val="0"/>
        </c:dLbls>
        <c:gapWidth val="219"/>
        <c:overlap val="-27"/>
        <c:axId val="-1401637408"/>
        <c:axId val="-1401635088"/>
      </c:barChart>
      <c:catAx>
        <c:axId val="-1401637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35088"/>
        <c:crosses val="autoZero"/>
        <c:auto val="1"/>
        <c:lblAlgn val="ctr"/>
        <c:lblOffset val="100"/>
        <c:noMultiLvlLbl val="0"/>
      </c:catAx>
      <c:valAx>
        <c:axId val="-1401635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i="0"/>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6374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4. Evolución de las exportaciones de vino a granel. </a:t>
            </a:r>
          </a:p>
          <a:p>
            <a:pPr>
              <a:defRPr sz="1100"/>
            </a:pPr>
            <a:r>
              <a:rPr lang="es-CL" sz="1100"/>
              <a:t>Período</a:t>
            </a:r>
            <a:r>
              <a:rPr lang="es-CL" sz="1100" baseline="0"/>
              <a:t> 2002 - 2021</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1676743236767846"/>
          <c:y val="0.21816906065762837"/>
          <c:w val="0.85740642691923163"/>
          <c:h val="0.51145501029766816"/>
        </c:manualLayout>
      </c:layout>
      <c:barChart>
        <c:barDir val="col"/>
        <c:grouping val="clustered"/>
        <c:varyColors val="0"/>
        <c:ser>
          <c:idx val="0"/>
          <c:order val="0"/>
          <c:tx>
            <c:strRef>
              <c:f>'Evol export'!$O$15:$P$15</c:f>
              <c:strCache>
                <c:ptCount val="2"/>
                <c:pt idx="0">
                  <c:v>Volumen a granel</c:v>
                </c:pt>
                <c:pt idx="1">
                  <c:v>Mill. Litros</c:v>
                </c:pt>
              </c:strCache>
            </c:strRef>
          </c:tx>
          <c:spPr>
            <a:solidFill>
              <a:schemeClr val="accent1"/>
            </a:solidFill>
            <a:ln>
              <a:noFill/>
            </a:ln>
            <a:effectLst/>
          </c:spPr>
          <c:invertIfNegative val="0"/>
          <c:cat>
            <c:strRef>
              <c:f>'Evol export'!$S$13:$AL$14</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export'!$S$15:$AL$15</c:f>
              <c:numCache>
                <c:formatCode>#,##0</c:formatCode>
                <c:ptCount val="20"/>
                <c:pt idx="0">
                  <c:v>118.40353100519999</c:v>
                </c:pt>
                <c:pt idx="1">
                  <c:v>149.88732758360001</c:v>
                </c:pt>
                <c:pt idx="2">
                  <c:v>188.22032426440001</c:v>
                </c:pt>
                <c:pt idx="3">
                  <c:v>131.14229065469999</c:v>
                </c:pt>
                <c:pt idx="4">
                  <c:v>161.83011181999998</c:v>
                </c:pt>
                <c:pt idx="5">
                  <c:v>233.30518985</c:v>
                </c:pt>
                <c:pt idx="6">
                  <c:v>208.40995900999999</c:v>
                </c:pt>
                <c:pt idx="7">
                  <c:v>289.61965530000003</c:v>
                </c:pt>
                <c:pt idx="8">
                  <c:v>290.92445788999999</c:v>
                </c:pt>
                <c:pt idx="9">
                  <c:v>210.15477798930002</c:v>
                </c:pt>
                <c:pt idx="10">
                  <c:v>290.69355034739999</c:v>
                </c:pt>
                <c:pt idx="11">
                  <c:v>410.26098474999998</c:v>
                </c:pt>
                <c:pt idx="12">
                  <c:v>329.41743557000001</c:v>
                </c:pt>
                <c:pt idx="13">
                  <c:v>385.04199999999997</c:v>
                </c:pt>
                <c:pt idx="14">
                  <c:v>401.93400000000003</c:v>
                </c:pt>
                <c:pt idx="15">
                  <c:v>393.92899999999997</c:v>
                </c:pt>
                <c:pt idx="16">
                  <c:v>319.5</c:v>
                </c:pt>
                <c:pt idx="17">
                  <c:v>360.04599999999999</c:v>
                </c:pt>
                <c:pt idx="18">
                  <c:v>339.8</c:v>
                </c:pt>
                <c:pt idx="19">
                  <c:v>353.08593122000002</c:v>
                </c:pt>
              </c:numCache>
            </c:numRef>
          </c:val>
          <c:extLst>
            <c:ext xmlns:c16="http://schemas.microsoft.com/office/drawing/2014/chart" uri="{C3380CC4-5D6E-409C-BE32-E72D297353CC}">
              <c16:uniqueId val="{00000000-94BC-42DF-A0F0-1A8FE42DAD90}"/>
            </c:ext>
          </c:extLst>
        </c:ser>
        <c:ser>
          <c:idx val="1"/>
          <c:order val="1"/>
          <c:tx>
            <c:strRef>
              <c:f>'Evol export'!$O$16:$P$16</c:f>
              <c:strCache>
                <c:ptCount val="2"/>
                <c:pt idx="0">
                  <c:v>Valor a granel</c:v>
                </c:pt>
                <c:pt idx="1">
                  <c:v>Mill. USD</c:v>
                </c:pt>
              </c:strCache>
            </c:strRef>
          </c:tx>
          <c:spPr>
            <a:solidFill>
              <a:schemeClr val="accent2"/>
            </a:solidFill>
            <a:ln>
              <a:noFill/>
            </a:ln>
            <a:effectLst/>
          </c:spPr>
          <c:invertIfNegative val="0"/>
          <c:cat>
            <c:strRef>
              <c:f>'Evol export'!$S$13:$AL$14</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export'!$S$16:$AL$16</c:f>
              <c:numCache>
                <c:formatCode>#,##0</c:formatCode>
                <c:ptCount val="20"/>
                <c:pt idx="0">
                  <c:v>54.666370960000002</c:v>
                </c:pt>
                <c:pt idx="1">
                  <c:v>74.318585330000005</c:v>
                </c:pt>
                <c:pt idx="2">
                  <c:v>116.18971509000001</c:v>
                </c:pt>
                <c:pt idx="3">
                  <c:v>114.17217457</c:v>
                </c:pt>
                <c:pt idx="4">
                  <c:v>114.31705675000001</c:v>
                </c:pt>
                <c:pt idx="5">
                  <c:v>150.5098686</c:v>
                </c:pt>
                <c:pt idx="6">
                  <c:v>182.46038066</c:v>
                </c:pt>
                <c:pt idx="7">
                  <c:v>211.21099818000002</c:v>
                </c:pt>
                <c:pt idx="8">
                  <c:v>243.25538308</c:v>
                </c:pt>
                <c:pt idx="9">
                  <c:v>245.24177114</c:v>
                </c:pt>
                <c:pt idx="10">
                  <c:v>330.16294305999998</c:v>
                </c:pt>
                <c:pt idx="11">
                  <c:v>390.96416416000005</c:v>
                </c:pt>
                <c:pt idx="12">
                  <c:v>296.75839437000002</c:v>
                </c:pt>
                <c:pt idx="13">
                  <c:v>292.47399999999999</c:v>
                </c:pt>
                <c:pt idx="14">
                  <c:v>303.22699999999998</c:v>
                </c:pt>
                <c:pt idx="15">
                  <c:v>340.12900000000002</c:v>
                </c:pt>
                <c:pt idx="16">
                  <c:v>327.2</c:v>
                </c:pt>
                <c:pt idx="17">
                  <c:v>335.96699999999998</c:v>
                </c:pt>
                <c:pt idx="18">
                  <c:v>293.10000000000002</c:v>
                </c:pt>
                <c:pt idx="19">
                  <c:v>308.49193701000002</c:v>
                </c:pt>
              </c:numCache>
            </c:numRef>
          </c:val>
          <c:extLst>
            <c:ext xmlns:c16="http://schemas.microsoft.com/office/drawing/2014/chart" uri="{C3380CC4-5D6E-409C-BE32-E72D297353CC}">
              <c16:uniqueId val="{00000001-94BC-42DF-A0F0-1A8FE42DAD90}"/>
            </c:ext>
          </c:extLst>
        </c:ser>
        <c:dLbls>
          <c:showLegendKey val="0"/>
          <c:showVal val="0"/>
          <c:showCatName val="0"/>
          <c:showSerName val="0"/>
          <c:showPercent val="0"/>
          <c:showBubbleSize val="0"/>
        </c:dLbls>
        <c:gapWidth val="219"/>
        <c:overlap val="-27"/>
        <c:axId val="-1373361456"/>
        <c:axId val="-1373358704"/>
      </c:barChart>
      <c:catAx>
        <c:axId val="-137336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58704"/>
        <c:crosses val="autoZero"/>
        <c:auto val="1"/>
        <c:lblAlgn val="ctr"/>
        <c:lblOffset val="100"/>
        <c:noMultiLvlLbl val="0"/>
      </c:catAx>
      <c:valAx>
        <c:axId val="-1373358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r>
                  <a:rPr lang="es-CL" b="1">
                    <a:latin typeface="+mn-lt"/>
                    <a:ea typeface="Open Sans Light" panose="020B0306030504020204" pitchFamily="34" charset="0"/>
                    <a:cs typeface="Open Sans Light" panose="020B0306030504020204" pitchFamily="34" charset="0"/>
                  </a:rPr>
                  <a:t>Millones de litros - Millones USD</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Open Sans Light" panose="020B0306030504020204" pitchFamily="34" charset="0"/>
                  <a:cs typeface="Open Sans Light" panose="020B0306030504020204" pitchFamily="34" charset="0"/>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3361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5. Evolución de las exportaciones de los demás</a:t>
            </a:r>
            <a:r>
              <a:rPr lang="es-CL" sz="1100" baseline="0"/>
              <a:t> vinos envasados con capacidad menor o igual a 2 litros.</a:t>
            </a:r>
          </a:p>
          <a:p>
            <a:pPr>
              <a:defRPr sz="1100"/>
            </a:pPr>
            <a:r>
              <a:rPr lang="es-CL" sz="1100" baseline="0"/>
              <a:t>Período 2002 - 2021</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export'!$O$20:$P$20</c:f>
              <c:strCache>
                <c:ptCount val="2"/>
                <c:pt idx="0">
                  <c:v>Volumen los demás envasados</c:v>
                </c:pt>
                <c:pt idx="1">
                  <c:v>Mill. Litros</c:v>
                </c:pt>
              </c:strCache>
            </c:strRef>
          </c:tx>
          <c:spPr>
            <a:solidFill>
              <a:schemeClr val="accent1"/>
            </a:solidFill>
            <a:ln>
              <a:noFill/>
            </a:ln>
            <a:effectLst/>
          </c:spPr>
          <c:invertIfNegative val="0"/>
          <c:cat>
            <c:strRef>
              <c:f>'Evol export'!$S$18:$AL$19</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export'!$S$20:$AL$20</c:f>
              <c:numCache>
                <c:formatCode>#,##0</c:formatCode>
                <c:ptCount val="20"/>
                <c:pt idx="0">
                  <c:v>49.388238392700003</c:v>
                </c:pt>
                <c:pt idx="1">
                  <c:v>47.342706783399997</c:v>
                </c:pt>
                <c:pt idx="2">
                  <c:v>42.646569212499998</c:v>
                </c:pt>
                <c:pt idx="3">
                  <c:v>38.658926530000002</c:v>
                </c:pt>
                <c:pt idx="4">
                  <c:v>47.957571909999999</c:v>
                </c:pt>
                <c:pt idx="5">
                  <c:v>46.841828729999996</c:v>
                </c:pt>
                <c:pt idx="6">
                  <c:v>43.590714210000002</c:v>
                </c:pt>
                <c:pt idx="7">
                  <c:v>47.185891670000004</c:v>
                </c:pt>
                <c:pt idx="8">
                  <c:v>48.600438652000001</c:v>
                </c:pt>
                <c:pt idx="9">
                  <c:v>49.518246762000004</c:v>
                </c:pt>
                <c:pt idx="10">
                  <c:v>47.411845679999999</c:v>
                </c:pt>
                <c:pt idx="11">
                  <c:v>61.3923323</c:v>
                </c:pt>
                <c:pt idx="12">
                  <c:v>49.354199690000002</c:v>
                </c:pt>
                <c:pt idx="13">
                  <c:v>47.796999999999997</c:v>
                </c:pt>
                <c:pt idx="14">
                  <c:v>48.23</c:v>
                </c:pt>
                <c:pt idx="15">
                  <c:v>43.374000000000002</c:v>
                </c:pt>
                <c:pt idx="16">
                  <c:v>43.8</c:v>
                </c:pt>
                <c:pt idx="17">
                  <c:v>41.093000000000004</c:v>
                </c:pt>
                <c:pt idx="18">
                  <c:v>37.700000000000003</c:v>
                </c:pt>
                <c:pt idx="19">
                  <c:v>39.216195233699999</c:v>
                </c:pt>
              </c:numCache>
            </c:numRef>
          </c:val>
          <c:extLst>
            <c:ext xmlns:c16="http://schemas.microsoft.com/office/drawing/2014/chart" uri="{C3380CC4-5D6E-409C-BE32-E72D297353CC}">
              <c16:uniqueId val="{00000000-BE1C-42FE-AF1E-5146C2EDEB6E}"/>
            </c:ext>
          </c:extLst>
        </c:ser>
        <c:ser>
          <c:idx val="1"/>
          <c:order val="1"/>
          <c:tx>
            <c:strRef>
              <c:f>'Evol export'!$O$21:$P$21</c:f>
              <c:strCache>
                <c:ptCount val="2"/>
                <c:pt idx="0">
                  <c:v>Valor los demás envasados</c:v>
                </c:pt>
                <c:pt idx="1">
                  <c:v>Mill. USD</c:v>
                </c:pt>
              </c:strCache>
            </c:strRef>
          </c:tx>
          <c:spPr>
            <a:solidFill>
              <a:schemeClr val="accent2"/>
            </a:solidFill>
            <a:ln>
              <a:noFill/>
            </a:ln>
            <a:effectLst/>
          </c:spPr>
          <c:invertIfNegative val="0"/>
          <c:cat>
            <c:strRef>
              <c:f>'Evol export'!$S$18:$AL$19</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export'!$S$21:$AL$21</c:f>
              <c:numCache>
                <c:formatCode>#,##0</c:formatCode>
                <c:ptCount val="20"/>
                <c:pt idx="0">
                  <c:v>70.012456389999997</c:v>
                </c:pt>
                <c:pt idx="1">
                  <c:v>65.760063479999999</c:v>
                </c:pt>
                <c:pt idx="2">
                  <c:v>63.218226420000001</c:v>
                </c:pt>
                <c:pt idx="3">
                  <c:v>58.501507850000003</c:v>
                </c:pt>
                <c:pt idx="4">
                  <c:v>66.993644709999998</c:v>
                </c:pt>
                <c:pt idx="5">
                  <c:v>78.070875520000001</c:v>
                </c:pt>
                <c:pt idx="6">
                  <c:v>78.936040340000005</c:v>
                </c:pt>
                <c:pt idx="7">
                  <c:v>82.32576641</c:v>
                </c:pt>
                <c:pt idx="8">
                  <c:v>90.073937659999999</c:v>
                </c:pt>
                <c:pt idx="9">
                  <c:v>98.660379769999992</c:v>
                </c:pt>
                <c:pt idx="10">
                  <c:v>93.425791289999992</c:v>
                </c:pt>
                <c:pt idx="11">
                  <c:v>98.948317870000011</c:v>
                </c:pt>
                <c:pt idx="12">
                  <c:v>98.224757839999995</c:v>
                </c:pt>
                <c:pt idx="13">
                  <c:v>89.888999999999996</c:v>
                </c:pt>
                <c:pt idx="14">
                  <c:v>92.328000000000003</c:v>
                </c:pt>
                <c:pt idx="15">
                  <c:v>87.179000000000002</c:v>
                </c:pt>
                <c:pt idx="16">
                  <c:v>90.2</c:v>
                </c:pt>
                <c:pt idx="17">
                  <c:v>87.796000000000006</c:v>
                </c:pt>
                <c:pt idx="18">
                  <c:v>79.8</c:v>
                </c:pt>
                <c:pt idx="19">
                  <c:v>86.390422040000033</c:v>
                </c:pt>
              </c:numCache>
            </c:numRef>
          </c:val>
          <c:extLst>
            <c:ext xmlns:c16="http://schemas.microsoft.com/office/drawing/2014/chart" uri="{C3380CC4-5D6E-409C-BE32-E72D297353CC}">
              <c16:uniqueId val="{00000001-BE1C-42FE-AF1E-5146C2EDEB6E}"/>
            </c:ext>
          </c:extLst>
        </c:ser>
        <c:dLbls>
          <c:showLegendKey val="0"/>
          <c:showVal val="0"/>
          <c:showCatName val="0"/>
          <c:showSerName val="0"/>
          <c:showPercent val="0"/>
          <c:showBubbleSize val="0"/>
        </c:dLbls>
        <c:gapWidth val="219"/>
        <c:overlap val="-27"/>
        <c:axId val="-1371449072"/>
        <c:axId val="-1371446752"/>
      </c:barChart>
      <c:catAx>
        <c:axId val="-137144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46752"/>
        <c:crosses val="autoZero"/>
        <c:auto val="1"/>
        <c:lblAlgn val="ctr"/>
        <c:lblOffset val="100"/>
        <c:noMultiLvlLbl val="0"/>
      </c:catAx>
      <c:valAx>
        <c:axId val="-1371446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de USD</a:t>
                </a:r>
              </a:p>
            </c:rich>
          </c:tx>
          <c:layout>
            <c:manualLayout>
              <c:xMode val="edge"/>
              <c:yMode val="edge"/>
              <c:x val="2.72614622057001E-2"/>
              <c:y val="0.191157407407407"/>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49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 6. Evolución de las exportaciones de vino espumante.</a:t>
            </a:r>
          </a:p>
          <a:p>
            <a:pPr>
              <a:defRPr sz="1100"/>
            </a:pPr>
            <a:r>
              <a:rPr lang="es-CL" sz="1100"/>
              <a:t>Período 2002 - 2021</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export'!$O$25:$P$25</c:f>
              <c:strCache>
                <c:ptCount val="2"/>
                <c:pt idx="0">
                  <c:v>Volumen espumante</c:v>
                </c:pt>
                <c:pt idx="1">
                  <c:v>Mill. Litros</c:v>
                </c:pt>
              </c:strCache>
            </c:strRef>
          </c:tx>
          <c:spPr>
            <a:solidFill>
              <a:schemeClr val="accent1"/>
            </a:solidFill>
            <a:ln>
              <a:noFill/>
            </a:ln>
            <a:effectLst/>
          </c:spPr>
          <c:invertIfNegative val="0"/>
          <c:cat>
            <c:strRef>
              <c:f>'Evol export'!$S$23:$AL$24</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export'!$S$25:$AL$25</c:f>
              <c:numCache>
                <c:formatCode>#,##0</c:formatCode>
                <c:ptCount val="20"/>
                <c:pt idx="0">
                  <c:v>0.78024550000000004</c:v>
                </c:pt>
                <c:pt idx="1">
                  <c:v>0.79339510000000002</c:v>
                </c:pt>
                <c:pt idx="2">
                  <c:v>1.1323433000000001</c:v>
                </c:pt>
                <c:pt idx="3">
                  <c:v>1.3746780000000001</c:v>
                </c:pt>
                <c:pt idx="4">
                  <c:v>1.5564555</c:v>
                </c:pt>
                <c:pt idx="5">
                  <c:v>1.9405427</c:v>
                </c:pt>
                <c:pt idx="6">
                  <c:v>2.7278942499999999</c:v>
                </c:pt>
                <c:pt idx="7">
                  <c:v>2.4381650000000001</c:v>
                </c:pt>
                <c:pt idx="8">
                  <c:v>3.3065371800000003</c:v>
                </c:pt>
                <c:pt idx="9">
                  <c:v>3.7969488</c:v>
                </c:pt>
                <c:pt idx="10">
                  <c:v>4.0014485999999998</c:v>
                </c:pt>
                <c:pt idx="11">
                  <c:v>3.4850324800000001</c:v>
                </c:pt>
                <c:pt idx="12">
                  <c:v>4.0899954695999998</c:v>
                </c:pt>
                <c:pt idx="13">
                  <c:v>4.3470000000000004</c:v>
                </c:pt>
                <c:pt idx="14">
                  <c:v>5.0970000000000004</c:v>
                </c:pt>
                <c:pt idx="15">
                  <c:v>5.444</c:v>
                </c:pt>
                <c:pt idx="16">
                  <c:v>4.5999999999999996</c:v>
                </c:pt>
                <c:pt idx="17">
                  <c:v>4.6079999999999997</c:v>
                </c:pt>
                <c:pt idx="18">
                  <c:v>3.5</c:v>
                </c:pt>
                <c:pt idx="19">
                  <c:v>3.5817562599999997</c:v>
                </c:pt>
              </c:numCache>
            </c:numRef>
          </c:val>
          <c:extLst>
            <c:ext xmlns:c16="http://schemas.microsoft.com/office/drawing/2014/chart" uri="{C3380CC4-5D6E-409C-BE32-E72D297353CC}">
              <c16:uniqueId val="{00000000-CDA9-419B-8F9E-976F81E8796E}"/>
            </c:ext>
          </c:extLst>
        </c:ser>
        <c:ser>
          <c:idx val="1"/>
          <c:order val="1"/>
          <c:tx>
            <c:strRef>
              <c:f>'Evol export'!$O$26:$P$26</c:f>
              <c:strCache>
                <c:ptCount val="2"/>
                <c:pt idx="0">
                  <c:v>Valor espumante</c:v>
                </c:pt>
                <c:pt idx="1">
                  <c:v>Mill. USD</c:v>
                </c:pt>
              </c:strCache>
            </c:strRef>
          </c:tx>
          <c:spPr>
            <a:solidFill>
              <a:schemeClr val="accent2"/>
            </a:solidFill>
            <a:ln>
              <a:noFill/>
            </a:ln>
            <a:effectLst/>
          </c:spPr>
          <c:invertIfNegative val="0"/>
          <c:cat>
            <c:strRef>
              <c:f>'Evol export'!$S$23:$AL$24</c:f>
              <c:strCache>
                <c:ptCount val="20"/>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strCache>
            </c:strRef>
          </c:cat>
          <c:val>
            <c:numRef>
              <c:f>'Evol export'!$S$26:$AL$26</c:f>
              <c:numCache>
                <c:formatCode>#,##0</c:formatCode>
                <c:ptCount val="20"/>
                <c:pt idx="0">
                  <c:v>2.0284767399999999</c:v>
                </c:pt>
                <c:pt idx="1">
                  <c:v>2.0935631699999999</c:v>
                </c:pt>
                <c:pt idx="2">
                  <c:v>3.0063805000000001</c:v>
                </c:pt>
                <c:pt idx="3">
                  <c:v>3.7762350599999999</c:v>
                </c:pt>
                <c:pt idx="4">
                  <c:v>4.5938774800000006</c:v>
                </c:pt>
                <c:pt idx="5">
                  <c:v>5.7537796200000004</c:v>
                </c:pt>
                <c:pt idx="6">
                  <c:v>9.8845079600000005</c:v>
                </c:pt>
                <c:pt idx="7">
                  <c:v>9.5663100600000011</c:v>
                </c:pt>
                <c:pt idx="8">
                  <c:v>12.871086029999999</c:v>
                </c:pt>
                <c:pt idx="9">
                  <c:v>14.653130470000001</c:v>
                </c:pt>
                <c:pt idx="10">
                  <c:v>15.92671947</c:v>
                </c:pt>
                <c:pt idx="11">
                  <c:v>14.577530269999999</c:v>
                </c:pt>
                <c:pt idx="12">
                  <c:v>17.259489590000001</c:v>
                </c:pt>
                <c:pt idx="13">
                  <c:v>17.762</c:v>
                </c:pt>
                <c:pt idx="14">
                  <c:v>20.472999999999999</c:v>
                </c:pt>
                <c:pt idx="15">
                  <c:v>21.908999999999999</c:v>
                </c:pt>
                <c:pt idx="16">
                  <c:v>19.2</c:v>
                </c:pt>
                <c:pt idx="17">
                  <c:v>18.536999999999999</c:v>
                </c:pt>
                <c:pt idx="18">
                  <c:v>14.7</c:v>
                </c:pt>
                <c:pt idx="19">
                  <c:v>14.47550646</c:v>
                </c:pt>
              </c:numCache>
            </c:numRef>
          </c:val>
          <c:extLst>
            <c:ext xmlns:c16="http://schemas.microsoft.com/office/drawing/2014/chart" uri="{C3380CC4-5D6E-409C-BE32-E72D297353CC}">
              <c16:uniqueId val="{00000001-CDA9-419B-8F9E-976F81E8796E}"/>
            </c:ext>
          </c:extLst>
        </c:ser>
        <c:dLbls>
          <c:showLegendKey val="0"/>
          <c:showVal val="0"/>
          <c:showCatName val="0"/>
          <c:showSerName val="0"/>
          <c:showPercent val="0"/>
          <c:showBubbleSize val="0"/>
        </c:dLbls>
        <c:gapWidth val="219"/>
        <c:overlap val="-27"/>
        <c:axId val="-1371414944"/>
        <c:axId val="-1371412624"/>
      </c:barChart>
      <c:catAx>
        <c:axId val="-137141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12624"/>
        <c:crosses val="autoZero"/>
        <c:auto val="1"/>
        <c:lblAlgn val="ctr"/>
        <c:lblOffset val="100"/>
        <c:noMultiLvlLbl val="0"/>
      </c:catAx>
      <c:valAx>
        <c:axId val="-1371412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a:t>
                </a:r>
                <a:r>
                  <a:rPr lang="es-CL" b="1" baseline="0"/>
                  <a:t> de litros - Millones de USD</a:t>
                </a:r>
                <a:endParaRPr lang="es-CL"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414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L" sz="1100"/>
              <a:t>Gráfico</a:t>
            </a:r>
            <a:r>
              <a:rPr lang="es-CL" sz="1100" baseline="0"/>
              <a:t> 7. Evolución de las exportaciones de vino en envases entre 2 y 10 litros.</a:t>
            </a:r>
          </a:p>
          <a:p>
            <a:pPr>
              <a:defRPr sz="1100"/>
            </a:pPr>
            <a:r>
              <a:rPr lang="es-CL" sz="1100" baseline="0"/>
              <a:t>Período 2017 - 2021</a:t>
            </a:r>
            <a:endParaRPr lang="es-CL" sz="1100"/>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'Evol export'!$O$30:$P$30</c:f>
              <c:strCache>
                <c:ptCount val="2"/>
                <c:pt idx="0">
                  <c:v>Volumen</c:v>
                </c:pt>
                <c:pt idx="1">
                  <c:v>Mill. Litros</c:v>
                </c:pt>
              </c:strCache>
            </c:strRef>
          </c:tx>
          <c:spPr>
            <a:solidFill>
              <a:schemeClr val="accent1"/>
            </a:solidFill>
            <a:ln>
              <a:noFill/>
            </a:ln>
            <a:effectLst/>
          </c:spPr>
          <c:invertIfNegative val="0"/>
          <c:cat>
            <c:strRef>
              <c:f>'Evol export'!$AH$28:$AL$29</c:f>
              <c:strCache>
                <c:ptCount val="5"/>
                <c:pt idx="0">
                  <c:v>2017</c:v>
                </c:pt>
                <c:pt idx="1">
                  <c:v>2018</c:v>
                </c:pt>
                <c:pt idx="2">
                  <c:v>2019</c:v>
                </c:pt>
                <c:pt idx="3">
                  <c:v>2020</c:v>
                </c:pt>
                <c:pt idx="4">
                  <c:v>2021</c:v>
                </c:pt>
              </c:strCache>
            </c:strRef>
          </c:cat>
          <c:val>
            <c:numRef>
              <c:f>'Evol export'!$AH$30:$AL$30</c:f>
              <c:numCache>
                <c:formatCode>#,##0</c:formatCode>
                <c:ptCount val="5"/>
                <c:pt idx="0">
                  <c:v>19.600000000000001</c:v>
                </c:pt>
                <c:pt idx="1">
                  <c:v>20.100000000000001</c:v>
                </c:pt>
                <c:pt idx="2">
                  <c:v>18.007000000000001</c:v>
                </c:pt>
                <c:pt idx="3">
                  <c:v>22.4</c:v>
                </c:pt>
                <c:pt idx="4">
                  <c:v>21.014181499999999</c:v>
                </c:pt>
              </c:numCache>
            </c:numRef>
          </c:val>
          <c:extLst>
            <c:ext xmlns:c16="http://schemas.microsoft.com/office/drawing/2014/chart" uri="{C3380CC4-5D6E-409C-BE32-E72D297353CC}">
              <c16:uniqueId val="{00000000-398C-48B9-BD10-23A7B5CBB94A}"/>
            </c:ext>
          </c:extLst>
        </c:ser>
        <c:ser>
          <c:idx val="1"/>
          <c:order val="1"/>
          <c:tx>
            <c:strRef>
              <c:f>'Evol export'!$O$31:$P$31</c:f>
              <c:strCache>
                <c:ptCount val="2"/>
                <c:pt idx="0">
                  <c:v>Valor</c:v>
                </c:pt>
                <c:pt idx="1">
                  <c:v>Mill. USD</c:v>
                </c:pt>
              </c:strCache>
            </c:strRef>
          </c:tx>
          <c:spPr>
            <a:solidFill>
              <a:schemeClr val="accent2"/>
            </a:solidFill>
            <a:ln>
              <a:noFill/>
            </a:ln>
            <a:effectLst/>
          </c:spPr>
          <c:invertIfNegative val="0"/>
          <c:cat>
            <c:strRef>
              <c:f>'Evol export'!$AH$28:$AL$29</c:f>
              <c:strCache>
                <c:ptCount val="5"/>
                <c:pt idx="0">
                  <c:v>2017</c:v>
                </c:pt>
                <c:pt idx="1">
                  <c:v>2018</c:v>
                </c:pt>
                <c:pt idx="2">
                  <c:v>2019</c:v>
                </c:pt>
                <c:pt idx="3">
                  <c:v>2020</c:v>
                </c:pt>
                <c:pt idx="4">
                  <c:v>2021</c:v>
                </c:pt>
              </c:strCache>
            </c:strRef>
          </c:cat>
          <c:val>
            <c:numRef>
              <c:f>'Evol export'!$AH$31:$AL$31</c:f>
              <c:numCache>
                <c:formatCode>#,##0</c:formatCode>
                <c:ptCount val="5"/>
                <c:pt idx="0">
                  <c:v>36.9</c:v>
                </c:pt>
                <c:pt idx="1">
                  <c:v>39.700000000000003</c:v>
                </c:pt>
                <c:pt idx="2">
                  <c:v>33.814999999999998</c:v>
                </c:pt>
                <c:pt idx="3">
                  <c:v>41.5</c:v>
                </c:pt>
                <c:pt idx="4">
                  <c:v>40.267596879999985</c:v>
                </c:pt>
              </c:numCache>
            </c:numRef>
          </c:val>
          <c:extLst>
            <c:ext xmlns:c16="http://schemas.microsoft.com/office/drawing/2014/chart" uri="{C3380CC4-5D6E-409C-BE32-E72D297353CC}">
              <c16:uniqueId val="{00000001-398C-48B9-BD10-23A7B5CBB94A}"/>
            </c:ext>
          </c:extLst>
        </c:ser>
        <c:dLbls>
          <c:showLegendKey val="0"/>
          <c:showVal val="0"/>
          <c:showCatName val="0"/>
          <c:showSerName val="0"/>
          <c:showPercent val="0"/>
          <c:showBubbleSize val="0"/>
        </c:dLbls>
        <c:gapWidth val="219"/>
        <c:overlap val="-27"/>
        <c:axId val="-1371387104"/>
        <c:axId val="-1371384352"/>
      </c:barChart>
      <c:catAx>
        <c:axId val="-137138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84352"/>
        <c:crosses val="autoZero"/>
        <c:auto val="1"/>
        <c:lblAlgn val="ctr"/>
        <c:lblOffset val="100"/>
        <c:noMultiLvlLbl val="0"/>
      </c:catAx>
      <c:valAx>
        <c:axId val="-1371384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s-CL" b="1"/>
                  <a:t>Millones de litros - Millones USD</a:t>
                </a:r>
              </a:p>
            </c:rich>
          </c:tx>
          <c:layout>
            <c:manualLayout>
              <c:xMode val="edge"/>
              <c:yMode val="edge"/>
              <c:x val="2.6862026862026898E-2"/>
              <c:y val="0.24671296296296299"/>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87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8. Exportaciones de vino embotellado por rangos de precios</a:t>
            </a:r>
            <a:endParaRPr lang="es-CL" sz="1100">
              <a:effectLst/>
            </a:endParaRPr>
          </a:p>
          <a:p>
            <a:pPr>
              <a:defRPr sz="1100"/>
            </a:pPr>
            <a:r>
              <a:rPr lang="en-US" sz="1100" b="1" i="0" baseline="0">
                <a:effectLst/>
              </a:rPr>
              <a:t>2019 - 2020 - 2021</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1217519685039402E-2"/>
          <c:y val="0.17430870743931801"/>
          <c:w val="0.83043996062992098"/>
          <c:h val="0.57252918999093205"/>
        </c:manualLayout>
      </c:layout>
      <c:barChart>
        <c:barDir val="col"/>
        <c:grouping val="clustered"/>
        <c:varyColors val="0"/>
        <c:ser>
          <c:idx val="1"/>
          <c:order val="1"/>
          <c:tx>
            <c:strRef>
              <c:f>'expo anual rango precios'!$C$3</c:f>
              <c:strCache>
                <c:ptCount val="1"/>
                <c:pt idx="0">
                  <c:v>Vol 2019</c:v>
                </c:pt>
              </c:strCache>
            </c:strRef>
          </c:tx>
          <c:spPr>
            <a:solidFill>
              <a:schemeClr val="accent2"/>
            </a:solidFill>
            <a:ln>
              <a:noFill/>
            </a:ln>
            <a:effectLst/>
          </c:spPr>
          <c:invertIfNegative val="0"/>
          <c:cat>
            <c:strRef>
              <c:f>'expo anual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anual rango precios'!$C$4:$C$9</c:f>
              <c:numCache>
                <c:formatCode>0.0</c:formatCode>
                <c:ptCount val="6"/>
                <c:pt idx="0">
                  <c:v>12.419422000000001</c:v>
                </c:pt>
                <c:pt idx="1">
                  <c:v>22.222055000000001</c:v>
                </c:pt>
                <c:pt idx="2">
                  <c:v>8.2078319999999998</c:v>
                </c:pt>
                <c:pt idx="3">
                  <c:v>4.4205009999999998</c:v>
                </c:pt>
                <c:pt idx="4">
                  <c:v>1.6102890000000001</c:v>
                </c:pt>
                <c:pt idx="5">
                  <c:v>0.45341700000000001</c:v>
                </c:pt>
              </c:numCache>
            </c:numRef>
          </c:val>
          <c:extLst>
            <c:ext xmlns:c16="http://schemas.microsoft.com/office/drawing/2014/chart" uri="{C3380CC4-5D6E-409C-BE32-E72D297353CC}">
              <c16:uniqueId val="{00000001-994B-4969-B6B1-C1B36E0E93BD}"/>
            </c:ext>
          </c:extLst>
        </c:ser>
        <c:ser>
          <c:idx val="4"/>
          <c:order val="3"/>
          <c:tx>
            <c:strRef>
              <c:f>'expo anual rango precios'!$F$3</c:f>
              <c:strCache>
                <c:ptCount val="1"/>
                <c:pt idx="0">
                  <c:v>Vol 2020</c:v>
                </c:pt>
              </c:strCache>
            </c:strRef>
          </c:tx>
          <c:spPr>
            <a:solidFill>
              <a:schemeClr val="accent5"/>
            </a:solidFill>
            <a:ln>
              <a:noFill/>
            </a:ln>
            <a:effectLst/>
          </c:spPr>
          <c:invertIfNegative val="0"/>
          <c:cat>
            <c:strRef>
              <c:f>'expo anual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anual rango precios'!$F$4:$F$9</c:f>
              <c:numCache>
                <c:formatCode>0.0</c:formatCode>
                <c:ptCount val="6"/>
                <c:pt idx="0">
                  <c:v>14.622400000000001</c:v>
                </c:pt>
                <c:pt idx="1">
                  <c:v>22.027394999999999</c:v>
                </c:pt>
                <c:pt idx="2">
                  <c:v>7.3115259999999997</c:v>
                </c:pt>
                <c:pt idx="3">
                  <c:v>3.835998</c:v>
                </c:pt>
                <c:pt idx="4">
                  <c:v>1.349445</c:v>
                </c:pt>
                <c:pt idx="5">
                  <c:v>0.40153899999999998</c:v>
                </c:pt>
              </c:numCache>
            </c:numRef>
          </c:val>
          <c:extLst>
            <c:ext xmlns:c16="http://schemas.microsoft.com/office/drawing/2014/chart" uri="{C3380CC4-5D6E-409C-BE32-E72D297353CC}">
              <c16:uniqueId val="{00000004-994B-4969-B6B1-C1B36E0E93BD}"/>
            </c:ext>
          </c:extLst>
        </c:ser>
        <c:ser>
          <c:idx val="7"/>
          <c:order val="5"/>
          <c:tx>
            <c:strRef>
              <c:f>'expo anual rango precios'!$I$3</c:f>
              <c:strCache>
                <c:ptCount val="1"/>
                <c:pt idx="0">
                  <c:v>Vol 2021</c:v>
                </c:pt>
              </c:strCache>
            </c:strRef>
          </c:tx>
          <c:spPr>
            <a:solidFill>
              <a:schemeClr val="accent2">
                <a:lumMod val="60000"/>
              </a:schemeClr>
            </a:solidFill>
            <a:ln>
              <a:noFill/>
            </a:ln>
            <a:effectLst/>
          </c:spPr>
          <c:invertIfNegative val="0"/>
          <c:cat>
            <c:strRef>
              <c:f>'expo anual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anual rango precios'!$I$4:$I$9</c:f>
              <c:numCache>
                <c:formatCode>0.0</c:formatCode>
                <c:ptCount val="6"/>
                <c:pt idx="0">
                  <c:v>13.844855222222222</c:v>
                </c:pt>
                <c:pt idx="1">
                  <c:v>21.095279746666527</c:v>
                </c:pt>
                <c:pt idx="2">
                  <c:v>7.6221088911111092</c:v>
                </c:pt>
                <c:pt idx="3">
                  <c:v>4.8754200733333324</c:v>
                </c:pt>
                <c:pt idx="4">
                  <c:v>1.7680794822222223</c:v>
                </c:pt>
                <c:pt idx="5">
                  <c:v>0.59290485999999987</c:v>
                </c:pt>
              </c:numCache>
            </c:numRef>
          </c:val>
          <c:extLst>
            <c:ext xmlns:c16="http://schemas.microsoft.com/office/drawing/2014/chart" uri="{C3380CC4-5D6E-409C-BE32-E72D297353CC}">
              <c16:uniqueId val="{00000007-994B-4969-B6B1-C1B36E0E93BD}"/>
            </c:ext>
          </c:extLst>
        </c:ser>
        <c:dLbls>
          <c:showLegendKey val="0"/>
          <c:showVal val="0"/>
          <c:showCatName val="0"/>
          <c:showSerName val="0"/>
          <c:showPercent val="0"/>
          <c:showBubbleSize val="0"/>
        </c:dLbls>
        <c:gapWidth val="219"/>
        <c:overlap val="-27"/>
        <c:axId val="-1401542000"/>
        <c:axId val="-1401539248"/>
      </c:barChart>
      <c:lineChart>
        <c:grouping val="standard"/>
        <c:varyColors val="0"/>
        <c:ser>
          <c:idx val="0"/>
          <c:order val="0"/>
          <c:tx>
            <c:strRef>
              <c:f>'expo anual rango precios'!$B$3</c:f>
              <c:strCache>
                <c:ptCount val="1"/>
                <c:pt idx="0">
                  <c:v>Val 2019</c:v>
                </c:pt>
              </c:strCache>
            </c:strRef>
          </c:tx>
          <c:spPr>
            <a:ln w="28575" cap="rnd">
              <a:solidFill>
                <a:schemeClr val="accent1"/>
              </a:solidFill>
              <a:round/>
            </a:ln>
            <a:effectLst/>
          </c:spPr>
          <c:marker>
            <c:symbol val="none"/>
          </c:marker>
          <c:cat>
            <c:strRef>
              <c:f>'expo anual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anual rango precios'!$B$4:$B$9</c:f>
              <c:numCache>
                <c:formatCode>0.0</c:formatCode>
                <c:ptCount val="6"/>
                <c:pt idx="0">
                  <c:v>213.44108900000001</c:v>
                </c:pt>
                <c:pt idx="1">
                  <c:v>517.40012100000001</c:v>
                </c:pt>
                <c:pt idx="2">
                  <c:v>281.08668599999999</c:v>
                </c:pt>
                <c:pt idx="3">
                  <c:v>204.20909800000001</c:v>
                </c:pt>
                <c:pt idx="4">
                  <c:v>120.66380599999999</c:v>
                </c:pt>
                <c:pt idx="5">
                  <c:v>108.188372</c:v>
                </c:pt>
              </c:numCache>
            </c:numRef>
          </c:val>
          <c:smooth val="0"/>
          <c:extLst>
            <c:ext xmlns:c16="http://schemas.microsoft.com/office/drawing/2014/chart" uri="{C3380CC4-5D6E-409C-BE32-E72D297353CC}">
              <c16:uniqueId val="{00000000-994B-4969-B6B1-C1B36E0E93BD}"/>
            </c:ext>
          </c:extLst>
        </c:ser>
        <c:ser>
          <c:idx val="3"/>
          <c:order val="2"/>
          <c:tx>
            <c:strRef>
              <c:f>'expo anual rango precios'!$E$3</c:f>
              <c:strCache>
                <c:ptCount val="1"/>
                <c:pt idx="0">
                  <c:v>Val 2020</c:v>
                </c:pt>
              </c:strCache>
            </c:strRef>
          </c:tx>
          <c:spPr>
            <a:ln w="28575" cap="rnd">
              <a:solidFill>
                <a:schemeClr val="accent4"/>
              </a:solidFill>
              <a:round/>
            </a:ln>
            <a:effectLst/>
          </c:spPr>
          <c:marker>
            <c:symbol val="none"/>
          </c:marker>
          <c:cat>
            <c:strRef>
              <c:f>'expo anual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anual rango precios'!$E$4:$E$9</c:f>
              <c:numCache>
                <c:formatCode>0.0</c:formatCode>
                <c:ptCount val="6"/>
                <c:pt idx="0">
                  <c:v>243.245497</c:v>
                </c:pt>
                <c:pt idx="1">
                  <c:v>516.70932500000004</c:v>
                </c:pt>
                <c:pt idx="2">
                  <c:v>250.59459200000001</c:v>
                </c:pt>
                <c:pt idx="3">
                  <c:v>177.58604800000001</c:v>
                </c:pt>
                <c:pt idx="4">
                  <c:v>101.86844000000001</c:v>
                </c:pt>
                <c:pt idx="5">
                  <c:v>103.989425</c:v>
                </c:pt>
              </c:numCache>
            </c:numRef>
          </c:val>
          <c:smooth val="0"/>
          <c:extLst>
            <c:ext xmlns:c16="http://schemas.microsoft.com/office/drawing/2014/chart" uri="{C3380CC4-5D6E-409C-BE32-E72D297353CC}">
              <c16:uniqueId val="{00000003-994B-4969-B6B1-C1B36E0E93BD}"/>
            </c:ext>
          </c:extLst>
        </c:ser>
        <c:ser>
          <c:idx val="6"/>
          <c:order val="4"/>
          <c:tx>
            <c:strRef>
              <c:f>'expo anual rango precios'!$H$3</c:f>
              <c:strCache>
                <c:ptCount val="1"/>
                <c:pt idx="0">
                  <c:v>Val 2021</c:v>
                </c:pt>
              </c:strCache>
            </c:strRef>
          </c:tx>
          <c:spPr>
            <a:ln w="28575" cap="rnd">
              <a:solidFill>
                <a:schemeClr val="accent1">
                  <a:lumMod val="60000"/>
                </a:schemeClr>
              </a:solidFill>
              <a:round/>
            </a:ln>
            <a:effectLst/>
          </c:spPr>
          <c:marker>
            <c:symbol val="none"/>
          </c:marker>
          <c:cat>
            <c:strRef>
              <c:f>'expo anual rango precios'!$A$4:$A$9</c:f>
              <c:strCache>
                <c:ptCount val="6"/>
                <c:pt idx="0">
                  <c:v>Menor a USD 20 por caja</c:v>
                </c:pt>
                <c:pt idx="1">
                  <c:v>Entre USD 20 y USD 29,9 por caja</c:v>
                </c:pt>
                <c:pt idx="2">
                  <c:v>Entre USD 30 y USD 39,9 por caja</c:v>
                </c:pt>
                <c:pt idx="3">
                  <c:v>Entre USD 40 y USD 59,9 por caja</c:v>
                </c:pt>
                <c:pt idx="4">
                  <c:v>Entre USD 60 y USD 99,9 por caja</c:v>
                </c:pt>
                <c:pt idx="5">
                  <c:v>Mayor a USD 100 por caja</c:v>
                </c:pt>
              </c:strCache>
            </c:strRef>
          </c:cat>
          <c:val>
            <c:numRef>
              <c:f>'expo anual rango precios'!$H$4:$H$9</c:f>
              <c:numCache>
                <c:formatCode>0.0</c:formatCode>
                <c:ptCount val="6"/>
                <c:pt idx="0">
                  <c:v>234.57264577000092</c:v>
                </c:pt>
                <c:pt idx="1">
                  <c:v>501.93888110999256</c:v>
                </c:pt>
                <c:pt idx="2">
                  <c:v>263.23259948000083</c:v>
                </c:pt>
                <c:pt idx="3">
                  <c:v>226.92550004999924</c:v>
                </c:pt>
                <c:pt idx="4">
                  <c:v>134.84044649999973</c:v>
                </c:pt>
                <c:pt idx="5">
                  <c:v>142.41024547000029</c:v>
                </c:pt>
              </c:numCache>
            </c:numRef>
          </c:val>
          <c:smooth val="0"/>
          <c:extLst>
            <c:ext xmlns:c16="http://schemas.microsoft.com/office/drawing/2014/chart" uri="{C3380CC4-5D6E-409C-BE32-E72D297353CC}">
              <c16:uniqueId val="{00000006-994B-4969-B6B1-C1B36E0E93BD}"/>
            </c:ext>
          </c:extLst>
        </c:ser>
        <c:dLbls>
          <c:showLegendKey val="0"/>
          <c:showVal val="0"/>
          <c:showCatName val="0"/>
          <c:showSerName val="0"/>
          <c:showPercent val="0"/>
          <c:showBubbleSize val="0"/>
        </c:dLbls>
        <c:marker val="1"/>
        <c:smooth val="0"/>
        <c:axId val="-1401531216"/>
        <c:axId val="-1401535488"/>
      </c:lineChart>
      <c:catAx>
        <c:axId val="-140154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39248"/>
        <c:crosses val="autoZero"/>
        <c:auto val="1"/>
        <c:lblAlgn val="ctr"/>
        <c:lblOffset val="100"/>
        <c:noMultiLvlLbl val="0"/>
      </c:catAx>
      <c:valAx>
        <c:axId val="-1401539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cajas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42000"/>
        <c:crosses val="autoZero"/>
        <c:crossBetween val="between"/>
      </c:valAx>
      <c:valAx>
        <c:axId val="-1401535488"/>
        <c:scaling>
          <c:orientation val="minMax"/>
          <c:max val="550"/>
          <c:min val="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USD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401531216"/>
        <c:crosses val="max"/>
        <c:crossBetween val="between"/>
      </c:valAx>
      <c:catAx>
        <c:axId val="-1401531216"/>
        <c:scaling>
          <c:orientation val="minMax"/>
        </c:scaling>
        <c:delete val="1"/>
        <c:axPos val="b"/>
        <c:numFmt formatCode="General" sourceLinked="1"/>
        <c:majorTickMark val="out"/>
        <c:minorTickMark val="none"/>
        <c:tickLblPos val="nextTo"/>
        <c:crossAx val="-1401535488"/>
        <c:crosses val="autoZero"/>
        <c:auto val="1"/>
        <c:lblAlgn val="ctr"/>
        <c:lblOffset val="100"/>
        <c:noMultiLvlLbl val="0"/>
      </c:catAx>
      <c:spPr>
        <a:noFill/>
        <a:ln>
          <a:noFill/>
        </a:ln>
        <a:effectLst/>
      </c:spPr>
    </c:plotArea>
    <c:legend>
      <c:legendPos val="b"/>
      <c:layout>
        <c:manualLayout>
          <c:xMode val="edge"/>
          <c:yMode val="edge"/>
          <c:x val="0.185153912401575"/>
          <c:y val="0.87290228822068405"/>
          <c:w val="0.62969217519684995"/>
          <c:h val="5.66279131215981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paperSize="126" orientation="landscape"/>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i="0" baseline="0">
                <a:effectLst/>
              </a:rPr>
              <a:t>Gráfico 9. Exportaciones de vino a granel por rangos de precios</a:t>
            </a:r>
            <a:endParaRPr lang="es-CL" sz="1100">
              <a:effectLst/>
            </a:endParaRPr>
          </a:p>
          <a:p>
            <a:pPr>
              <a:defRPr sz="1100"/>
            </a:pPr>
            <a:r>
              <a:rPr lang="en-US" sz="1100" b="1" i="0" baseline="0">
                <a:effectLst/>
              </a:rPr>
              <a:t>2019 - 2020 -2021</a:t>
            </a:r>
            <a:endParaRPr lang="es-CL" sz="1100">
              <a:effectLst/>
            </a:endParaRP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8.9155127871320197E-2"/>
          <c:y val="0.15970461508075401"/>
          <c:w val="0.82168974425735897"/>
          <c:h val="0.58719640875141399"/>
        </c:manualLayout>
      </c:layout>
      <c:barChart>
        <c:barDir val="col"/>
        <c:grouping val="clustered"/>
        <c:varyColors val="0"/>
        <c:ser>
          <c:idx val="1"/>
          <c:order val="1"/>
          <c:tx>
            <c:strRef>
              <c:f>'expo anual rango precios'!$C$35</c:f>
              <c:strCache>
                <c:ptCount val="1"/>
                <c:pt idx="0">
                  <c:v>Vol 2019</c:v>
                </c:pt>
              </c:strCache>
            </c:strRef>
          </c:tx>
          <c:spPr>
            <a:solidFill>
              <a:schemeClr val="accent2"/>
            </a:solidFill>
            <a:ln>
              <a:noFill/>
            </a:ln>
            <a:effectLst/>
          </c:spPr>
          <c:invertIfNegative val="0"/>
          <c:cat>
            <c:strRef>
              <c:f>'expo anual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anual rango precios'!$C$36:$C$41</c:f>
              <c:numCache>
                <c:formatCode>0.0</c:formatCode>
                <c:ptCount val="6"/>
                <c:pt idx="0">
                  <c:v>140.716948</c:v>
                </c:pt>
                <c:pt idx="1">
                  <c:v>86.941073000000003</c:v>
                </c:pt>
                <c:pt idx="2">
                  <c:v>109.39868300000001</c:v>
                </c:pt>
                <c:pt idx="3">
                  <c:v>40.163291999999998</c:v>
                </c:pt>
                <c:pt idx="4">
                  <c:v>2.3683730000000001</c:v>
                </c:pt>
                <c:pt idx="5">
                  <c:v>3.1947999999999997E-2</c:v>
                </c:pt>
              </c:numCache>
            </c:numRef>
          </c:val>
          <c:extLst>
            <c:ext xmlns:c16="http://schemas.microsoft.com/office/drawing/2014/chart" uri="{C3380CC4-5D6E-409C-BE32-E72D297353CC}">
              <c16:uniqueId val="{00000001-22A2-4EF9-9199-25D20E91EC04}"/>
            </c:ext>
          </c:extLst>
        </c:ser>
        <c:ser>
          <c:idx val="4"/>
          <c:order val="3"/>
          <c:tx>
            <c:strRef>
              <c:f>'expo anual rango precios'!$F$35</c:f>
              <c:strCache>
                <c:ptCount val="1"/>
                <c:pt idx="0">
                  <c:v>Vol 2020</c:v>
                </c:pt>
              </c:strCache>
            </c:strRef>
          </c:tx>
          <c:spPr>
            <a:solidFill>
              <a:schemeClr val="accent5"/>
            </a:solidFill>
            <a:ln>
              <a:noFill/>
            </a:ln>
            <a:effectLst/>
          </c:spPr>
          <c:invertIfNegative val="0"/>
          <c:cat>
            <c:strRef>
              <c:f>'expo anual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anual rango precios'!$F$36:$F$41</c:f>
              <c:numCache>
                <c:formatCode>0.0</c:formatCode>
                <c:ptCount val="6"/>
                <c:pt idx="0">
                  <c:v>200.890736</c:v>
                </c:pt>
                <c:pt idx="1">
                  <c:v>96.573428000000007</c:v>
                </c:pt>
                <c:pt idx="2">
                  <c:v>23.634761999999998</c:v>
                </c:pt>
                <c:pt idx="3">
                  <c:v>15.657431000000001</c:v>
                </c:pt>
                <c:pt idx="4">
                  <c:v>2.1593499999999999</c:v>
                </c:pt>
                <c:pt idx="5">
                  <c:v>0.84043800000000002</c:v>
                </c:pt>
              </c:numCache>
            </c:numRef>
          </c:val>
          <c:extLst>
            <c:ext xmlns:c16="http://schemas.microsoft.com/office/drawing/2014/chart" uri="{C3380CC4-5D6E-409C-BE32-E72D297353CC}">
              <c16:uniqueId val="{00000004-22A2-4EF9-9199-25D20E91EC04}"/>
            </c:ext>
          </c:extLst>
        </c:ser>
        <c:ser>
          <c:idx val="7"/>
          <c:order val="5"/>
          <c:tx>
            <c:strRef>
              <c:f>'expo anual rango precios'!$I$35</c:f>
              <c:strCache>
                <c:ptCount val="1"/>
                <c:pt idx="0">
                  <c:v>Vol 2021</c:v>
                </c:pt>
              </c:strCache>
            </c:strRef>
          </c:tx>
          <c:spPr>
            <a:solidFill>
              <a:schemeClr val="accent2">
                <a:lumMod val="60000"/>
              </a:schemeClr>
            </a:solidFill>
            <a:ln>
              <a:noFill/>
            </a:ln>
            <a:effectLst/>
          </c:spPr>
          <c:invertIfNegative val="0"/>
          <c:cat>
            <c:strRef>
              <c:f>'expo anual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anual rango precios'!$I$36:$I$41</c:f>
              <c:numCache>
                <c:formatCode>0.0</c:formatCode>
                <c:ptCount val="6"/>
                <c:pt idx="0">
                  <c:v>197.34202999999999</c:v>
                </c:pt>
                <c:pt idx="1">
                  <c:v>99.539377999999999</c:v>
                </c:pt>
                <c:pt idx="2">
                  <c:v>32.173422729999999</c:v>
                </c:pt>
                <c:pt idx="3">
                  <c:v>21.005174490000002</c:v>
                </c:pt>
                <c:pt idx="4">
                  <c:v>3.0258180000000001</c:v>
                </c:pt>
                <c:pt idx="5">
                  <c:v>1.08E-4</c:v>
                </c:pt>
              </c:numCache>
            </c:numRef>
          </c:val>
          <c:extLst>
            <c:ext xmlns:c16="http://schemas.microsoft.com/office/drawing/2014/chart" uri="{C3380CC4-5D6E-409C-BE32-E72D297353CC}">
              <c16:uniqueId val="{00000007-22A2-4EF9-9199-25D20E91EC04}"/>
            </c:ext>
          </c:extLst>
        </c:ser>
        <c:dLbls>
          <c:showLegendKey val="0"/>
          <c:showVal val="0"/>
          <c:showCatName val="0"/>
          <c:showSerName val="0"/>
          <c:showPercent val="0"/>
          <c:showBubbleSize val="0"/>
        </c:dLbls>
        <c:gapWidth val="219"/>
        <c:overlap val="-27"/>
        <c:axId val="-1371350240"/>
        <c:axId val="-1371347488"/>
      </c:barChart>
      <c:lineChart>
        <c:grouping val="standard"/>
        <c:varyColors val="0"/>
        <c:ser>
          <c:idx val="0"/>
          <c:order val="0"/>
          <c:tx>
            <c:strRef>
              <c:f>'expo anual rango precios'!$B$35</c:f>
              <c:strCache>
                <c:ptCount val="1"/>
                <c:pt idx="0">
                  <c:v>Val 2019</c:v>
                </c:pt>
              </c:strCache>
            </c:strRef>
          </c:tx>
          <c:spPr>
            <a:ln w="28575" cap="rnd">
              <a:solidFill>
                <a:schemeClr val="accent1"/>
              </a:solidFill>
              <a:round/>
            </a:ln>
            <a:effectLst/>
          </c:spPr>
          <c:marker>
            <c:symbol val="none"/>
          </c:marker>
          <c:cat>
            <c:strRef>
              <c:f>'expo anual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anual rango precios'!$B$36:$B$41</c:f>
              <c:numCache>
                <c:formatCode>0.0</c:formatCode>
                <c:ptCount val="6"/>
                <c:pt idx="0">
                  <c:v>87.236891999999997</c:v>
                </c:pt>
                <c:pt idx="1">
                  <c:v>76.575999999999993</c:v>
                </c:pt>
                <c:pt idx="2">
                  <c:v>121.524142</c:v>
                </c:pt>
                <c:pt idx="3">
                  <c:v>62.097760999999998</c:v>
                </c:pt>
                <c:pt idx="4">
                  <c:v>14.746649</c:v>
                </c:pt>
                <c:pt idx="5">
                  <c:v>0.45255600000000001</c:v>
                </c:pt>
              </c:numCache>
            </c:numRef>
          </c:val>
          <c:smooth val="0"/>
          <c:extLst>
            <c:ext xmlns:c16="http://schemas.microsoft.com/office/drawing/2014/chart" uri="{C3380CC4-5D6E-409C-BE32-E72D297353CC}">
              <c16:uniqueId val="{00000000-22A2-4EF9-9199-25D20E91EC04}"/>
            </c:ext>
          </c:extLst>
        </c:ser>
        <c:ser>
          <c:idx val="3"/>
          <c:order val="2"/>
          <c:tx>
            <c:strRef>
              <c:f>'expo anual rango precios'!$E$35</c:f>
              <c:strCache>
                <c:ptCount val="1"/>
                <c:pt idx="0">
                  <c:v>Val 2020</c:v>
                </c:pt>
              </c:strCache>
            </c:strRef>
          </c:tx>
          <c:spPr>
            <a:ln w="28575" cap="rnd">
              <a:solidFill>
                <a:schemeClr val="accent4"/>
              </a:solidFill>
              <a:round/>
            </a:ln>
            <a:effectLst/>
          </c:spPr>
          <c:marker>
            <c:symbol val="none"/>
          </c:marker>
          <c:cat>
            <c:strRef>
              <c:f>'expo anual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anual rango precios'!$E$36:$E$41</c:f>
              <c:numCache>
                <c:formatCode>0.0</c:formatCode>
                <c:ptCount val="6"/>
                <c:pt idx="0">
                  <c:v>135.076401</c:v>
                </c:pt>
                <c:pt idx="1">
                  <c:v>83.787846000000002</c:v>
                </c:pt>
                <c:pt idx="2">
                  <c:v>28.767187</c:v>
                </c:pt>
                <c:pt idx="3">
                  <c:v>27.738354999999999</c:v>
                </c:pt>
                <c:pt idx="4">
                  <c:v>9.2970079999999999</c:v>
                </c:pt>
                <c:pt idx="5">
                  <c:v>8.6623870000000007</c:v>
                </c:pt>
              </c:numCache>
            </c:numRef>
          </c:val>
          <c:smooth val="0"/>
          <c:extLst>
            <c:ext xmlns:c16="http://schemas.microsoft.com/office/drawing/2014/chart" uri="{C3380CC4-5D6E-409C-BE32-E72D297353CC}">
              <c16:uniqueId val="{00000003-22A2-4EF9-9199-25D20E91EC04}"/>
            </c:ext>
          </c:extLst>
        </c:ser>
        <c:ser>
          <c:idx val="6"/>
          <c:order val="4"/>
          <c:tx>
            <c:strRef>
              <c:f>'expo anual rango precios'!$H$35</c:f>
              <c:strCache>
                <c:ptCount val="1"/>
                <c:pt idx="0">
                  <c:v>Val 2021</c:v>
                </c:pt>
              </c:strCache>
            </c:strRef>
          </c:tx>
          <c:spPr>
            <a:ln w="28575" cap="rnd">
              <a:solidFill>
                <a:schemeClr val="accent1">
                  <a:lumMod val="60000"/>
                </a:schemeClr>
              </a:solidFill>
              <a:round/>
            </a:ln>
            <a:effectLst/>
          </c:spPr>
          <c:marker>
            <c:symbol val="none"/>
          </c:marker>
          <c:cat>
            <c:strRef>
              <c:f>'expo anual rango precios'!$A$36:$A$41</c:f>
              <c:strCache>
                <c:ptCount val="6"/>
                <c:pt idx="0">
                  <c:v>Menor que USD 0,8 por litro</c:v>
                </c:pt>
                <c:pt idx="1">
                  <c:v>Entre USD 0,8 y USD 0,99 por litro</c:v>
                </c:pt>
                <c:pt idx="2">
                  <c:v>Entre USD 1,0 y USD 1,49</c:v>
                </c:pt>
                <c:pt idx="3">
                  <c:v>Entre USD 1,5 y USD 2,99 por litro</c:v>
                </c:pt>
                <c:pt idx="4">
                  <c:v>Entre USD 3 y USD 9,99 por litro</c:v>
                </c:pt>
                <c:pt idx="5">
                  <c:v>Mayor USD 10 por litro</c:v>
                </c:pt>
              </c:strCache>
            </c:strRef>
          </c:cat>
          <c:val>
            <c:numRef>
              <c:f>'expo anual rango precios'!$H$36:$H$41</c:f>
              <c:numCache>
                <c:formatCode>0.0</c:formatCode>
                <c:ptCount val="6"/>
                <c:pt idx="0">
                  <c:v>131.64190890999987</c:v>
                </c:pt>
                <c:pt idx="1">
                  <c:v>86.444160560000199</c:v>
                </c:pt>
                <c:pt idx="2">
                  <c:v>37.874594289999983</c:v>
                </c:pt>
                <c:pt idx="3">
                  <c:v>40.624077769999921</c:v>
                </c:pt>
                <c:pt idx="4">
                  <c:v>12.166170699999999</c:v>
                </c:pt>
                <c:pt idx="5">
                  <c:v>1.0004809999999999E-2</c:v>
                </c:pt>
              </c:numCache>
            </c:numRef>
          </c:val>
          <c:smooth val="0"/>
          <c:extLst>
            <c:ext xmlns:c16="http://schemas.microsoft.com/office/drawing/2014/chart" uri="{C3380CC4-5D6E-409C-BE32-E72D297353CC}">
              <c16:uniqueId val="{00000006-22A2-4EF9-9199-25D20E91EC04}"/>
            </c:ext>
          </c:extLst>
        </c:ser>
        <c:dLbls>
          <c:showLegendKey val="0"/>
          <c:showVal val="0"/>
          <c:showCatName val="0"/>
          <c:showSerName val="0"/>
          <c:showPercent val="0"/>
          <c:showBubbleSize val="0"/>
        </c:dLbls>
        <c:marker val="1"/>
        <c:smooth val="0"/>
        <c:axId val="-1371339456"/>
        <c:axId val="-1371343728"/>
      </c:lineChart>
      <c:catAx>
        <c:axId val="-1371350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47488"/>
        <c:crosses val="autoZero"/>
        <c:auto val="1"/>
        <c:lblAlgn val="ctr"/>
        <c:lblOffset val="100"/>
        <c:noMultiLvlLbl val="0"/>
      </c:catAx>
      <c:valAx>
        <c:axId val="-1371347488"/>
        <c:scaling>
          <c:orientation val="minMax"/>
          <c:max val="20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 de litros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50240"/>
        <c:crosses val="autoZero"/>
        <c:crossBetween val="between"/>
      </c:valAx>
      <c:valAx>
        <c:axId val="-1371343728"/>
        <c:scaling>
          <c:orientation val="minMax"/>
          <c:max val="160"/>
          <c:min val="-1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Millones</a:t>
                </a:r>
                <a:r>
                  <a:rPr lang="es-CL" baseline="0"/>
                  <a:t> de USD</a:t>
                </a:r>
                <a:endParaRPr lang="es-CL"/>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371339456"/>
        <c:crosses val="max"/>
        <c:crossBetween val="between"/>
      </c:valAx>
      <c:catAx>
        <c:axId val="-1371339456"/>
        <c:scaling>
          <c:orientation val="minMax"/>
        </c:scaling>
        <c:delete val="1"/>
        <c:axPos val="b"/>
        <c:numFmt formatCode="General" sourceLinked="1"/>
        <c:majorTickMark val="out"/>
        <c:minorTickMark val="none"/>
        <c:tickLblPos val="nextTo"/>
        <c:crossAx val="-1371343728"/>
        <c:crosses val="autoZero"/>
        <c:auto val="1"/>
        <c:lblAlgn val="ctr"/>
        <c:lblOffset val="100"/>
        <c:noMultiLvlLbl val="0"/>
      </c:catAx>
      <c:spPr>
        <a:noFill/>
        <a:ln>
          <a:noFill/>
        </a:ln>
        <a:effectLst/>
      </c:spPr>
    </c:plotArea>
    <c:legend>
      <c:legendPos val="b"/>
      <c:layout>
        <c:manualLayout>
          <c:xMode val="edge"/>
          <c:yMode val="edge"/>
          <c:x val="0.182257775936852"/>
          <c:y val="0.86750883964972003"/>
          <c:w val="0.63548432396311005"/>
          <c:h val="5.7512467824104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9525</xdr:colOff>
      <xdr:row>44</xdr:row>
      <xdr:rowOff>9525</xdr:rowOff>
    </xdr:from>
    <xdr:to>
      <xdr:col>2</xdr:col>
      <xdr:colOff>180975</xdr:colOff>
      <xdr:row>44</xdr:row>
      <xdr:rowOff>133350</xdr:rowOff>
    </xdr:to>
    <xdr:pic>
      <xdr:nvPicPr>
        <xdr:cNvPr id="3" name="Picture 1" descr="LOGO_FUCOA">
          <a:extLst>
            <a:ext uri="{FF2B5EF4-FFF2-40B4-BE49-F238E27FC236}">
              <a16:creationId xmlns:a16="http://schemas.microsoft.com/office/drawing/2014/main" id="{C7A78573-5C51-47D2-B8D5-CC584C5333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9525" y="8410575"/>
          <a:ext cx="1809750" cy="123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95250</xdr:rowOff>
    </xdr:from>
    <xdr:to>
      <xdr:col>2</xdr:col>
      <xdr:colOff>28575</xdr:colOff>
      <xdr:row>7</xdr:row>
      <xdr:rowOff>171450</xdr:rowOff>
    </xdr:to>
    <xdr:pic>
      <xdr:nvPicPr>
        <xdr:cNvPr id="4" name="Imagen 3">
          <a:extLst>
            <a:ext uri="{FF2B5EF4-FFF2-40B4-BE49-F238E27FC236}">
              <a16:creationId xmlns:a16="http://schemas.microsoft.com/office/drawing/2014/main" id="{AE489DDD-30EB-4FEE-85A8-BFF189B1060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95250"/>
          <a:ext cx="1552575" cy="14097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771524</xdr:colOff>
      <xdr:row>14</xdr:row>
      <xdr:rowOff>171450</xdr:rowOff>
    </xdr:to>
    <xdr:graphicFrame macro="">
      <xdr:nvGraphicFramePr>
        <xdr:cNvPr id="2" name="Gráfico 1">
          <a:extLst>
            <a:ext uri="{FF2B5EF4-FFF2-40B4-BE49-F238E27FC236}">
              <a16:creationId xmlns:a16="http://schemas.microsoft.com/office/drawing/2014/main" id="{C1372E6B-CC93-4FF8-85A5-4068F8EB9E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14287</xdr:rowOff>
    </xdr:from>
    <xdr:to>
      <xdr:col>6</xdr:col>
      <xdr:colOff>781050</xdr:colOff>
      <xdr:row>30</xdr:row>
      <xdr:rowOff>180975</xdr:rowOff>
    </xdr:to>
    <xdr:graphicFrame macro="">
      <xdr:nvGraphicFramePr>
        <xdr:cNvPr id="3" name="Gráfico 2">
          <a:extLst>
            <a:ext uri="{FF2B5EF4-FFF2-40B4-BE49-F238E27FC236}">
              <a16:creationId xmlns:a16="http://schemas.microsoft.com/office/drawing/2014/main" id="{0AFE151C-5876-46EC-AF14-F1A3575B62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9526</xdr:rowOff>
    </xdr:from>
    <xdr:to>
      <xdr:col>6</xdr:col>
      <xdr:colOff>742950</xdr:colOff>
      <xdr:row>46</xdr:row>
      <xdr:rowOff>123825</xdr:rowOff>
    </xdr:to>
    <xdr:graphicFrame macro="">
      <xdr:nvGraphicFramePr>
        <xdr:cNvPr id="4" name="Gráfico 3">
          <a:extLst>
            <a:ext uri="{FF2B5EF4-FFF2-40B4-BE49-F238E27FC236}">
              <a16:creationId xmlns:a16="http://schemas.microsoft.com/office/drawing/2014/main" id="{BD7064A5-3D4B-4F7E-8D26-96268EF3A8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752474</xdr:colOff>
      <xdr:row>15</xdr:row>
      <xdr:rowOff>0</xdr:rowOff>
    </xdr:to>
    <xdr:graphicFrame macro="">
      <xdr:nvGraphicFramePr>
        <xdr:cNvPr id="2" name="Gráfico 1">
          <a:extLst>
            <a:ext uri="{FF2B5EF4-FFF2-40B4-BE49-F238E27FC236}">
              <a16:creationId xmlns:a16="http://schemas.microsoft.com/office/drawing/2014/main" id="{6F706CF1-9A5A-4F86-AF3E-3E24C619B6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27621</xdr:rowOff>
    </xdr:from>
    <xdr:to>
      <xdr:col>6</xdr:col>
      <xdr:colOff>762000</xdr:colOff>
      <xdr:row>31</xdr:row>
      <xdr:rowOff>20954</xdr:rowOff>
    </xdr:to>
    <xdr:graphicFrame macro="">
      <xdr:nvGraphicFramePr>
        <xdr:cNvPr id="3" name="Gráfico 2">
          <a:extLst>
            <a:ext uri="{FF2B5EF4-FFF2-40B4-BE49-F238E27FC236}">
              <a16:creationId xmlns:a16="http://schemas.microsoft.com/office/drawing/2014/main" id="{53C4CE1F-1075-4427-B648-0CA9546C292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180975</xdr:rowOff>
    </xdr:from>
    <xdr:to>
      <xdr:col>6</xdr:col>
      <xdr:colOff>771524</xdr:colOff>
      <xdr:row>46</xdr:row>
      <xdr:rowOff>157162</xdr:rowOff>
    </xdr:to>
    <xdr:graphicFrame macro="">
      <xdr:nvGraphicFramePr>
        <xdr:cNvPr id="4" name="Gráfico 3">
          <a:extLst>
            <a:ext uri="{FF2B5EF4-FFF2-40B4-BE49-F238E27FC236}">
              <a16:creationId xmlns:a16="http://schemas.microsoft.com/office/drawing/2014/main" id="{78BA50DD-5EA9-4374-B242-FF7AE26471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xdr:colOff>
      <xdr:row>0</xdr:row>
      <xdr:rowOff>0</xdr:rowOff>
    </xdr:from>
    <xdr:to>
      <xdr:col>8</xdr:col>
      <xdr:colOff>762001</xdr:colOff>
      <xdr:row>20</xdr:row>
      <xdr:rowOff>19050</xdr:rowOff>
    </xdr:to>
    <xdr:graphicFrame macro="">
      <xdr:nvGraphicFramePr>
        <xdr:cNvPr id="3" name="Gráfico 2">
          <a:extLst>
            <a:ext uri="{FF2B5EF4-FFF2-40B4-BE49-F238E27FC236}">
              <a16:creationId xmlns:a16="http://schemas.microsoft.com/office/drawing/2014/main" id="{07DC6F5C-381D-4348-A582-D9C01966225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22</xdr:row>
      <xdr:rowOff>188118</xdr:rowOff>
    </xdr:from>
    <xdr:to>
      <xdr:col>8</xdr:col>
      <xdr:colOff>752475</xdr:colOff>
      <xdr:row>46</xdr:row>
      <xdr:rowOff>166688</xdr:rowOff>
    </xdr:to>
    <xdr:graphicFrame macro="">
      <xdr:nvGraphicFramePr>
        <xdr:cNvPr id="4" name="Gráfico 3">
          <a:extLst>
            <a:ext uri="{FF2B5EF4-FFF2-40B4-BE49-F238E27FC236}">
              <a16:creationId xmlns:a16="http://schemas.microsoft.com/office/drawing/2014/main" id="{C4D5F2AD-B6A3-4AB6-9BF1-6C2BC6C73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0.91014</cdr:y>
    </cdr:from>
    <cdr:to>
      <cdr:x>0.90767</cdr:x>
      <cdr:y>0.97264</cdr:y>
    </cdr:to>
    <cdr:sp macro="" textlink="">
      <cdr:nvSpPr>
        <cdr:cNvPr id="2" name="1 CuadroTexto">
          <a:extLst xmlns:a="http://schemas.openxmlformats.org/drawingml/2006/main">
            <a:ext uri="{FF2B5EF4-FFF2-40B4-BE49-F238E27FC236}">
              <a16:creationId xmlns:a16="http://schemas.microsoft.com/office/drawing/2014/main" id="{9F7B0F9B-AF03-4483-A77D-6F3D0C91F92D}"/>
            </a:ext>
          </a:extLst>
        </cdr:cNvPr>
        <cdr:cNvSpPr txBox="1"/>
      </cdr:nvSpPr>
      <cdr:spPr>
        <a:xfrm xmlns:a="http://schemas.openxmlformats.org/drawingml/2006/main">
          <a:off x="0" y="3484955"/>
          <a:ext cx="6648450" cy="2393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antecedentes del</a:t>
          </a:r>
          <a:r>
            <a:rPr lang="es-ES" sz="900" baseline="0"/>
            <a:t> Servicio Nacional de Aduanas.</a:t>
          </a:r>
        </a:p>
        <a:p xmlns:a="http://schemas.openxmlformats.org/drawingml/2006/main">
          <a:r>
            <a:rPr lang="es-ES" sz="900" baseline="0"/>
            <a:t>* Considera el 80% del volumen total exportado, </a:t>
          </a:r>
          <a:r>
            <a:rPr lang="es-CL" sz="900" b="0" i="0" baseline="0">
              <a:effectLst/>
              <a:latin typeface="+mn-lt"/>
              <a:ea typeface="+mn-ea"/>
              <a:cs typeface="+mn-cs"/>
            </a:rPr>
            <a:t>correspondiente al segmento más representativo de la categoría</a:t>
          </a:r>
          <a:endParaRPr lang="es-ES" sz="900"/>
        </a:p>
      </cdr:txBody>
    </cdr:sp>
  </cdr:relSizeAnchor>
</c:userShapes>
</file>

<file path=xl/drawings/drawing14.xml><?xml version="1.0" encoding="utf-8"?>
<c:userShapes xmlns:c="http://schemas.openxmlformats.org/drawingml/2006/chart">
  <cdr:relSizeAnchor xmlns:cdr="http://schemas.openxmlformats.org/drawingml/2006/chartDrawing">
    <cdr:from>
      <cdr:x>0.00153</cdr:x>
      <cdr:y>0.89889</cdr:y>
    </cdr:from>
    <cdr:to>
      <cdr:x>0.91928</cdr:x>
      <cdr:y>0.92748</cdr:y>
    </cdr:to>
    <cdr:sp macro="" textlink="">
      <cdr:nvSpPr>
        <cdr:cNvPr id="2" name="1 CuadroTexto">
          <a:extLst xmlns:a="http://schemas.openxmlformats.org/drawingml/2006/main">
            <a:ext uri="{FF2B5EF4-FFF2-40B4-BE49-F238E27FC236}">
              <a16:creationId xmlns:a16="http://schemas.microsoft.com/office/drawing/2014/main" id="{BC07D2AA-F270-4D1D-9A85-FF427B90A4A9}"/>
            </a:ext>
          </a:extLst>
        </cdr:cNvPr>
        <cdr:cNvSpPr txBox="1"/>
      </cdr:nvSpPr>
      <cdr:spPr>
        <a:xfrm xmlns:a="http://schemas.openxmlformats.org/drawingml/2006/main">
          <a:off x="11906" y="4090481"/>
          <a:ext cx="7161530" cy="1301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antecedentes del</a:t>
          </a:r>
          <a:r>
            <a:rPr lang="es-ES" sz="900" baseline="0"/>
            <a:t> Servicio Nacional de Aduanas y Banco Central </a:t>
          </a:r>
        </a:p>
        <a:p xmlns:a="http://schemas.openxmlformats.org/drawingml/2006/main">
          <a:r>
            <a:rPr lang="es-ES" sz="900" baseline="0">
              <a:effectLst/>
              <a:latin typeface="+mn-lt"/>
              <a:ea typeface="+mn-ea"/>
              <a:cs typeface="+mn-cs"/>
            </a:rPr>
            <a:t>*Considera el 80% del volumen total exportado, </a:t>
          </a:r>
          <a:r>
            <a:rPr lang="es-CL" sz="900" b="0" i="0" baseline="0">
              <a:effectLst/>
              <a:latin typeface="+mn-lt"/>
              <a:ea typeface="+mn-ea"/>
              <a:cs typeface="+mn-cs"/>
            </a:rPr>
            <a:t>correspondiente al segmento más representativo de la categoría</a:t>
          </a:r>
          <a:endParaRPr lang="es-CL" sz="900">
            <a:effectLst/>
          </a:endParaRPr>
        </a:p>
        <a:p xmlns:a="http://schemas.openxmlformats.org/drawingml/2006/main">
          <a:endParaRPr lang="es-ES" sz="900"/>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289560</xdr:colOff>
      <xdr:row>21</xdr:row>
      <xdr:rowOff>30480</xdr:rowOff>
    </xdr:from>
    <xdr:to>
      <xdr:col>11</xdr:col>
      <xdr:colOff>403860</xdr:colOff>
      <xdr:row>47</xdr:row>
      <xdr:rowOff>137160</xdr:rowOff>
    </xdr:to>
    <xdr:graphicFrame macro="">
      <xdr:nvGraphicFramePr>
        <xdr:cNvPr id="4" name="Gráfico 3">
          <a:extLst>
            <a:ext uri="{FF2B5EF4-FFF2-40B4-BE49-F238E27FC236}">
              <a16:creationId xmlns:a16="http://schemas.microsoft.com/office/drawing/2014/main" id="{2F0A3BB7-0D5F-45E3-AF96-2F0D593653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0.05163</cdr:x>
      <cdr:y>0.92434</cdr:y>
    </cdr:from>
    <cdr:to>
      <cdr:x>0.76631</cdr:x>
      <cdr:y>0.97179</cdr:y>
    </cdr:to>
    <cdr:sp macro="" textlink="">
      <cdr:nvSpPr>
        <cdr:cNvPr id="3" name="1 CuadroTexto">
          <a:extLst xmlns:a="http://schemas.openxmlformats.org/drawingml/2006/main">
            <a:ext uri="{FF2B5EF4-FFF2-40B4-BE49-F238E27FC236}">
              <a16:creationId xmlns:a16="http://schemas.microsoft.com/office/drawing/2014/main" id="{0073AE1B-5904-4A34-B166-80BBAE8EB375}"/>
            </a:ext>
          </a:extLst>
        </cdr:cNvPr>
        <cdr:cNvSpPr txBox="1"/>
      </cdr:nvSpPr>
      <cdr:spPr>
        <a:xfrm xmlns:a="http://schemas.openxmlformats.org/drawingml/2006/main">
          <a:off x="370569" y="4493723"/>
          <a:ext cx="5130068" cy="2306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información del</a:t>
          </a:r>
          <a:r>
            <a:rPr lang="es-ES" sz="900" baseline="0"/>
            <a:t> SAG</a:t>
          </a:r>
          <a:endParaRPr lang="es-ES" sz="900"/>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30480</xdr:colOff>
      <xdr:row>0</xdr:row>
      <xdr:rowOff>60007</xdr:rowOff>
    </xdr:from>
    <xdr:to>
      <xdr:col>6</xdr:col>
      <xdr:colOff>762000</xdr:colOff>
      <xdr:row>21</xdr:row>
      <xdr:rowOff>45720</xdr:rowOff>
    </xdr:to>
    <xdr:graphicFrame macro="">
      <xdr:nvGraphicFramePr>
        <xdr:cNvPr id="2" name="Gráfico 1">
          <a:extLst>
            <a:ext uri="{FF2B5EF4-FFF2-40B4-BE49-F238E27FC236}">
              <a16:creationId xmlns:a16="http://schemas.microsoft.com/office/drawing/2014/main" id="{E4385D9E-059E-45B2-84D3-54AE87B3B1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xdr:colOff>
      <xdr:row>24</xdr:row>
      <xdr:rowOff>0</xdr:rowOff>
    </xdr:from>
    <xdr:to>
      <xdr:col>6</xdr:col>
      <xdr:colOff>769620</xdr:colOff>
      <xdr:row>44</xdr:row>
      <xdr:rowOff>60960</xdr:rowOff>
    </xdr:to>
    <xdr:graphicFrame macro="">
      <xdr:nvGraphicFramePr>
        <xdr:cNvPr id="3" name="Gráfico 2">
          <a:extLst>
            <a:ext uri="{FF2B5EF4-FFF2-40B4-BE49-F238E27FC236}">
              <a16:creationId xmlns:a16="http://schemas.microsoft.com/office/drawing/2014/main" id="{4E02DEC7-1494-43CC-968B-FBD9768ED0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472440</xdr:colOff>
      <xdr:row>43</xdr:row>
      <xdr:rowOff>13335</xdr:rowOff>
    </xdr:from>
    <xdr:to>
      <xdr:col>7</xdr:col>
      <xdr:colOff>440055</xdr:colOff>
      <xdr:row>44</xdr:row>
      <xdr:rowOff>34514</xdr:rowOff>
    </xdr:to>
    <xdr:sp macro="" textlink="">
      <xdr:nvSpPr>
        <xdr:cNvPr id="4" name="CuadroTexto 1">
          <a:extLst>
            <a:ext uri="{FF2B5EF4-FFF2-40B4-BE49-F238E27FC236}">
              <a16:creationId xmlns:a16="http://schemas.microsoft.com/office/drawing/2014/main" id="{54A7B121-522F-4DB3-AEF2-A7D9D8C2B097}"/>
            </a:ext>
          </a:extLst>
        </xdr:cNvPr>
        <xdr:cNvSpPr txBox="1"/>
      </xdr:nvSpPr>
      <xdr:spPr>
        <a:xfrm>
          <a:off x="472440" y="8105775"/>
          <a:ext cx="5461635" cy="20405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s-CL" sz="900"/>
            <a:t>Fuente: elaborado por Odepa con información del SAG.</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cdr:x>
      <cdr:y>0.95049</cdr:y>
    </cdr:from>
    <cdr:to>
      <cdr:x>0.98571</cdr:x>
      <cdr:y>0.99449</cdr:y>
    </cdr:to>
    <cdr:sp macro="" textlink="">
      <cdr:nvSpPr>
        <cdr:cNvPr id="2" name="1 CuadroTexto">
          <a:extLst xmlns:a="http://schemas.openxmlformats.org/drawingml/2006/main">
            <a:ext uri="{FF2B5EF4-FFF2-40B4-BE49-F238E27FC236}">
              <a16:creationId xmlns:a16="http://schemas.microsoft.com/office/drawing/2014/main" id="{3F95081F-C92F-44EC-937F-A570CBE6D6E2}"/>
            </a:ext>
          </a:extLst>
        </cdr:cNvPr>
        <cdr:cNvSpPr txBox="1"/>
      </cdr:nvSpPr>
      <cdr:spPr>
        <a:xfrm xmlns:a="http://schemas.openxmlformats.org/drawingml/2006/main">
          <a:off x="0" y="3870325"/>
          <a:ext cx="5605175" cy="1791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t>Fuente</a:t>
          </a:r>
          <a:r>
            <a:rPr lang="es-ES" sz="900"/>
            <a:t>: elaborado por Odepa con antecedentes del</a:t>
          </a:r>
          <a:r>
            <a:rPr lang="es-ES" sz="900" baseline="0"/>
            <a:t> SAG</a:t>
          </a:r>
          <a:endParaRPr lang="es-ES" sz="900"/>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616528</xdr:colOff>
      <xdr:row>21</xdr:row>
      <xdr:rowOff>125990</xdr:rowOff>
    </xdr:from>
    <xdr:to>
      <xdr:col>12</xdr:col>
      <xdr:colOff>103910</xdr:colOff>
      <xdr:row>34</xdr:row>
      <xdr:rowOff>121228</xdr:rowOff>
    </xdr:to>
    <xdr:graphicFrame macro="">
      <xdr:nvGraphicFramePr>
        <xdr:cNvPr id="2" name="Gráfico 1">
          <a:extLst>
            <a:ext uri="{FF2B5EF4-FFF2-40B4-BE49-F238E27FC236}">
              <a16:creationId xmlns:a16="http://schemas.microsoft.com/office/drawing/2014/main" id="{4A7DF215-9657-499B-A288-970E13E8931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xdr:colOff>
      <xdr:row>43</xdr:row>
      <xdr:rowOff>118491</xdr:rowOff>
    </xdr:from>
    <xdr:to>
      <xdr:col>2</xdr:col>
      <xdr:colOff>187325</xdr:colOff>
      <xdr:row>44</xdr:row>
      <xdr:rowOff>51816</xdr:rowOff>
    </xdr:to>
    <xdr:pic>
      <xdr:nvPicPr>
        <xdr:cNvPr id="2" name="Picture 1" descr="LOGO_FUCOA">
          <a:extLst>
            <a:ext uri="{FF2B5EF4-FFF2-40B4-BE49-F238E27FC236}">
              <a16:creationId xmlns:a16="http://schemas.microsoft.com/office/drawing/2014/main" id="{02DE9F50-7F1F-49AA-8F8A-D1B3044FF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5875" y="8579866"/>
          <a:ext cx="1822450" cy="1238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xdr:col>
      <xdr:colOff>51819</xdr:colOff>
      <xdr:row>40</xdr:row>
      <xdr:rowOff>1218</xdr:rowOff>
    </xdr:from>
    <xdr:to>
      <xdr:col>6</xdr:col>
      <xdr:colOff>685801</xdr:colOff>
      <xdr:row>44</xdr:row>
      <xdr:rowOff>38099</xdr:rowOff>
    </xdr:to>
    <xdr:pic>
      <xdr:nvPicPr>
        <xdr:cNvPr id="3" name="Imagen 5">
          <a:extLst>
            <a:ext uri="{FF2B5EF4-FFF2-40B4-BE49-F238E27FC236}">
              <a16:creationId xmlns:a16="http://schemas.microsoft.com/office/drawing/2014/main" id="{D2AF8FD6-40F1-4FD0-B8C2-A150C4EAF5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37819" y="7868868"/>
          <a:ext cx="2919982" cy="798881"/>
        </a:xfrm>
        <a:prstGeom prst="rect">
          <a:avLst/>
        </a:prstGeom>
        <a:noFill/>
        <a:ln>
          <a:noFill/>
        </a:ln>
        <a:scene3d>
          <a:camera prst="orthographicFront">
            <a:rot lat="0" lon="0" rev="0"/>
          </a:camera>
          <a:lightRig rig="threePt" dir="t"/>
        </a:scene3d>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188595</xdr:colOff>
      <xdr:row>19</xdr:row>
      <xdr:rowOff>171451</xdr:rowOff>
    </xdr:from>
    <xdr:to>
      <xdr:col>14</xdr:col>
      <xdr:colOff>560070</xdr:colOff>
      <xdr:row>34</xdr:row>
      <xdr:rowOff>0</xdr:rowOff>
    </xdr:to>
    <xdr:graphicFrame macro="">
      <xdr:nvGraphicFramePr>
        <xdr:cNvPr id="4" name="Gráfico 3">
          <a:extLst>
            <a:ext uri="{FF2B5EF4-FFF2-40B4-BE49-F238E27FC236}">
              <a16:creationId xmlns:a16="http://schemas.microsoft.com/office/drawing/2014/main" id="{75673481-B939-4E41-951D-296978313E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0.90961</cdr:y>
    </cdr:from>
    <cdr:to>
      <cdr:x>1</cdr:x>
      <cdr:y>0.98775</cdr:y>
    </cdr:to>
    <cdr:sp macro="" textlink="">
      <cdr:nvSpPr>
        <cdr:cNvPr id="2" name="CuadroTexto 1">
          <a:extLst xmlns:a="http://schemas.openxmlformats.org/drawingml/2006/main">
            <a:ext uri="{FF2B5EF4-FFF2-40B4-BE49-F238E27FC236}">
              <a16:creationId xmlns:a16="http://schemas.microsoft.com/office/drawing/2014/main" id="{22AC58A5-0470-41DD-B593-4B0BFC76527F}"/>
            </a:ext>
          </a:extLst>
        </cdr:cNvPr>
        <cdr:cNvSpPr txBox="1"/>
      </cdr:nvSpPr>
      <cdr:spPr>
        <a:xfrm xmlns:a="http://schemas.openxmlformats.org/drawingml/2006/main">
          <a:off x="0" y="2263922"/>
          <a:ext cx="7920990" cy="1944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a:t>Fuente: elaborado por Odepa con información del SAG.</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762000</xdr:colOff>
      <xdr:row>20</xdr:row>
      <xdr:rowOff>67734</xdr:rowOff>
    </xdr:to>
    <xdr:graphicFrame macro="">
      <xdr:nvGraphicFramePr>
        <xdr:cNvPr id="3" name="Gráfico 2">
          <a:extLst>
            <a:ext uri="{FF2B5EF4-FFF2-40B4-BE49-F238E27FC236}">
              <a16:creationId xmlns:a16="http://schemas.microsoft.com/office/drawing/2014/main" id="{EAD0BA2E-DD51-40B3-8495-FF6AE7B48E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9524</xdr:rowOff>
    </xdr:from>
    <xdr:to>
      <xdr:col>6</xdr:col>
      <xdr:colOff>762000</xdr:colOff>
      <xdr:row>31</xdr:row>
      <xdr:rowOff>161925</xdr:rowOff>
    </xdr:to>
    <xdr:sp macro="" textlink="">
      <xdr:nvSpPr>
        <xdr:cNvPr id="4" name="2 CuadroTexto">
          <a:extLst>
            <a:ext uri="{FF2B5EF4-FFF2-40B4-BE49-F238E27FC236}">
              <a16:creationId xmlns:a16="http://schemas.microsoft.com/office/drawing/2014/main" id="{34F82A19-F4B3-4117-9CF4-28147721B1B9}"/>
            </a:ext>
          </a:extLst>
        </xdr:cNvPr>
        <xdr:cNvSpPr txBox="1"/>
      </xdr:nvSpPr>
      <xdr:spPr>
        <a:xfrm>
          <a:off x="0" y="4200524"/>
          <a:ext cx="5676900" cy="1866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000">
              <a:latin typeface="+mn-lt"/>
            </a:rPr>
            <a:t>El gráfico </a:t>
          </a:r>
          <a:r>
            <a:rPr lang="es-ES" sz="1000" baseline="0">
              <a:latin typeface="+mn-lt"/>
            </a:rPr>
            <a:t>adjunto está basado en información disponible de precios de vinos a granel, tanto en Chile como en Argentina. La comparación se realiza haciendo la transformación de los precios de vinos argentinos a valores expresados en pesos chilenos, considerando el tipo de cambio oficial (peso chileno</a:t>
          </a:r>
          <a:r>
            <a:rPr lang="es-ES" sz="1000" i="1" baseline="0">
              <a:latin typeface="+mn-lt"/>
            </a:rPr>
            <a:t> / </a:t>
          </a:r>
          <a:r>
            <a:rPr lang="es-ES" sz="1000" baseline="0">
              <a:latin typeface="+mn-lt"/>
            </a:rPr>
            <a:t>peso argentino) vigente en el período en que se registró cada precio.</a:t>
          </a:r>
        </a:p>
        <a:p>
          <a:pPr algn="just"/>
          <a:r>
            <a:rPr lang="es-ES" sz="1000" baseline="0">
              <a:latin typeface="+mn-lt"/>
            </a:rPr>
            <a:t>Se advierte que esta comparación puede no resultar efectiva ni real en términos de los niveles registrados en cada caso, toda vez que probablemente las calidades de los vinos son diferentes  y podrían no ser directamente comparables. No obstante, se estima que  permite analizar las trayectorias o evolución que han seguido los precios de cada tipo de vino en ambos mercados, desde el momento en que comienzan todas las series (enero de 2010). En consecuencia, se recomienda ser bastante cautelosos al momento de emitir juicios respecto a estos antecedentes, particularmente en relación con los niveles de precios registrados en uno y otro mercado, e interpretar más bien las variaciones que se observan en cada caso.</a:t>
          </a:r>
          <a:endParaRPr lang="es-ES" sz="1000">
            <a:latin typeface="+mn-lt"/>
          </a:endParaRPr>
        </a:p>
      </xdr:txBody>
    </xdr:sp>
    <xdr:clientData/>
  </xdr:twoCellAnchor>
</xdr:wsDr>
</file>

<file path=xl/drawings/drawing23.xml><?xml version="1.0" encoding="utf-8"?>
<c:userShapes xmlns:c="http://schemas.openxmlformats.org/drawingml/2006/chart">
  <cdr:relSizeAnchor xmlns:cdr="http://schemas.openxmlformats.org/drawingml/2006/chartDrawing">
    <cdr:from>
      <cdr:x>0</cdr:x>
      <cdr:y>0.9375</cdr:y>
    </cdr:from>
    <cdr:to>
      <cdr:x>1</cdr:x>
      <cdr:y>1</cdr:y>
    </cdr:to>
    <cdr:sp macro="" textlink="">
      <cdr:nvSpPr>
        <cdr:cNvPr id="2" name="CuadroTexto 1">
          <a:extLst xmlns:a="http://schemas.openxmlformats.org/drawingml/2006/main">
            <a:ext uri="{FF2B5EF4-FFF2-40B4-BE49-F238E27FC236}">
              <a16:creationId xmlns:a16="http://schemas.microsoft.com/office/drawing/2014/main" id="{54B63A92-2AC6-4B5C-8383-1E09C2B551FB}"/>
            </a:ext>
          </a:extLst>
        </cdr:cNvPr>
        <cdr:cNvSpPr txBox="1"/>
      </cdr:nvSpPr>
      <cdr:spPr>
        <a:xfrm xmlns:a="http://schemas.openxmlformats.org/drawingml/2006/main">
          <a:off x="0" y="3556000"/>
          <a:ext cx="5486400" cy="2370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850"/>
            <a:t>Fuente: elaborado por Odepa con antecedentes de</a:t>
          </a:r>
          <a:r>
            <a:rPr lang="es-CL" sz="850" baseline="0"/>
            <a:t> la Seremi Región del Maule y la Bolsa de Comercio de Mendoza.</a:t>
          </a:r>
          <a:endParaRPr lang="es-CL" sz="85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733425</xdr:colOff>
      <xdr:row>43</xdr:row>
      <xdr:rowOff>0</xdr:rowOff>
    </xdr:to>
    <xdr:sp macro="" textlink="">
      <xdr:nvSpPr>
        <xdr:cNvPr id="2" name="CuadroTexto 1">
          <a:extLst>
            <a:ext uri="{FF2B5EF4-FFF2-40B4-BE49-F238E27FC236}">
              <a16:creationId xmlns:a16="http://schemas.microsoft.com/office/drawing/2014/main" id="{7D292B62-B2A3-49E9-B7F0-595F73DBD27E}"/>
            </a:ext>
          </a:extLst>
        </xdr:cNvPr>
        <xdr:cNvSpPr txBox="1"/>
      </xdr:nvSpPr>
      <xdr:spPr>
        <a:xfrm>
          <a:off x="0" y="0"/>
          <a:ext cx="5305425" cy="8305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1"/>
            <a:t>Comentarios</a:t>
          </a:r>
        </a:p>
        <a:p>
          <a:endParaRPr lang="es-CL" sz="1100" baseline="0"/>
        </a:p>
        <a:p>
          <a:r>
            <a:rPr lang="es-CL" sz="1100" b="1">
              <a:solidFill>
                <a:schemeClr val="dk1"/>
              </a:solidFill>
              <a:effectLst/>
              <a:latin typeface="+mn-lt"/>
              <a:ea typeface="+mn-ea"/>
              <a:cs typeface="+mn-cs"/>
            </a:rPr>
            <a:t>1.  Exportaciones 2022</a:t>
          </a:r>
        </a:p>
        <a:p>
          <a:endParaRPr lang="es-CL">
            <a:effectLst/>
          </a:endParaRPr>
        </a:p>
        <a:p>
          <a:pPr algn="just"/>
          <a:r>
            <a:rPr lang="es-CL" sz="1100">
              <a:solidFill>
                <a:schemeClr val="dk1"/>
              </a:solidFill>
              <a:effectLst/>
              <a:latin typeface="+mn-lt"/>
              <a:ea typeface="+mn-ea"/>
              <a:cs typeface="+mn-cs"/>
            </a:rPr>
            <a:t>En lo que va de 2022, las exportaciones totales de vino alcanzan 582,9 millones de litros por un total de USD 1.326,9 millones, lo que representa un alza de 4,5% en volumen y 3,9% en valor en relación con el mismo periodo de 2021.</a:t>
          </a:r>
        </a:p>
        <a:p>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Las exportaciones de vino con denominación de origen, entre enero y agosto de este año, alcanzaron 308,1 millones de litros, 6,4% más que lo exportado en el mismo periodo de 2021. En términos de valor, en este periodo se superaron los USD 1.015 millones, superior en 3,0% al valor exportado en 2021.</a:t>
          </a: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Por su parte, el vino a granel alcanzó 232,3 millones de litros por un total de USD 217,8 millones, llegando a un precio medio de USD 0,94/litro. Estas cifras representan un alza de 2,9% en volumen, 9,9% en valor y 6,8% en el precio medio en comparación con igual periodo de 2021.</a:t>
          </a:r>
        </a:p>
        <a:p>
          <a:pPr algn="just"/>
          <a:endParaRPr lang="es-CL" sz="1100">
            <a:solidFill>
              <a:schemeClr val="dk1"/>
            </a:solidFill>
            <a:effectLst/>
            <a:latin typeface="+mn-lt"/>
            <a:ea typeface="+mn-ea"/>
            <a:cs typeface="+mn-cs"/>
          </a:endParaRPr>
        </a:p>
        <a:p>
          <a:pPr algn="just"/>
          <a:r>
            <a:rPr lang="es-CL" sz="1100">
              <a:solidFill>
                <a:schemeClr val="dk1"/>
              </a:solidFill>
              <a:effectLst/>
              <a:latin typeface="+mn-lt"/>
              <a:ea typeface="+mn-ea"/>
              <a:cs typeface="+mn-cs"/>
            </a:rPr>
            <a:t>Los vinos espumosos en 2022 llegan a 2,2 millones de litros, por un valor total de USD 3,97 millones, lo que comparado con igual periodo de 2021 representa un alza de 0,6%en volumen y una disminución de 1,8% en valor.</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CL" sz="1100" b="0" i="0" u="none" strike="noStrike" kern="0" cap="none" spc="0" normalizeH="0" baseline="0">
            <a:ln>
              <a:noFill/>
            </a:ln>
            <a:solidFill>
              <a:prstClr val="black"/>
            </a:solidFill>
            <a:effectLst/>
            <a:uLnTx/>
            <a:uFillTx/>
            <a:latin typeface="+mn-lt"/>
            <a:ea typeface="+mn-ea"/>
            <a:cs typeface="+mn-cs"/>
          </a:endParaRPr>
        </a:p>
        <a:p>
          <a:endParaRPr lang="es-CL" sz="1100">
            <a:solidFill>
              <a:schemeClr val="dk1"/>
            </a:solidFill>
            <a:effectLst/>
            <a:latin typeface="+mn-lt"/>
            <a:ea typeface="+mn-ea"/>
            <a:cs typeface="+mn-cs"/>
          </a:endParaRPr>
        </a:p>
        <a:p>
          <a:endParaRPr lang="es-CL" sz="1100" b="0" i="0" u="none" strike="noStrike" baseline="0">
            <a:solidFill>
              <a:schemeClr val="dk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714376</xdr:colOff>
      <xdr:row>14</xdr:row>
      <xdr:rowOff>174625</xdr:rowOff>
    </xdr:to>
    <xdr:graphicFrame macro="">
      <xdr:nvGraphicFramePr>
        <xdr:cNvPr id="2" name="Gráfico 1">
          <a:extLst>
            <a:ext uri="{FF2B5EF4-FFF2-40B4-BE49-F238E27FC236}">
              <a16:creationId xmlns:a16="http://schemas.microsoft.com/office/drawing/2014/main" id="{DDA22EBE-F8A2-42A6-9938-A5E84876C3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35719</xdr:colOff>
      <xdr:row>15</xdr:row>
      <xdr:rowOff>184156</xdr:rowOff>
    </xdr:from>
    <xdr:to>
      <xdr:col>6</xdr:col>
      <xdr:colOff>730250</xdr:colOff>
      <xdr:row>31</xdr:row>
      <xdr:rowOff>15875</xdr:rowOff>
    </xdr:to>
    <xdr:graphicFrame macro="">
      <xdr:nvGraphicFramePr>
        <xdr:cNvPr id="3" name="Gráfico 2">
          <a:extLst>
            <a:ext uri="{FF2B5EF4-FFF2-40B4-BE49-F238E27FC236}">
              <a16:creationId xmlns:a16="http://schemas.microsoft.com/office/drawing/2014/main" id="{166B92AD-BCCC-450E-BEC9-01D8CA7D18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21432</xdr:colOff>
      <xdr:row>31</xdr:row>
      <xdr:rowOff>181768</xdr:rowOff>
    </xdr:from>
    <xdr:to>
      <xdr:col>6</xdr:col>
      <xdr:colOff>768350</xdr:colOff>
      <xdr:row>46</xdr:row>
      <xdr:rowOff>183356</xdr:rowOff>
    </xdr:to>
    <xdr:graphicFrame macro="">
      <xdr:nvGraphicFramePr>
        <xdr:cNvPr id="4" name="Gráfico 3">
          <a:extLst>
            <a:ext uri="{FF2B5EF4-FFF2-40B4-BE49-F238E27FC236}">
              <a16:creationId xmlns:a16="http://schemas.microsoft.com/office/drawing/2014/main" id="{B53EDC15-109B-4E52-ABCE-0974A387EFF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xdr:colOff>
      <xdr:row>47</xdr:row>
      <xdr:rowOff>7937</xdr:rowOff>
    </xdr:from>
    <xdr:to>
      <xdr:col>6</xdr:col>
      <xdr:colOff>733425</xdr:colOff>
      <xdr:row>61</xdr:row>
      <xdr:rowOff>175419</xdr:rowOff>
    </xdr:to>
    <xdr:graphicFrame macro="">
      <xdr:nvGraphicFramePr>
        <xdr:cNvPr id="5" name="Gráfico 4">
          <a:extLst>
            <a:ext uri="{FF2B5EF4-FFF2-40B4-BE49-F238E27FC236}">
              <a16:creationId xmlns:a16="http://schemas.microsoft.com/office/drawing/2014/main" id="{AA1BFD02-00A2-4767-A70B-156D7B1591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50006</xdr:colOff>
      <xdr:row>62</xdr:row>
      <xdr:rowOff>182561</xdr:rowOff>
    </xdr:from>
    <xdr:to>
      <xdr:col>6</xdr:col>
      <xdr:colOff>752475</xdr:colOff>
      <xdr:row>77</xdr:row>
      <xdr:rowOff>173830</xdr:rowOff>
    </xdr:to>
    <xdr:graphicFrame macro="">
      <xdr:nvGraphicFramePr>
        <xdr:cNvPr id="6" name="Gráfico 5">
          <a:extLst>
            <a:ext uri="{FF2B5EF4-FFF2-40B4-BE49-F238E27FC236}">
              <a16:creationId xmlns:a16="http://schemas.microsoft.com/office/drawing/2014/main" id="{6F45E8DA-12F7-43A3-BEB6-7A63305CBEC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xdr:colOff>
      <xdr:row>79</xdr:row>
      <xdr:rowOff>6350</xdr:rowOff>
    </xdr:from>
    <xdr:to>
      <xdr:col>6</xdr:col>
      <xdr:colOff>770572</xdr:colOff>
      <xdr:row>93</xdr:row>
      <xdr:rowOff>161925</xdr:rowOff>
    </xdr:to>
    <xdr:graphicFrame macro="">
      <xdr:nvGraphicFramePr>
        <xdr:cNvPr id="7" name="Gráfico 6">
          <a:extLst>
            <a:ext uri="{FF2B5EF4-FFF2-40B4-BE49-F238E27FC236}">
              <a16:creationId xmlns:a16="http://schemas.microsoft.com/office/drawing/2014/main" id="{463FB488-15F2-46E9-8483-18CDC875B5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1746</xdr:colOff>
      <xdr:row>94</xdr:row>
      <xdr:rowOff>180340</xdr:rowOff>
    </xdr:from>
    <xdr:to>
      <xdr:col>6</xdr:col>
      <xdr:colOff>763745</xdr:colOff>
      <xdr:row>109</xdr:row>
      <xdr:rowOff>73660</xdr:rowOff>
    </xdr:to>
    <xdr:graphicFrame macro="">
      <xdr:nvGraphicFramePr>
        <xdr:cNvPr id="8" name="Gráfico 7">
          <a:extLst>
            <a:ext uri="{FF2B5EF4-FFF2-40B4-BE49-F238E27FC236}">
              <a16:creationId xmlns:a16="http://schemas.microsoft.com/office/drawing/2014/main" id="{67353FF7-0744-4011-8F2A-37A40CD01C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11642</xdr:colOff>
      <xdr:row>13</xdr:row>
      <xdr:rowOff>103293</xdr:rowOff>
    </xdr:from>
    <xdr:to>
      <xdr:col>9</xdr:col>
      <xdr:colOff>561975</xdr:colOff>
      <xdr:row>29</xdr:row>
      <xdr:rowOff>30480</xdr:rowOff>
    </xdr:to>
    <xdr:graphicFrame macro="">
      <xdr:nvGraphicFramePr>
        <xdr:cNvPr id="2" name="Gráfico 1">
          <a:extLst>
            <a:ext uri="{FF2B5EF4-FFF2-40B4-BE49-F238E27FC236}">
              <a16:creationId xmlns:a16="http://schemas.microsoft.com/office/drawing/2014/main" id="{D6367EBC-5062-4CAC-A274-719009FF24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21166</xdr:colOff>
      <xdr:row>44</xdr:row>
      <xdr:rowOff>30691</xdr:rowOff>
    </xdr:from>
    <xdr:to>
      <xdr:col>9</xdr:col>
      <xdr:colOff>497416</xdr:colOff>
      <xdr:row>59</xdr:row>
      <xdr:rowOff>142875</xdr:rowOff>
    </xdr:to>
    <xdr:graphicFrame macro="">
      <xdr:nvGraphicFramePr>
        <xdr:cNvPr id="3" name="Gráfico 2">
          <a:extLst>
            <a:ext uri="{FF2B5EF4-FFF2-40B4-BE49-F238E27FC236}">
              <a16:creationId xmlns:a16="http://schemas.microsoft.com/office/drawing/2014/main" id="{951CC9F9-3349-4FE2-82E8-E6E04DA2CF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0.91899</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37616"/>
          <a:ext cx="8128000"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0.91811</cdr:y>
    </cdr:from>
    <cdr:to>
      <cdr:x>1</cdr:x>
      <cdr:y>1</cdr:y>
    </cdr:to>
    <cdr:sp macro="" textlink="">
      <cdr:nvSpPr>
        <cdr:cNvPr id="2" name="Rectángulo redondeado 1">
          <a:extLst xmlns:a="http://schemas.openxmlformats.org/drawingml/2006/main">
            <a:ext uri="{FF2B5EF4-FFF2-40B4-BE49-F238E27FC236}">
              <a16:creationId xmlns:a16="http://schemas.microsoft.com/office/drawing/2014/main" id="{F32E80D8-DF34-4374-A67F-170C45EB58C8}"/>
            </a:ext>
          </a:extLst>
        </cdr:cNvPr>
        <cdr:cNvSpPr/>
      </cdr:nvSpPr>
      <cdr:spPr>
        <a:xfrm xmlns:a="http://schemas.openxmlformats.org/drawingml/2006/main">
          <a:off x="0" y="3100574"/>
          <a:ext cx="8053917" cy="276568"/>
        </a:xfrm>
        <a:prstGeom xmlns:a="http://schemas.openxmlformats.org/drawingml/2006/main" prst="round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s-CL" sz="900">
              <a:solidFill>
                <a:sysClr val="windowText" lastClr="000000"/>
              </a:solidFill>
            </a:rPr>
            <a:t>Fuente: elaborado por Odepa con antecedentes del Servicio Nacional de Aduanas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28575</xdr:rowOff>
    </xdr:from>
    <xdr:to>
      <xdr:col>8</xdr:col>
      <xdr:colOff>0</xdr:colOff>
      <xdr:row>16</xdr:row>
      <xdr:rowOff>38100</xdr:rowOff>
    </xdr:to>
    <xdr:graphicFrame macro="">
      <xdr:nvGraphicFramePr>
        <xdr:cNvPr id="2" name="Gráfico 1">
          <a:extLst>
            <a:ext uri="{FF2B5EF4-FFF2-40B4-BE49-F238E27FC236}">
              <a16:creationId xmlns:a16="http://schemas.microsoft.com/office/drawing/2014/main" id="{A0563D8A-3FC5-4D6A-B396-921607B42B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183619</xdr:rowOff>
    </xdr:from>
    <xdr:to>
      <xdr:col>7</xdr:col>
      <xdr:colOff>419099</xdr:colOff>
      <xdr:row>33</xdr:row>
      <xdr:rowOff>180975</xdr:rowOff>
    </xdr:to>
    <xdr:graphicFrame macro="">
      <xdr:nvGraphicFramePr>
        <xdr:cNvPr id="3" name="Gráfico 2">
          <a:extLst>
            <a:ext uri="{FF2B5EF4-FFF2-40B4-BE49-F238E27FC236}">
              <a16:creationId xmlns:a16="http://schemas.microsoft.com/office/drawing/2014/main" id="{75DE4D39-C40A-4F18-A196-1D6C770D1A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19051</xdr:colOff>
      <xdr:row>34</xdr:row>
      <xdr:rowOff>189442</xdr:rowOff>
    </xdr:from>
    <xdr:to>
      <xdr:col>8</xdr:col>
      <xdr:colOff>19050</xdr:colOff>
      <xdr:row>51</xdr:row>
      <xdr:rowOff>0</xdr:rowOff>
    </xdr:to>
    <xdr:graphicFrame macro="">
      <xdr:nvGraphicFramePr>
        <xdr:cNvPr id="4" name="Gráfico 3">
          <a:extLst>
            <a:ext uri="{FF2B5EF4-FFF2-40B4-BE49-F238E27FC236}">
              <a16:creationId xmlns:a16="http://schemas.microsoft.com/office/drawing/2014/main" id="{6B069431-6A19-4FEC-A23E-81D2A55774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800100</xdr:colOff>
      <xdr:row>14</xdr:row>
      <xdr:rowOff>180974</xdr:rowOff>
    </xdr:to>
    <xdr:graphicFrame macro="">
      <xdr:nvGraphicFramePr>
        <xdr:cNvPr id="2" name="Gráfico 1">
          <a:extLst>
            <a:ext uri="{FF2B5EF4-FFF2-40B4-BE49-F238E27FC236}">
              <a16:creationId xmlns:a16="http://schemas.microsoft.com/office/drawing/2014/main" id="{B513B829-02E1-408B-BF66-A37A44878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4761</xdr:rowOff>
    </xdr:from>
    <xdr:to>
      <xdr:col>6</xdr:col>
      <xdr:colOff>790574</xdr:colOff>
      <xdr:row>30</xdr:row>
      <xdr:rowOff>180974</xdr:rowOff>
    </xdr:to>
    <xdr:graphicFrame macro="">
      <xdr:nvGraphicFramePr>
        <xdr:cNvPr id="3" name="Gráfico 2">
          <a:extLst>
            <a:ext uri="{FF2B5EF4-FFF2-40B4-BE49-F238E27FC236}">
              <a16:creationId xmlns:a16="http://schemas.microsoft.com/office/drawing/2014/main" id="{EECC97C7-95E8-4638-8D9F-62470596ED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9525</xdr:rowOff>
    </xdr:from>
    <xdr:to>
      <xdr:col>6</xdr:col>
      <xdr:colOff>747713</xdr:colOff>
      <xdr:row>46</xdr:row>
      <xdr:rowOff>176212</xdr:rowOff>
    </xdr:to>
    <xdr:graphicFrame macro="">
      <xdr:nvGraphicFramePr>
        <xdr:cNvPr id="4" name="Gráfico 3">
          <a:extLst>
            <a:ext uri="{FF2B5EF4-FFF2-40B4-BE49-F238E27FC236}">
              <a16:creationId xmlns:a16="http://schemas.microsoft.com/office/drawing/2014/main" id="{A0BA1B0F-466F-479F-A3A6-3BD7E23BEA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Carolina del Rosario Buzzetti Horta" id="{30BA787B-16AF-4A7F-A9EF-1A774A901AC7}" userId="S::cbuzzetti@odepa.gob.cl::6446da3e-47e9-4ab3-9694-b54ee238906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3" dT="2022-06-22T14:48:57.93" personId="{30BA787B-16AF-4A7F-A9EF-1A774A901AC7}" id="{F9BD1B64-5757-41CC-B699-C162031ED6E3}">
    <text>Considera vino con DO, Granel y elaborado con uva de mesa</text>
  </threadedComment>
  <threadedComment ref="A6" dT="2022-06-22T14:49:23.36" personId="{30BA787B-16AF-4A7F-A9EF-1A774A901AC7}" id="{3672861F-D210-45C1-9970-4CF62457600D}">
    <text>Considera vino con DO, Espumoso y envasado menor a 2 lts</text>
  </threadedComment>
  <threadedComment ref="A7" dT="2022-06-22T14:49:44.83" personId="{30BA787B-16AF-4A7F-A9EF-1A774A901AC7}" id="{760D7E71-A72B-4024-ACF7-10CADA0BB627}">
    <text>Considera Vino a granely vinos envasados entre 2 y 10 lts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odepa.gob.cl/precios/al-productor" TargetMode="External"/><Relationship Id="rId7" Type="http://schemas.openxmlformats.org/officeDocument/2006/relationships/printerSettings" Target="../printerSettings/printerSettings15.bin"/><Relationship Id="rId2" Type="http://schemas.openxmlformats.org/officeDocument/2006/relationships/hyperlink" Target="https://www.odepa.gob.cl/precios/al-productor" TargetMode="External"/><Relationship Id="rId1" Type="http://schemas.openxmlformats.org/officeDocument/2006/relationships/hyperlink" Target="https://www.odepa.gob.cl/precios/al-productor" TargetMode="External"/><Relationship Id="rId6" Type="http://schemas.openxmlformats.org/officeDocument/2006/relationships/hyperlink" Target="https://www.odepa.gob.cl/precios/al-productor" TargetMode="External"/><Relationship Id="rId5" Type="http://schemas.openxmlformats.org/officeDocument/2006/relationships/hyperlink" Target="https://www.odepa.gob.cl/precios/al-productor" TargetMode="External"/><Relationship Id="rId4" Type="http://schemas.openxmlformats.org/officeDocument/2006/relationships/hyperlink" Target="https://www.odepa.gob.cl/precios/al-productor"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 Id="rId4" Type="http://schemas.microsoft.com/office/2017/10/relationships/threadedComment" Target="../threadedComments/threadedComment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6:D42"/>
  <sheetViews>
    <sheetView tabSelected="1" workbookViewId="0"/>
  </sheetViews>
  <sheetFormatPr baseColWidth="10" defaultColWidth="11.42578125" defaultRowHeight="15" x14ac:dyDescent="0.25"/>
  <sheetData>
    <row r="16" spans="4:4" ht="31.5" x14ac:dyDescent="0.5">
      <c r="D16" s="1" t="s">
        <v>0</v>
      </c>
    </row>
    <row r="36" spans="4:4" s="31" customFormat="1" x14ac:dyDescent="0.25"/>
    <row r="42" spans="4:4" ht="18.75" x14ac:dyDescent="0.3">
      <c r="D42" s="2" t="s">
        <v>602</v>
      </c>
    </row>
  </sheetData>
  <phoneticPr fontId="59" type="noConversion"/>
  <pageMargins left="0.70866141732283472" right="0.70866141732283472" top="0.74803149606299213" bottom="0.74803149606299213"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P2:AG31"/>
  <sheetViews>
    <sheetView zoomScaleNormal="100" workbookViewId="0"/>
  </sheetViews>
  <sheetFormatPr baseColWidth="10" defaultColWidth="11.42578125" defaultRowHeight="15" x14ac:dyDescent="0.25"/>
  <cols>
    <col min="14" max="14" width="14.42578125" customWidth="1"/>
    <col min="15" max="15" width="8.42578125" customWidth="1"/>
    <col min="16" max="16" width="8.140625" customWidth="1"/>
    <col min="17" max="17" width="5.42578125" bestFit="1" customWidth="1"/>
    <col min="18" max="18" width="7.140625" customWidth="1"/>
    <col min="19" max="22" width="5" bestFit="1" customWidth="1"/>
    <col min="23" max="23" width="6.140625" bestFit="1" customWidth="1"/>
    <col min="24" max="29" width="5" bestFit="1" customWidth="1"/>
  </cols>
  <sheetData>
    <row r="2" spans="16:33" x14ac:dyDescent="0.25">
      <c r="P2" s="44"/>
      <c r="Q2" s="44"/>
      <c r="R2" s="44" t="s">
        <v>184</v>
      </c>
      <c r="S2" s="44"/>
      <c r="T2" s="44"/>
      <c r="U2" s="44"/>
      <c r="V2" s="44"/>
      <c r="W2" s="44"/>
      <c r="X2" s="44"/>
      <c r="Y2" s="44"/>
      <c r="Z2" s="44"/>
      <c r="AA2" s="44"/>
      <c r="AB2" s="44"/>
      <c r="AC2" s="44"/>
    </row>
    <row r="3" spans="16:33" x14ac:dyDescent="0.25">
      <c r="P3" s="44"/>
      <c r="Q3" s="44"/>
      <c r="R3" s="47" t="s">
        <v>170</v>
      </c>
      <c r="S3" s="47" t="s">
        <v>171</v>
      </c>
      <c r="T3" s="47" t="s">
        <v>172</v>
      </c>
      <c r="U3" s="47" t="s">
        <v>173</v>
      </c>
      <c r="V3" s="47" t="s">
        <v>174</v>
      </c>
      <c r="W3" s="47" t="s">
        <v>175</v>
      </c>
      <c r="X3" s="47" t="s">
        <v>176</v>
      </c>
      <c r="Y3" s="47" t="s">
        <v>177</v>
      </c>
      <c r="Z3" s="47" t="s">
        <v>178</v>
      </c>
      <c r="AA3" s="47" t="s">
        <v>179</v>
      </c>
      <c r="AB3" s="47" t="s">
        <v>180</v>
      </c>
      <c r="AC3" s="47" t="s">
        <v>181</v>
      </c>
      <c r="AE3" s="167"/>
      <c r="AF3" s="167"/>
      <c r="AG3" s="167"/>
    </row>
    <row r="4" spans="16:33" x14ac:dyDescent="0.25">
      <c r="P4" s="44" t="s">
        <v>182</v>
      </c>
      <c r="Q4" s="44">
        <v>2015</v>
      </c>
      <c r="R4" s="45">
        <v>23.894335000000002</v>
      </c>
      <c r="S4" s="43">
        <v>26.725076999999999</v>
      </c>
      <c r="T4" s="43">
        <v>39.878123000000002</v>
      </c>
      <c r="U4" s="43">
        <v>37.982706499999999</v>
      </c>
      <c r="V4" s="43">
        <v>31.653510000000001</v>
      </c>
      <c r="W4" s="43">
        <v>26.765411</v>
      </c>
      <c r="X4" s="43">
        <v>33.034945800000003</v>
      </c>
      <c r="Y4" s="43">
        <v>30.179402499999998</v>
      </c>
      <c r="Z4" s="43">
        <v>29.328635999999999</v>
      </c>
      <c r="AA4" s="43">
        <v>35.747366999999997</v>
      </c>
      <c r="AB4" s="43">
        <v>40.313033500000003</v>
      </c>
      <c r="AC4" s="43">
        <v>29.540159500000001</v>
      </c>
      <c r="AE4" s="167"/>
      <c r="AF4" s="167"/>
      <c r="AG4" s="167"/>
    </row>
    <row r="5" spans="16:33" x14ac:dyDescent="0.25">
      <c r="P5" s="44" t="s">
        <v>182</v>
      </c>
      <c r="Q5" s="44">
        <v>2016</v>
      </c>
      <c r="R5" s="43">
        <v>28.032295999999999</v>
      </c>
      <c r="S5" s="43">
        <v>37.998857000000001</v>
      </c>
      <c r="T5" s="43">
        <v>45.001544000000003</v>
      </c>
      <c r="U5" s="43">
        <v>32.044817999999999</v>
      </c>
      <c r="V5" s="43">
        <v>42.035262000000003</v>
      </c>
      <c r="W5" s="43">
        <v>29.614543000000001</v>
      </c>
      <c r="X5" s="43">
        <v>28.539489</v>
      </c>
      <c r="Y5" s="43">
        <v>29.201229000000001</v>
      </c>
      <c r="Z5" s="43">
        <v>26.618327000000001</v>
      </c>
      <c r="AA5" s="43">
        <v>33.660097700000001</v>
      </c>
      <c r="AB5" s="43">
        <v>36.299787999999999</v>
      </c>
      <c r="AC5" s="43">
        <v>32.888350000000003</v>
      </c>
      <c r="AE5" s="166"/>
      <c r="AF5" s="166"/>
      <c r="AG5" s="166"/>
    </row>
    <row r="6" spans="16:33" x14ac:dyDescent="0.25">
      <c r="P6" s="44" t="s">
        <v>182</v>
      </c>
      <c r="Q6" s="44">
        <v>2017</v>
      </c>
      <c r="R6" s="43">
        <v>33.244962999999998</v>
      </c>
      <c r="S6" s="43">
        <v>41.224220000000003</v>
      </c>
      <c r="T6" s="43">
        <v>46.657173</v>
      </c>
      <c r="U6" s="43">
        <v>24.931757000000001</v>
      </c>
      <c r="V6" s="43">
        <v>28.070650000000001</v>
      </c>
      <c r="W6" s="43">
        <v>25.626065000000001</v>
      </c>
      <c r="X6" s="43">
        <v>25.743590000000001</v>
      </c>
      <c r="Y6" s="43">
        <v>27.354042499999998</v>
      </c>
      <c r="Z6" s="43">
        <v>28.498519999999999</v>
      </c>
      <c r="AA6" s="43">
        <v>34.343055</v>
      </c>
      <c r="AB6" s="43">
        <v>49.414802000000002</v>
      </c>
      <c r="AC6" s="43">
        <v>28.820663</v>
      </c>
    </row>
    <row r="7" spans="16:33" x14ac:dyDescent="0.25">
      <c r="P7" s="44" t="s">
        <v>182</v>
      </c>
      <c r="Q7" s="44">
        <v>2018</v>
      </c>
      <c r="R7" s="43">
        <v>24.190794</v>
      </c>
      <c r="S7" s="43">
        <v>36.898867000000003</v>
      </c>
      <c r="T7" s="43">
        <v>33.577927600000002</v>
      </c>
      <c r="U7" s="43">
        <v>23.543088000000001</v>
      </c>
      <c r="V7" s="43">
        <v>22.499950999999999</v>
      </c>
      <c r="W7" s="43">
        <v>21.173842</v>
      </c>
      <c r="X7" s="43">
        <v>23.6892</v>
      </c>
      <c r="Y7" s="43">
        <v>26.019528999999999</v>
      </c>
      <c r="Z7" s="43">
        <v>22.325277</v>
      </c>
      <c r="AA7" s="43">
        <v>35.875169999999997</v>
      </c>
      <c r="AB7" s="43">
        <v>23.42604</v>
      </c>
      <c r="AC7" s="43">
        <v>26.281891999999999</v>
      </c>
      <c r="AE7" s="165"/>
      <c r="AF7" s="243"/>
      <c r="AG7" s="223"/>
    </row>
    <row r="8" spans="16:33" x14ac:dyDescent="0.25">
      <c r="P8" s="44" t="s">
        <v>182</v>
      </c>
      <c r="Q8" s="44">
        <v>2019</v>
      </c>
      <c r="R8" s="43">
        <v>36.647542000000001</v>
      </c>
      <c r="S8" s="43">
        <v>28.267375999999999</v>
      </c>
      <c r="T8" s="43">
        <v>30.316281199999999</v>
      </c>
      <c r="U8" s="43">
        <v>34.967151000000001</v>
      </c>
      <c r="V8" s="43">
        <v>35.485151000000002</v>
      </c>
      <c r="W8" s="43">
        <v>22.843698</v>
      </c>
      <c r="X8" s="43">
        <v>25.213455</v>
      </c>
      <c r="Y8" s="43">
        <v>31.659251999999999</v>
      </c>
      <c r="Z8" s="43">
        <v>21.26023</v>
      </c>
      <c r="AA8" s="43">
        <v>22.857903</v>
      </c>
      <c r="AB8" s="43">
        <v>41.516021000000002</v>
      </c>
      <c r="AC8" s="43">
        <v>29.012821750000001</v>
      </c>
      <c r="AE8" s="165"/>
      <c r="AF8" s="243"/>
      <c r="AG8" s="223"/>
    </row>
    <row r="9" spans="16:33" s="31" customFormat="1" x14ac:dyDescent="0.25">
      <c r="P9" s="44" t="s">
        <v>182</v>
      </c>
      <c r="Q9" s="44">
        <v>2020</v>
      </c>
      <c r="R9" s="43">
        <v>32.460836</v>
      </c>
      <c r="S9" s="43">
        <v>29.799596999999999</v>
      </c>
      <c r="T9" s="43">
        <v>21.215472999999999</v>
      </c>
      <c r="U9" s="43">
        <v>24.236211999999998</v>
      </c>
      <c r="V9" s="43">
        <v>32.192160999999999</v>
      </c>
      <c r="W9" s="43">
        <v>34.304174000000003</v>
      </c>
      <c r="X9" s="43">
        <v>29.601849999999999</v>
      </c>
      <c r="Y9" s="43">
        <v>30.016207000000001</v>
      </c>
      <c r="Z9" s="43">
        <v>27.756694</v>
      </c>
      <c r="AA9" s="43">
        <v>29.623989999999999</v>
      </c>
      <c r="AB9" s="43">
        <v>29.477219000000002</v>
      </c>
      <c r="AC9" s="43">
        <v>18.951732</v>
      </c>
      <c r="AE9" s="293"/>
      <c r="AF9" s="293"/>
    </row>
    <row r="10" spans="16:33" x14ac:dyDescent="0.25">
      <c r="P10" s="44" t="s">
        <v>182</v>
      </c>
      <c r="Q10" s="44">
        <v>2021</v>
      </c>
      <c r="R10" s="43">
        <v>29.491007</v>
      </c>
      <c r="S10" s="43">
        <v>28.33947349</v>
      </c>
      <c r="T10" s="43">
        <v>29.439339</v>
      </c>
      <c r="U10" s="43">
        <v>26.130634000000001</v>
      </c>
      <c r="V10" s="43">
        <v>26.116364000000001</v>
      </c>
      <c r="W10" s="43">
        <v>29.719650999999999</v>
      </c>
      <c r="X10" s="43">
        <v>25.8474983077</v>
      </c>
      <c r="Y10" s="43">
        <v>30.644948420000002</v>
      </c>
      <c r="Z10" s="43">
        <v>30.785739</v>
      </c>
      <c r="AA10" s="43">
        <v>33.801979000000003</v>
      </c>
      <c r="AB10" s="43">
        <v>26.826113500000002</v>
      </c>
      <c r="AC10" s="43">
        <v>35.943184500000001</v>
      </c>
      <c r="AE10" s="293"/>
      <c r="AF10" s="293"/>
    </row>
    <row r="11" spans="16:33" x14ac:dyDescent="0.25">
      <c r="P11" s="44" t="s">
        <v>182</v>
      </c>
      <c r="Q11" s="44">
        <v>2022</v>
      </c>
      <c r="R11" s="43">
        <v>32.011490999999999</v>
      </c>
      <c r="S11" s="43">
        <v>27.487210000000001</v>
      </c>
      <c r="T11" s="43">
        <v>31.268823000000001</v>
      </c>
      <c r="U11" s="43">
        <v>26.601939000000002</v>
      </c>
      <c r="V11" s="43">
        <v>32</v>
      </c>
      <c r="W11" s="43">
        <v>31.1</v>
      </c>
      <c r="X11" s="43">
        <v>23.4</v>
      </c>
      <c r="Y11" s="43">
        <v>28.4</v>
      </c>
      <c r="Z11" s="43"/>
      <c r="AA11" s="43"/>
      <c r="AB11" s="43"/>
      <c r="AC11" s="43"/>
      <c r="AF11" s="242"/>
      <c r="AG11" s="242"/>
    </row>
    <row r="12" spans="16:33" x14ac:dyDescent="0.25">
      <c r="AE12" s="166"/>
      <c r="AF12" s="242"/>
      <c r="AG12" s="242"/>
    </row>
    <row r="13" spans="16:33" x14ac:dyDescent="0.25">
      <c r="P13" s="44" t="s">
        <v>94</v>
      </c>
      <c r="Q13" s="44">
        <v>2015</v>
      </c>
      <c r="R13" s="45">
        <v>21.5465217</v>
      </c>
      <c r="S13" s="43">
        <v>22.067759500000001</v>
      </c>
      <c r="T13" s="43">
        <v>28.161007190000003</v>
      </c>
      <c r="U13" s="43">
        <v>29.286913349999995</v>
      </c>
      <c r="V13" s="43">
        <v>24.466974109999999</v>
      </c>
      <c r="W13" s="43">
        <v>21.094378489999997</v>
      </c>
      <c r="X13" s="43">
        <v>27.917466600000001</v>
      </c>
      <c r="Y13" s="43">
        <v>23.069595080000003</v>
      </c>
      <c r="Z13" s="43">
        <v>22.003572920000007</v>
      </c>
      <c r="AA13" s="43">
        <v>25.992777389999993</v>
      </c>
      <c r="AB13" s="43">
        <v>26.419099550000002</v>
      </c>
      <c r="AC13" s="43">
        <v>20.448351939999998</v>
      </c>
      <c r="AE13" s="166"/>
    </row>
    <row r="14" spans="16:33" x14ac:dyDescent="0.25">
      <c r="P14" s="44" t="s">
        <v>94</v>
      </c>
      <c r="Q14" s="44">
        <v>2016</v>
      </c>
      <c r="R14" s="43">
        <v>21.243900270000008</v>
      </c>
      <c r="S14" s="43">
        <v>25.537283919999993</v>
      </c>
      <c r="T14" s="43">
        <v>29.751121620000013</v>
      </c>
      <c r="U14" s="43">
        <v>22.691551529999998</v>
      </c>
      <c r="V14" s="43">
        <v>30.456996499999999</v>
      </c>
      <c r="W14" s="43">
        <v>21.137137859999996</v>
      </c>
      <c r="X14" s="43">
        <v>22.691084210000003</v>
      </c>
      <c r="Y14" s="43">
        <v>22.478544449999994</v>
      </c>
      <c r="Z14" s="43">
        <v>21.967254009999994</v>
      </c>
      <c r="AA14" s="43">
        <v>29.17406991999999</v>
      </c>
      <c r="AB14" s="43">
        <v>30.322900480000012</v>
      </c>
      <c r="AC14" s="43">
        <v>25.775629440000014</v>
      </c>
    </row>
    <row r="15" spans="16:33" x14ac:dyDescent="0.25">
      <c r="P15" s="44" t="s">
        <v>94</v>
      </c>
      <c r="Q15" s="44">
        <v>2017</v>
      </c>
      <c r="R15" s="43">
        <v>27.08903862</v>
      </c>
      <c r="S15" s="43">
        <v>33.421187840000002</v>
      </c>
      <c r="T15" s="43">
        <v>37.631889610000002</v>
      </c>
      <c r="U15" s="43">
        <v>19.037563559999999</v>
      </c>
      <c r="V15" s="43">
        <v>23.61246186</v>
      </c>
      <c r="W15" s="43">
        <v>21.718983949999998</v>
      </c>
      <c r="X15" s="43">
        <v>23.037928380000004</v>
      </c>
      <c r="Y15" s="43">
        <v>23.61365163</v>
      </c>
      <c r="Z15" s="43">
        <v>23.795012529999997</v>
      </c>
      <c r="AA15" s="43">
        <v>32.063150279999995</v>
      </c>
      <c r="AB15" s="43">
        <v>46.476538609999984</v>
      </c>
      <c r="AC15" s="43">
        <v>28.631947100000001</v>
      </c>
    </row>
    <row r="16" spans="16:33" x14ac:dyDescent="0.25">
      <c r="P16" s="44" t="s">
        <v>94</v>
      </c>
      <c r="Q16" s="44">
        <v>2018</v>
      </c>
      <c r="R16" s="43">
        <v>23.199343199999998</v>
      </c>
      <c r="S16" s="43">
        <v>37.287744709999998</v>
      </c>
      <c r="T16" s="43">
        <v>34.509150090000006</v>
      </c>
      <c r="U16" s="43">
        <v>22.599449629999999</v>
      </c>
      <c r="V16" s="43">
        <v>23.385019660000001</v>
      </c>
      <c r="W16" s="43">
        <v>22.01277438</v>
      </c>
      <c r="X16" s="43">
        <v>24.736452030000002</v>
      </c>
      <c r="Y16" s="43">
        <v>25.59808649</v>
      </c>
      <c r="Z16" s="43">
        <v>26.536883809999999</v>
      </c>
      <c r="AA16" s="43">
        <v>38.558109869999996</v>
      </c>
      <c r="AB16" s="43">
        <v>24.321291989999999</v>
      </c>
      <c r="AC16" s="43">
        <v>25.081602329999999</v>
      </c>
    </row>
    <row r="17" spans="16:33" x14ac:dyDescent="0.25">
      <c r="P17" s="44" t="s">
        <v>185</v>
      </c>
      <c r="Q17" s="44">
        <v>2019</v>
      </c>
      <c r="R17" s="45">
        <v>38.327187719999991</v>
      </c>
      <c r="S17" s="45">
        <v>26.6031355</v>
      </c>
      <c r="T17" s="45">
        <v>31.976685090000004</v>
      </c>
      <c r="U17" s="45">
        <v>29.749902319999997</v>
      </c>
      <c r="V17" s="45">
        <v>39.303867290000007</v>
      </c>
      <c r="W17" s="46">
        <v>19.988906280000005</v>
      </c>
      <c r="X17" s="45">
        <v>22.277958459999994</v>
      </c>
      <c r="Y17" s="45">
        <v>27.316494359999993</v>
      </c>
      <c r="Z17" s="45">
        <v>19.081644840000003</v>
      </c>
      <c r="AA17" s="45">
        <v>20.346365410000008</v>
      </c>
      <c r="AB17" s="45">
        <v>36.333882450000004</v>
      </c>
      <c r="AC17" s="45">
        <v>24.749237379999993</v>
      </c>
    </row>
    <row r="18" spans="16:33" x14ac:dyDescent="0.25">
      <c r="P18" s="44" t="s">
        <v>185</v>
      </c>
      <c r="Q18" s="44">
        <v>2020</v>
      </c>
      <c r="R18" s="45">
        <v>28.110058459999998</v>
      </c>
      <c r="S18" s="45">
        <v>25.447776709999999</v>
      </c>
      <c r="T18" s="45">
        <v>18.193960500000003</v>
      </c>
      <c r="U18" s="45">
        <v>19.418683090000002</v>
      </c>
      <c r="V18" s="45">
        <v>26.132039529999997</v>
      </c>
      <c r="W18" s="46">
        <v>28.73873690000001</v>
      </c>
      <c r="X18" s="45">
        <v>25.325534799999996</v>
      </c>
      <c r="Y18" s="45">
        <v>24.323994080000002</v>
      </c>
      <c r="Z18" s="45">
        <v>21.711987110000003</v>
      </c>
      <c r="AA18" s="45">
        <v>23.921117810000002</v>
      </c>
      <c r="AB18" s="45">
        <v>22.806605150000003</v>
      </c>
      <c r="AC18" s="45">
        <v>27.969808269999998</v>
      </c>
      <c r="AE18" s="166"/>
      <c r="AF18" s="166"/>
      <c r="AG18" s="166"/>
    </row>
    <row r="19" spans="16:33" x14ac:dyDescent="0.25">
      <c r="P19" s="45" t="s">
        <v>94</v>
      </c>
      <c r="Q19" s="44">
        <v>2021</v>
      </c>
      <c r="R19" s="45">
        <v>24.06928783</v>
      </c>
      <c r="S19" s="45">
        <v>24.209827790000002</v>
      </c>
      <c r="T19" s="45">
        <v>26.39333293000001</v>
      </c>
      <c r="U19" s="45">
        <v>22.451203769999992</v>
      </c>
      <c r="V19" s="45">
        <v>24.298061509999986</v>
      </c>
      <c r="W19" s="45">
        <v>29.496481510000006</v>
      </c>
      <c r="X19" s="45">
        <v>21.608525190000005</v>
      </c>
      <c r="Y19" s="45">
        <v>25.697983490000002</v>
      </c>
      <c r="Z19" s="45">
        <v>27.428050939999988</v>
      </c>
      <c r="AA19" s="45">
        <v>28.973097999999997</v>
      </c>
      <c r="AB19" s="45">
        <v>23.483420579999997</v>
      </c>
      <c r="AC19" s="45">
        <v>30.651122740000005</v>
      </c>
    </row>
    <row r="20" spans="16:33" x14ac:dyDescent="0.25">
      <c r="P20" s="44" t="s">
        <v>185</v>
      </c>
      <c r="Q20" s="44">
        <v>2022</v>
      </c>
      <c r="R20" s="45">
        <v>29.742868880000007</v>
      </c>
      <c r="S20" s="45">
        <v>25.014467299999996</v>
      </c>
      <c r="T20" s="45">
        <v>30.787881570000003</v>
      </c>
      <c r="U20" s="45">
        <v>24.57001206</v>
      </c>
      <c r="V20" s="45">
        <v>27.2</v>
      </c>
      <c r="W20" s="45">
        <v>29.8</v>
      </c>
      <c r="X20" s="45">
        <v>22.9</v>
      </c>
      <c r="Y20" s="45">
        <v>27.6</v>
      </c>
      <c r="Z20" s="45"/>
      <c r="AA20" s="45"/>
      <c r="AB20" s="45"/>
      <c r="AC20" s="45"/>
    </row>
    <row r="22" spans="16:33" x14ac:dyDescent="0.25">
      <c r="P22" s="45"/>
      <c r="Q22" s="44"/>
      <c r="R22" s="44" t="s">
        <v>183</v>
      </c>
      <c r="S22" s="44"/>
      <c r="T22" s="44"/>
      <c r="U22" s="44"/>
      <c r="V22" s="44"/>
      <c r="W22" s="44"/>
      <c r="X22" s="44"/>
      <c r="Y22" s="44"/>
      <c r="Z22" s="44"/>
      <c r="AA22" s="44"/>
      <c r="AB22" s="44"/>
      <c r="AC22" s="44"/>
    </row>
    <row r="23" spans="16:33" x14ac:dyDescent="0.25">
      <c r="P23" s="44"/>
      <c r="Q23" s="44"/>
      <c r="R23" s="44" t="s">
        <v>170</v>
      </c>
      <c r="S23" s="44" t="s">
        <v>171</v>
      </c>
      <c r="T23" s="44" t="s">
        <v>172</v>
      </c>
      <c r="U23" s="44" t="s">
        <v>173</v>
      </c>
      <c r="V23" s="44" t="s">
        <v>174</v>
      </c>
      <c r="W23" s="44" t="s">
        <v>175</v>
      </c>
      <c r="X23" s="44" t="s">
        <v>176</v>
      </c>
      <c r="Y23" s="44" t="s">
        <v>177</v>
      </c>
      <c r="Z23" s="44" t="s">
        <v>178</v>
      </c>
      <c r="AA23" s="44" t="s">
        <v>179</v>
      </c>
      <c r="AB23" s="44" t="s">
        <v>180</v>
      </c>
      <c r="AC23" s="44" t="s">
        <v>181</v>
      </c>
    </row>
    <row r="24" spans="16:33" x14ac:dyDescent="0.25">
      <c r="P24" s="44"/>
      <c r="Q24" s="44">
        <v>2015</v>
      </c>
      <c r="R24" s="46">
        <f t="shared" ref="R24:AC24" si="0">R13/R4</f>
        <v>0.90174184383034717</v>
      </c>
      <c r="S24" s="46">
        <f t="shared" si="0"/>
        <v>0.82573230752525062</v>
      </c>
      <c r="T24" s="46">
        <f t="shared" si="0"/>
        <v>0.70617684764150013</v>
      </c>
      <c r="U24" s="46">
        <f t="shared" si="0"/>
        <v>0.77105914898402506</v>
      </c>
      <c r="V24" s="46">
        <f t="shared" si="0"/>
        <v>0.77296243323410263</v>
      </c>
      <c r="W24" s="46">
        <f t="shared" si="0"/>
        <v>0.78812085082496941</v>
      </c>
      <c r="X24" s="46">
        <f t="shared" si="0"/>
        <v>0.84508891793005447</v>
      </c>
      <c r="Y24" s="46">
        <f t="shared" si="0"/>
        <v>0.76441523585498439</v>
      </c>
      <c r="Z24" s="46">
        <f t="shared" si="0"/>
        <v>0.75024194510784636</v>
      </c>
      <c r="AA24" s="46">
        <f t="shared" si="0"/>
        <v>0.72712424917896734</v>
      </c>
      <c r="AB24" s="46">
        <f t="shared" si="0"/>
        <v>0.65534883525944532</v>
      </c>
      <c r="AC24" s="46">
        <f t="shared" si="0"/>
        <v>0.6922221235806123</v>
      </c>
    </row>
    <row r="25" spans="16:33" x14ac:dyDescent="0.25">
      <c r="P25" s="44"/>
      <c r="Q25" s="44">
        <v>2016</v>
      </c>
      <c r="R25" s="46">
        <f t="shared" ref="R25:AC25" si="1">R14/R5</f>
        <v>0.75783661352605614</v>
      </c>
      <c r="S25" s="46">
        <f t="shared" si="1"/>
        <v>0.67205400204537713</v>
      </c>
      <c r="T25" s="46">
        <f t="shared" si="1"/>
        <v>0.66111335246630676</v>
      </c>
      <c r="U25" s="46">
        <f t="shared" si="1"/>
        <v>0.70811922008731643</v>
      </c>
      <c r="V25" s="46">
        <f t="shared" si="1"/>
        <v>0.72455826491577469</v>
      </c>
      <c r="W25" s="46">
        <f t="shared" si="1"/>
        <v>0.71374182137472097</v>
      </c>
      <c r="X25" s="46">
        <f t="shared" si="1"/>
        <v>0.79507675172460179</v>
      </c>
      <c r="Y25" s="46">
        <f t="shared" si="1"/>
        <v>0.76978076676156315</v>
      </c>
      <c r="Z25" s="46">
        <f t="shared" si="1"/>
        <v>0.82526801966179142</v>
      </c>
      <c r="AA25" s="46">
        <f t="shared" si="1"/>
        <v>0.86672564589733758</v>
      </c>
      <c r="AB25" s="46">
        <f t="shared" si="1"/>
        <v>0.83534648962688196</v>
      </c>
      <c r="AC25" s="46">
        <f t="shared" si="1"/>
        <v>0.78373130424603277</v>
      </c>
    </row>
    <row r="26" spans="16:33" x14ac:dyDescent="0.25">
      <c r="P26" s="44"/>
      <c r="Q26" s="44">
        <v>2017</v>
      </c>
      <c r="R26" s="46">
        <f t="shared" ref="R26:AC26" si="2">R15/R6</f>
        <v>0.81483136618320195</v>
      </c>
      <c r="S26" s="46">
        <f t="shared" si="2"/>
        <v>0.81071728804086529</v>
      </c>
      <c r="T26" s="46">
        <f t="shared" si="2"/>
        <v>0.80656171795920861</v>
      </c>
      <c r="U26" s="46">
        <f t="shared" si="2"/>
        <v>0.76358692088969093</v>
      </c>
      <c r="V26" s="46">
        <f t="shared" si="2"/>
        <v>0.84117973256764622</v>
      </c>
      <c r="W26" s="46">
        <f t="shared" si="2"/>
        <v>0.84753488098933638</v>
      </c>
      <c r="X26" s="46">
        <f t="shared" si="2"/>
        <v>0.89489959947311171</v>
      </c>
      <c r="Y26" s="46">
        <f t="shared" si="2"/>
        <v>0.86326003295490972</v>
      </c>
      <c r="Z26" s="46">
        <f t="shared" si="2"/>
        <v>0.83495607947360062</v>
      </c>
      <c r="AA26" s="46">
        <f t="shared" si="2"/>
        <v>0.93361380576072794</v>
      </c>
      <c r="AB26" s="46">
        <f t="shared" si="2"/>
        <v>0.94053880070186224</v>
      </c>
      <c r="AC26" s="46">
        <f t="shared" si="2"/>
        <v>0.99345206250112994</v>
      </c>
    </row>
    <row r="27" spans="16:33" x14ac:dyDescent="0.25">
      <c r="P27" s="44"/>
      <c r="Q27" s="44">
        <v>2018</v>
      </c>
      <c r="R27" s="46">
        <f t="shared" ref="R27:AC27" si="3">R16/R7</f>
        <v>0.95901536758156836</v>
      </c>
      <c r="S27" s="46">
        <f t="shared" si="3"/>
        <v>1.010539014924225</v>
      </c>
      <c r="T27" s="46">
        <f t="shared" si="3"/>
        <v>1.0277331734433783</v>
      </c>
      <c r="U27" s="46">
        <f t="shared" si="3"/>
        <v>0.95991866614948718</v>
      </c>
      <c r="V27" s="46">
        <f t="shared" si="3"/>
        <v>1.0393364705549804</v>
      </c>
      <c r="W27" s="46">
        <f t="shared" si="3"/>
        <v>1.039621169365484</v>
      </c>
      <c r="X27" s="46">
        <f t="shared" si="3"/>
        <v>1.0442079947824325</v>
      </c>
      <c r="Y27" s="46">
        <f t="shared" si="3"/>
        <v>0.98380283862940032</v>
      </c>
      <c r="Z27" s="46">
        <f t="shared" si="3"/>
        <v>1.1886474604548019</v>
      </c>
      <c r="AA27" s="46">
        <f t="shared" si="3"/>
        <v>1.074785425964532</v>
      </c>
      <c r="AB27" s="46">
        <f t="shared" si="3"/>
        <v>1.0382161043864007</v>
      </c>
      <c r="AC27" s="46">
        <f t="shared" si="3"/>
        <v>0.95433016504291246</v>
      </c>
    </row>
    <row r="28" spans="16:33" x14ac:dyDescent="0.25">
      <c r="P28" s="44"/>
      <c r="Q28" s="44">
        <v>2019</v>
      </c>
      <c r="R28" s="46">
        <f t="shared" ref="R28:AC28" si="4">R17/R8</f>
        <v>1.0458324249959243</v>
      </c>
      <c r="S28" s="46">
        <f t="shared" si="4"/>
        <v>0.94112504464510616</v>
      </c>
      <c r="T28" s="46">
        <f t="shared" si="4"/>
        <v>1.0547693788379298</v>
      </c>
      <c r="U28" s="46">
        <f t="shared" si="4"/>
        <v>0.85079571738629767</v>
      </c>
      <c r="V28" s="46">
        <f t="shared" si="4"/>
        <v>1.1076144861268873</v>
      </c>
      <c r="W28" s="46">
        <f t="shared" si="4"/>
        <v>0.87502935295327422</v>
      </c>
      <c r="X28" s="46">
        <f t="shared" si="4"/>
        <v>0.8835742051218286</v>
      </c>
      <c r="Y28" s="46">
        <f t="shared" si="4"/>
        <v>0.862828166628826</v>
      </c>
      <c r="Z28" s="46">
        <f t="shared" si="4"/>
        <v>0.89752767679371304</v>
      </c>
      <c r="AA28" s="46">
        <f t="shared" si="4"/>
        <v>0.8901238845050663</v>
      </c>
      <c r="AB28" s="46">
        <f t="shared" si="4"/>
        <v>0.87517737911347526</v>
      </c>
      <c r="AC28" s="46">
        <f t="shared" si="4"/>
        <v>0.8530448225016235</v>
      </c>
    </row>
    <row r="29" spans="16:33" x14ac:dyDescent="0.25">
      <c r="P29" s="31"/>
      <c r="Q29" s="90">
        <v>2020</v>
      </c>
      <c r="R29" s="46">
        <f t="shared" ref="R29:AC29" si="5">R18/R9</f>
        <v>0.86596840759122773</v>
      </c>
      <c r="S29" s="46">
        <f t="shared" si="5"/>
        <v>0.85396378716128274</v>
      </c>
      <c r="T29" s="46">
        <f t="shared" si="5"/>
        <v>0.85757977208427094</v>
      </c>
      <c r="U29" s="46">
        <f t="shared" si="5"/>
        <v>0.80122599563001029</v>
      </c>
      <c r="V29" s="46">
        <f t="shared" si="5"/>
        <v>0.81175164133902034</v>
      </c>
      <c r="W29" s="46">
        <f t="shared" si="5"/>
        <v>0.83776210148654229</v>
      </c>
      <c r="X29" s="46">
        <f t="shared" si="5"/>
        <v>0.85553892070934745</v>
      </c>
      <c r="Y29" s="46">
        <f t="shared" si="5"/>
        <v>0.81036201809242592</v>
      </c>
      <c r="Z29" s="46">
        <f t="shared" si="5"/>
        <v>0.7822252574460058</v>
      </c>
      <c r="AA29" s="46">
        <f t="shared" si="5"/>
        <v>0.80749142198603241</v>
      </c>
      <c r="AB29" s="46">
        <f t="shared" si="5"/>
        <v>0.77370274142889806</v>
      </c>
      <c r="AC29" s="46">
        <f t="shared" si="5"/>
        <v>1.4758444383869505</v>
      </c>
    </row>
    <row r="30" spans="16:33" x14ac:dyDescent="0.25">
      <c r="P30" s="31"/>
      <c r="Q30" s="90">
        <v>2021</v>
      </c>
      <c r="R30" s="46">
        <f t="shared" ref="R30:AC30" si="6">R19/R10</f>
        <v>0.81615686537933418</v>
      </c>
      <c r="S30" s="46">
        <f t="shared" si="6"/>
        <v>0.85427937814521493</v>
      </c>
      <c r="T30" s="46">
        <f t="shared" si="6"/>
        <v>0.89653279681313536</v>
      </c>
      <c r="U30" s="46">
        <f t="shared" si="6"/>
        <v>0.85919093160923654</v>
      </c>
      <c r="V30" s="46">
        <f t="shared" si="6"/>
        <v>0.93037688975387178</v>
      </c>
      <c r="W30" s="46">
        <f t="shared" si="6"/>
        <v>0.99249084418925404</v>
      </c>
      <c r="X30" s="46">
        <f t="shared" si="6"/>
        <v>0.83600064241276306</v>
      </c>
      <c r="Y30" s="46">
        <f t="shared" si="6"/>
        <v>0.83857160200761072</v>
      </c>
      <c r="Z30" s="46">
        <f t="shared" si="6"/>
        <v>0.89093365405326108</v>
      </c>
      <c r="AA30" s="46">
        <f t="shared" si="6"/>
        <v>0.85714206259935233</v>
      </c>
      <c r="AB30" s="46">
        <f t="shared" si="6"/>
        <v>0.87539406630781591</v>
      </c>
      <c r="AC30" s="246">
        <f t="shared" si="6"/>
        <v>0.85276591838989679</v>
      </c>
    </row>
    <row r="31" spans="16:33" x14ac:dyDescent="0.25">
      <c r="Q31" s="90">
        <v>2022</v>
      </c>
      <c r="R31" s="246">
        <f>R20/R11</f>
        <v>0.92913100736232523</v>
      </c>
      <c r="S31" s="246">
        <f>S20/S11</f>
        <v>0.91004024417174367</v>
      </c>
      <c r="T31" s="246">
        <f>T20/T11</f>
        <v>0.98461913868648021</v>
      </c>
      <c r="U31" s="246">
        <f>U20/U11</f>
        <v>0.92361733706704607</v>
      </c>
      <c r="V31" s="246">
        <f>V20/V11</f>
        <v>0.85</v>
      </c>
      <c r="W31" s="246">
        <f t="shared" ref="W31:Y31" si="7">W20/W11</f>
        <v>0.95819935691318325</v>
      </c>
      <c r="X31" s="246">
        <f t="shared" si="7"/>
        <v>0.9786324786324786</v>
      </c>
      <c r="Y31" s="246">
        <f t="shared" si="7"/>
        <v>0.97183098591549311</v>
      </c>
    </row>
  </sheetData>
  <phoneticPr fontId="59" type="noConversion"/>
  <pageMargins left="1" right="1" top="1" bottom="1" header="0.5" footer="0.5"/>
  <pageSetup scale="9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L2:AH26"/>
  <sheetViews>
    <sheetView zoomScaleNormal="100" zoomScaleSheetLayoutView="100" workbookViewId="0"/>
  </sheetViews>
  <sheetFormatPr baseColWidth="10" defaultColWidth="11.42578125" defaultRowHeight="15" x14ac:dyDescent="0.25"/>
  <cols>
    <col min="15" max="15" width="5.7109375" customWidth="1"/>
    <col min="16" max="16" width="5" bestFit="1" customWidth="1"/>
    <col min="17" max="17" width="5.42578125" bestFit="1" customWidth="1"/>
    <col min="18" max="18" width="6.28515625" customWidth="1"/>
    <col min="19" max="29" width="6.42578125" bestFit="1" customWidth="1"/>
  </cols>
  <sheetData>
    <row r="2" spans="12:34" x14ac:dyDescent="0.25">
      <c r="P2" s="56"/>
      <c r="Q2" s="56"/>
      <c r="R2" s="57" t="s">
        <v>186</v>
      </c>
      <c r="S2" s="56"/>
      <c r="T2" s="56"/>
      <c r="U2" s="56"/>
      <c r="V2" s="56"/>
      <c r="W2" s="56"/>
      <c r="X2" s="56"/>
      <c r="Y2" s="56"/>
      <c r="Z2" s="56"/>
      <c r="AA2" s="56"/>
      <c r="AB2" s="56"/>
      <c r="AC2" s="56"/>
    </row>
    <row r="3" spans="12:34" x14ac:dyDescent="0.25">
      <c r="P3" s="56"/>
      <c r="Q3" s="56"/>
      <c r="R3" s="55" t="s">
        <v>170</v>
      </c>
      <c r="S3" s="55" t="s">
        <v>171</v>
      </c>
      <c r="T3" s="55" t="s">
        <v>172</v>
      </c>
      <c r="U3" s="55" t="s">
        <v>173</v>
      </c>
      <c r="V3" s="55" t="s">
        <v>174</v>
      </c>
      <c r="W3" s="55" t="s">
        <v>175</v>
      </c>
      <c r="X3" s="55" t="s">
        <v>176</v>
      </c>
      <c r="Y3" s="55" t="s">
        <v>177</v>
      </c>
      <c r="Z3" s="55" t="s">
        <v>178</v>
      </c>
      <c r="AA3" s="55" t="s">
        <v>179</v>
      </c>
      <c r="AB3" s="55" t="s">
        <v>180</v>
      </c>
      <c r="AC3" s="55" t="s">
        <v>181</v>
      </c>
      <c r="AE3" s="167"/>
      <c r="AF3" s="167"/>
      <c r="AG3" s="167"/>
      <c r="AH3" s="167"/>
    </row>
    <row r="4" spans="12:34" x14ac:dyDescent="0.25">
      <c r="P4" s="56" t="s">
        <v>182</v>
      </c>
      <c r="Q4" s="56">
        <v>2017</v>
      </c>
      <c r="R4" s="49">
        <v>1238.7</v>
      </c>
      <c r="S4" s="49">
        <v>1424.808</v>
      </c>
      <c r="T4" s="49">
        <v>1512.1959999999999</v>
      </c>
      <c r="U4" s="49">
        <v>1721.3050000000001</v>
      </c>
      <c r="V4" s="49">
        <v>1891.152</v>
      </c>
      <c r="W4" s="49">
        <v>1988.8789999999999</v>
      </c>
      <c r="X4" s="49">
        <v>1803.489</v>
      </c>
      <c r="Y4" s="49">
        <v>1732.4280000000001</v>
      </c>
      <c r="Z4" s="49">
        <v>1852.902</v>
      </c>
      <c r="AA4" s="49">
        <v>1821.741</v>
      </c>
      <c r="AB4" s="49">
        <v>1527.15</v>
      </c>
      <c r="AC4" s="49">
        <v>1109.3230000000001</v>
      </c>
      <c r="AE4" s="167"/>
      <c r="AF4" s="167"/>
      <c r="AG4" s="167"/>
      <c r="AH4" s="167"/>
    </row>
    <row r="5" spans="12:34" x14ac:dyDescent="0.25">
      <c r="P5" s="56" t="s">
        <v>182</v>
      </c>
      <c r="Q5" s="56">
        <v>2018</v>
      </c>
      <c r="R5" s="49">
        <v>1809.184</v>
      </c>
      <c r="S5" s="49">
        <v>1339.578</v>
      </c>
      <c r="T5" s="49">
        <v>1741.86</v>
      </c>
      <c r="U5" s="49">
        <v>1727.09</v>
      </c>
      <c r="V5" s="49">
        <v>1834.2228</v>
      </c>
      <c r="W5" s="49">
        <v>1822.5585000000001</v>
      </c>
      <c r="X5" s="49">
        <v>1617.366</v>
      </c>
      <c r="Y5" s="49">
        <v>2121.0632000000001</v>
      </c>
      <c r="Z5" s="49">
        <v>1342.2049999999999</v>
      </c>
      <c r="AA5" s="49">
        <v>2073.6241999999997</v>
      </c>
      <c r="AB5" s="49">
        <v>1528.8510000000001</v>
      </c>
      <c r="AC5" s="49">
        <v>1189.4880000000001</v>
      </c>
      <c r="AE5" s="109"/>
    </row>
    <row r="6" spans="12:34" x14ac:dyDescent="0.25">
      <c r="P6" s="56" t="s">
        <v>182</v>
      </c>
      <c r="Q6" s="56">
        <v>2019</v>
      </c>
      <c r="R6" s="49">
        <v>1294.586</v>
      </c>
      <c r="S6" s="49">
        <v>1395.3050000000001</v>
      </c>
      <c r="T6" s="49">
        <v>1648.8889999999999</v>
      </c>
      <c r="U6" s="49">
        <v>1458.0940000000001</v>
      </c>
      <c r="V6" s="49">
        <v>1797.2159999999999</v>
      </c>
      <c r="W6" s="49">
        <v>1500.4818596</v>
      </c>
      <c r="X6" s="49">
        <v>1768.5429999999999</v>
      </c>
      <c r="Y6" s="49">
        <v>1249.499</v>
      </c>
      <c r="Z6" s="49">
        <v>1548.0119999999999</v>
      </c>
      <c r="AA6" s="49">
        <v>1911.193</v>
      </c>
      <c r="AB6" s="49">
        <v>1484.587</v>
      </c>
      <c r="AC6" s="49">
        <v>951.08299999999997</v>
      </c>
      <c r="AE6" s="165"/>
      <c r="AF6" s="243"/>
      <c r="AG6" s="165"/>
    </row>
    <row r="7" spans="12:34" x14ac:dyDescent="0.25">
      <c r="P7" s="56" t="s">
        <v>182</v>
      </c>
      <c r="Q7" s="56">
        <v>2020</v>
      </c>
      <c r="R7" s="49">
        <v>1469.5150000000001</v>
      </c>
      <c r="S7" s="49">
        <v>1442.336</v>
      </c>
      <c r="T7" s="49">
        <v>918.68600000000004</v>
      </c>
      <c r="U7" s="49">
        <v>2056.221</v>
      </c>
      <c r="V7" s="49">
        <v>2181.357</v>
      </c>
      <c r="W7" s="49">
        <v>2920.2489999999998</v>
      </c>
      <c r="X7" s="49">
        <v>2406.8130000000001</v>
      </c>
      <c r="Y7" s="49">
        <v>2809.37</v>
      </c>
      <c r="Z7" s="49">
        <v>2578.8049999999998</v>
      </c>
      <c r="AA7" s="49">
        <v>1200.1225767000001</v>
      </c>
      <c r="AB7" s="49">
        <v>1481.2270000000001</v>
      </c>
      <c r="AC7" s="49">
        <v>919.4325</v>
      </c>
      <c r="AE7" s="165"/>
      <c r="AF7" s="165"/>
      <c r="AG7" s="165"/>
    </row>
    <row r="8" spans="12:34" x14ac:dyDescent="0.25">
      <c r="P8" s="56" t="s">
        <v>187</v>
      </c>
      <c r="Q8" s="56">
        <v>2021</v>
      </c>
      <c r="R8" s="49">
        <v>1610.3820000000001</v>
      </c>
      <c r="S8" s="49">
        <v>2163.2460000000001</v>
      </c>
      <c r="T8" s="49">
        <v>1795.7145</v>
      </c>
      <c r="U8" s="49">
        <v>1575.212</v>
      </c>
      <c r="V8" s="49">
        <v>2030.2070000000001</v>
      </c>
      <c r="W8" s="49">
        <v>1928.36</v>
      </c>
      <c r="X8" s="49">
        <v>2124.8270000000002</v>
      </c>
      <c r="Y8" s="49">
        <v>1445.2090000000001</v>
      </c>
      <c r="Z8" s="49">
        <v>1010.357</v>
      </c>
      <c r="AA8" s="49">
        <v>1514.943</v>
      </c>
      <c r="AB8" s="49">
        <v>1838.2719999999999</v>
      </c>
      <c r="AC8" s="49">
        <v>1977.452</v>
      </c>
      <c r="AE8" s="96"/>
      <c r="AF8" s="96"/>
      <c r="AG8" s="96"/>
      <c r="AH8" s="96"/>
    </row>
    <row r="9" spans="12:34" x14ac:dyDescent="0.25">
      <c r="P9" s="56" t="s">
        <v>182</v>
      </c>
      <c r="Q9" s="56">
        <v>2022</v>
      </c>
      <c r="R9" s="49">
        <v>1807.2080000000001</v>
      </c>
      <c r="S9" s="49">
        <v>1171.2950000000001</v>
      </c>
      <c r="T9" s="49">
        <v>1686.739</v>
      </c>
      <c r="U9" s="49">
        <v>1354.4880000000001</v>
      </c>
      <c r="V9" s="49">
        <v>1501.6</v>
      </c>
      <c r="W9" s="49">
        <v>2369.5</v>
      </c>
      <c r="X9" s="49">
        <v>1278.7</v>
      </c>
      <c r="Y9" s="49">
        <v>1384.5</v>
      </c>
      <c r="Z9" s="49"/>
      <c r="AA9" s="49"/>
      <c r="AB9" s="49"/>
      <c r="AC9" s="49"/>
      <c r="AE9" s="96"/>
      <c r="AF9" s="96"/>
      <c r="AG9" s="96"/>
    </row>
    <row r="10" spans="12:34" x14ac:dyDescent="0.25">
      <c r="L10" s="243"/>
    </row>
    <row r="11" spans="12:34" x14ac:dyDescent="0.25">
      <c r="L11" s="243"/>
      <c r="P11" s="56" t="s">
        <v>94</v>
      </c>
      <c r="Q11" s="56">
        <v>2017</v>
      </c>
      <c r="R11" s="49">
        <v>2163.1970000000001</v>
      </c>
      <c r="S11" s="49">
        <v>2783.4360000000001</v>
      </c>
      <c r="T11" s="49">
        <v>2749.009</v>
      </c>
      <c r="U11" s="49">
        <v>3008.9679999999998</v>
      </c>
      <c r="V11" s="49">
        <v>3447.8389999999999</v>
      </c>
      <c r="W11" s="49">
        <v>3777.386</v>
      </c>
      <c r="X11" s="49">
        <v>3396.752</v>
      </c>
      <c r="Y11" s="49">
        <v>3340.6280000000002</v>
      </c>
      <c r="Z11" s="49">
        <v>3534.6909999999998</v>
      </c>
      <c r="AA11" s="49">
        <v>3517.0039999999999</v>
      </c>
      <c r="AB11" s="49">
        <v>2812.0680000000002</v>
      </c>
      <c r="AC11" s="49">
        <v>2338.4270000000001</v>
      </c>
    </row>
    <row r="12" spans="12:34" x14ac:dyDescent="0.25">
      <c r="L12" s="109"/>
      <c r="P12" s="56" t="s">
        <v>94</v>
      </c>
      <c r="Q12" s="56">
        <v>2018</v>
      </c>
      <c r="R12" s="49">
        <v>3509.2413099999999</v>
      </c>
      <c r="S12" s="49">
        <v>2866.64129</v>
      </c>
      <c r="T12" s="49">
        <v>3487.93588</v>
      </c>
      <c r="U12" s="49">
        <v>3512.6211000000003</v>
      </c>
      <c r="V12" s="49">
        <v>3772.58853</v>
      </c>
      <c r="W12" s="49">
        <v>3458.9167499999999</v>
      </c>
      <c r="X12" s="49">
        <v>3221.5904300000002</v>
      </c>
      <c r="Y12" s="49">
        <v>4232.6692499999999</v>
      </c>
      <c r="Z12" s="49">
        <v>2610.4208100000001</v>
      </c>
      <c r="AA12" s="49">
        <v>3988.3429999999998</v>
      </c>
      <c r="AB12" s="49">
        <v>2910.2931699999999</v>
      </c>
      <c r="AC12" s="49">
        <v>2148.7098500000002</v>
      </c>
    </row>
    <row r="13" spans="12:34" x14ac:dyDescent="0.25">
      <c r="L13" s="109"/>
      <c r="P13" s="56" t="s">
        <v>94</v>
      </c>
      <c r="Q13" s="56">
        <v>2019</v>
      </c>
      <c r="R13" s="48">
        <v>2414.79954</v>
      </c>
      <c r="S13" s="48">
        <v>2591.3246099999997</v>
      </c>
      <c r="T13" s="48">
        <v>3015.9723899999999</v>
      </c>
      <c r="U13" s="48">
        <v>2767.1150200000002</v>
      </c>
      <c r="V13" s="48">
        <v>3464.5224800000001</v>
      </c>
      <c r="W13" s="48">
        <v>2836.8172999999992</v>
      </c>
      <c r="X13" s="48">
        <v>3524.2680599999999</v>
      </c>
      <c r="Y13" s="48">
        <v>2366.28917</v>
      </c>
      <c r="Z13" s="48">
        <v>2823.4865299999997</v>
      </c>
      <c r="AA13" s="48">
        <v>3546.5239799999999</v>
      </c>
      <c r="AB13" s="48">
        <v>2683.1303499999999</v>
      </c>
      <c r="AC13" s="48">
        <v>1785.4700399999999</v>
      </c>
    </row>
    <row r="14" spans="12:34" x14ac:dyDescent="0.25">
      <c r="P14" s="56" t="s">
        <v>94</v>
      </c>
      <c r="Q14" s="56">
        <v>2020</v>
      </c>
      <c r="R14" s="48">
        <v>2785.4186499999996</v>
      </c>
      <c r="S14" s="48">
        <v>2490.6086800000003</v>
      </c>
      <c r="T14" s="48">
        <v>1677.3890299999998</v>
      </c>
      <c r="U14" s="48">
        <v>3630.0559300000004</v>
      </c>
      <c r="V14" s="48">
        <v>3635.0844700000002</v>
      </c>
      <c r="W14" s="48">
        <v>5040.3669800000007</v>
      </c>
      <c r="X14" s="48">
        <v>4451.0910500000009</v>
      </c>
      <c r="Y14" s="48">
        <v>5439.098140000001</v>
      </c>
      <c r="Z14" s="48">
        <v>5505.5791900000013</v>
      </c>
      <c r="AA14" s="48">
        <v>2212.5166599999998</v>
      </c>
      <c r="AB14" s="48">
        <v>2853.6835999999998</v>
      </c>
      <c r="AC14" s="48">
        <v>1767.6853799999999</v>
      </c>
      <c r="AE14" s="96"/>
      <c r="AF14" s="96"/>
      <c r="AG14" s="96"/>
      <c r="AH14" s="96"/>
    </row>
    <row r="15" spans="12:34" x14ac:dyDescent="0.25">
      <c r="P15" s="56" t="s">
        <v>94</v>
      </c>
      <c r="Q15" s="56">
        <v>2021</v>
      </c>
      <c r="R15" s="48">
        <v>3117.5292100000001</v>
      </c>
      <c r="S15" s="48">
        <v>3988.6311399999995</v>
      </c>
      <c r="T15" s="48">
        <v>3376.3835299999992</v>
      </c>
      <c r="U15" s="48">
        <v>3021.5246699999993</v>
      </c>
      <c r="V15" s="48">
        <v>3814.7966800000008</v>
      </c>
      <c r="W15" s="48">
        <v>3629.8534799999993</v>
      </c>
      <c r="X15" s="48">
        <v>4041.1528199999998</v>
      </c>
      <c r="Y15" s="48">
        <v>3225.2134000000001</v>
      </c>
      <c r="Z15" s="48">
        <v>1912.7930599999997</v>
      </c>
      <c r="AA15" s="48">
        <v>3133.9940800000004</v>
      </c>
      <c r="AB15" s="48">
        <v>3317.4372599999997</v>
      </c>
      <c r="AC15" s="48">
        <v>3691.6154900000006</v>
      </c>
    </row>
    <row r="16" spans="12:34" x14ac:dyDescent="0.25">
      <c r="P16" s="56" t="s">
        <v>94</v>
      </c>
      <c r="Q16" s="56">
        <v>2022</v>
      </c>
      <c r="R16" s="48">
        <v>3542.5489700000003</v>
      </c>
      <c r="S16" s="48">
        <v>2111.0532599999997</v>
      </c>
      <c r="T16" s="48">
        <v>2992.6367000000005</v>
      </c>
      <c r="U16" s="48">
        <v>2470.3571300000003</v>
      </c>
      <c r="V16" s="48">
        <v>2736.8</v>
      </c>
      <c r="W16" s="48">
        <v>4328</v>
      </c>
      <c r="X16" s="48">
        <v>2496.6</v>
      </c>
      <c r="Y16" s="48">
        <v>2620.1999999999998</v>
      </c>
      <c r="Z16" s="48"/>
      <c r="AA16" s="48"/>
      <c r="AB16" s="48"/>
      <c r="AC16" s="48"/>
    </row>
    <row r="17" spans="16:29" x14ac:dyDescent="0.25">
      <c r="P17" s="52"/>
      <c r="Q17" s="31"/>
      <c r="R17" s="31"/>
      <c r="S17" s="31"/>
      <c r="T17" s="31"/>
      <c r="U17" s="31"/>
      <c r="V17" s="31"/>
      <c r="W17" s="31"/>
      <c r="X17" s="31"/>
      <c r="Y17" s="31"/>
      <c r="Z17" s="31"/>
      <c r="AA17" s="31"/>
      <c r="AB17" s="31"/>
      <c r="AC17" s="31"/>
    </row>
    <row r="18" spans="16:29" x14ac:dyDescent="0.25">
      <c r="P18" s="52"/>
      <c r="Q18" s="56"/>
      <c r="R18" s="56" t="s">
        <v>183</v>
      </c>
      <c r="S18" s="56"/>
      <c r="T18" s="56"/>
      <c r="U18" s="56"/>
      <c r="V18" s="56"/>
      <c r="W18" s="51"/>
      <c r="X18" s="56"/>
      <c r="Y18" s="56"/>
      <c r="Z18" s="56"/>
      <c r="AA18" s="56"/>
      <c r="AB18" s="56"/>
      <c r="AC18" s="56"/>
    </row>
    <row r="19" spans="16:29" x14ac:dyDescent="0.25">
      <c r="P19" s="56"/>
      <c r="Q19" s="56"/>
      <c r="R19" s="57" t="s">
        <v>186</v>
      </c>
      <c r="S19" s="56"/>
      <c r="T19" s="56"/>
      <c r="U19" s="56"/>
      <c r="V19" s="56"/>
      <c r="W19" s="56"/>
      <c r="X19" s="56"/>
      <c r="Y19" s="56"/>
      <c r="Z19" s="56"/>
      <c r="AA19" s="56"/>
      <c r="AB19" s="56"/>
      <c r="AC19" s="56"/>
    </row>
    <row r="20" spans="16:29" x14ac:dyDescent="0.25">
      <c r="P20" s="56"/>
      <c r="Q20" s="56"/>
      <c r="R20" s="56" t="s">
        <v>170</v>
      </c>
      <c r="S20" s="56" t="s">
        <v>171</v>
      </c>
      <c r="T20" s="56" t="s">
        <v>172</v>
      </c>
      <c r="U20" s="56" t="s">
        <v>173</v>
      </c>
      <c r="V20" s="56" t="s">
        <v>174</v>
      </c>
      <c r="W20" s="56" t="s">
        <v>175</v>
      </c>
      <c r="X20" s="56" t="s">
        <v>176</v>
      </c>
      <c r="Y20" s="56" t="s">
        <v>177</v>
      </c>
      <c r="Z20" s="56" t="s">
        <v>178</v>
      </c>
      <c r="AA20" s="56" t="s">
        <v>179</v>
      </c>
      <c r="AB20" s="56" t="s">
        <v>180</v>
      </c>
      <c r="AC20" s="56" t="s">
        <v>181</v>
      </c>
    </row>
    <row r="21" spans="16:29" x14ac:dyDescent="0.25">
      <c r="P21" s="56"/>
      <c r="Q21" s="56">
        <v>2017</v>
      </c>
      <c r="R21" s="91">
        <f t="shared" ref="R21:AC21" si="0">R11/R4</f>
        <v>1.7463445547751675</v>
      </c>
      <c r="S21" s="91">
        <f t="shared" si="0"/>
        <v>1.9535516364310139</v>
      </c>
      <c r="T21" s="91">
        <f t="shared" si="0"/>
        <v>1.8178919928369075</v>
      </c>
      <c r="U21" s="91">
        <f t="shared" si="0"/>
        <v>1.7480736998962993</v>
      </c>
      <c r="V21" s="91">
        <f t="shared" si="0"/>
        <v>1.823142190580133</v>
      </c>
      <c r="W21" s="91">
        <f t="shared" si="0"/>
        <v>1.8992538007591211</v>
      </c>
      <c r="X21" s="91">
        <f t="shared" si="0"/>
        <v>1.883433722079813</v>
      </c>
      <c r="Y21" s="91">
        <f t="shared" si="0"/>
        <v>1.9282925466455172</v>
      </c>
      <c r="Z21" s="91">
        <f t="shared" si="0"/>
        <v>1.9076513490729676</v>
      </c>
      <c r="AA21" s="91">
        <f t="shared" si="0"/>
        <v>1.930573006810518</v>
      </c>
      <c r="AB21" s="91">
        <f t="shared" si="0"/>
        <v>1.8413829682742364</v>
      </c>
      <c r="AC21" s="91">
        <f t="shared" si="0"/>
        <v>2.1079766668499618</v>
      </c>
    </row>
    <row r="22" spans="16:29" x14ac:dyDescent="0.25">
      <c r="P22" s="56"/>
      <c r="Q22" s="56">
        <v>2018</v>
      </c>
      <c r="R22" s="91">
        <f t="shared" ref="R22:AC22" si="1">R12/R5</f>
        <v>1.9396818178803261</v>
      </c>
      <c r="S22" s="91">
        <f t="shared" si="1"/>
        <v>2.1399584719964051</v>
      </c>
      <c r="T22" s="91">
        <f t="shared" si="1"/>
        <v>2.0024203322884735</v>
      </c>
      <c r="U22" s="91">
        <f t="shared" si="1"/>
        <v>2.0338379007463425</v>
      </c>
      <c r="V22" s="91">
        <f t="shared" si="1"/>
        <v>2.0567776880758433</v>
      </c>
      <c r="W22" s="91">
        <f t="shared" si="1"/>
        <v>1.8978357896330897</v>
      </c>
      <c r="X22" s="91">
        <f t="shared" si="1"/>
        <v>1.9918747086311943</v>
      </c>
      <c r="Y22" s="91">
        <f t="shared" si="1"/>
        <v>1.9955413162606375</v>
      </c>
      <c r="Z22" s="91">
        <f t="shared" si="1"/>
        <v>1.9448748961596778</v>
      </c>
      <c r="AA22" s="91">
        <f t="shared" si="1"/>
        <v>1.9233682747336767</v>
      </c>
      <c r="AB22" s="91">
        <f t="shared" si="1"/>
        <v>1.9035819514131853</v>
      </c>
      <c r="AC22" s="91">
        <f t="shared" si="1"/>
        <v>1.8064157435804313</v>
      </c>
    </row>
    <row r="23" spans="16:29" x14ac:dyDescent="0.25">
      <c r="P23" s="31"/>
      <c r="Q23" s="56">
        <v>2019</v>
      </c>
      <c r="R23" s="91">
        <f t="shared" ref="R23:AC23" si="2">R13/R6</f>
        <v>1.865306391386899</v>
      </c>
      <c r="S23" s="91">
        <f t="shared" si="2"/>
        <v>1.8571743167264501</v>
      </c>
      <c r="T23" s="91">
        <f t="shared" si="2"/>
        <v>1.8290936442659269</v>
      </c>
      <c r="U23" s="91">
        <f t="shared" si="2"/>
        <v>1.8977617492425043</v>
      </c>
      <c r="V23" s="91">
        <f t="shared" si="2"/>
        <v>1.9277162455709276</v>
      </c>
      <c r="W23" s="91">
        <f t="shared" si="2"/>
        <v>1.8906041961455242</v>
      </c>
      <c r="X23" s="91">
        <f t="shared" si="2"/>
        <v>1.9927522599111247</v>
      </c>
      <c r="Y23" s="91">
        <f t="shared" si="2"/>
        <v>1.8937903671791654</v>
      </c>
      <c r="Z23" s="91">
        <f t="shared" si="2"/>
        <v>1.8239435676209228</v>
      </c>
      <c r="AA23" s="91">
        <f t="shared" si="2"/>
        <v>1.8556597789966791</v>
      </c>
      <c r="AB23" s="91">
        <f t="shared" si="2"/>
        <v>1.8073244276017504</v>
      </c>
      <c r="AC23" s="91">
        <f t="shared" si="2"/>
        <v>1.8773020230621302</v>
      </c>
    </row>
    <row r="24" spans="16:29" x14ac:dyDescent="0.25">
      <c r="P24" s="31"/>
      <c r="Q24" s="92">
        <v>2020</v>
      </c>
      <c r="R24" s="91">
        <f t="shared" ref="R24:AC24" si="3">R14/R7</f>
        <v>1.8954679945424167</v>
      </c>
      <c r="S24" s="91">
        <f t="shared" si="3"/>
        <v>1.7267881270383603</v>
      </c>
      <c r="T24" s="91">
        <f t="shared" si="3"/>
        <v>1.8258567453950532</v>
      </c>
      <c r="U24" s="91">
        <f t="shared" si="3"/>
        <v>1.7654016421386614</v>
      </c>
      <c r="V24" s="91">
        <f t="shared" si="3"/>
        <v>1.6664326242792904</v>
      </c>
      <c r="W24" s="91">
        <f t="shared" si="3"/>
        <v>1.7260058919633228</v>
      </c>
      <c r="X24" s="91">
        <f t="shared" si="3"/>
        <v>1.849371367862813</v>
      </c>
      <c r="Y24" s="91">
        <f t="shared" si="3"/>
        <v>1.9360561762957536</v>
      </c>
      <c r="Z24" s="91">
        <f t="shared" si="3"/>
        <v>2.1349342776983917</v>
      </c>
      <c r="AA24" s="91">
        <f t="shared" si="3"/>
        <v>1.8435755671589806</v>
      </c>
      <c r="AB24" s="91">
        <f t="shared" si="3"/>
        <v>1.9265673661093132</v>
      </c>
      <c r="AC24" s="91">
        <f t="shared" si="3"/>
        <v>1.9225830933755332</v>
      </c>
    </row>
    <row r="25" spans="16:29" x14ac:dyDescent="0.25">
      <c r="P25" s="31"/>
      <c r="Q25" s="92">
        <v>2021</v>
      </c>
      <c r="R25" s="91">
        <f t="shared" ref="R25:AC25" si="4">R15/R8</f>
        <v>1.9358942226130198</v>
      </c>
      <c r="S25" s="91">
        <f t="shared" si="4"/>
        <v>1.8438176425612247</v>
      </c>
      <c r="T25" s="91">
        <f t="shared" si="4"/>
        <v>1.8802451781728104</v>
      </c>
      <c r="U25" s="91">
        <f t="shared" si="4"/>
        <v>1.9181701701104354</v>
      </c>
      <c r="V25" s="91">
        <f t="shared" si="4"/>
        <v>1.8790185828341646</v>
      </c>
      <c r="W25" s="91">
        <f t="shared" si="4"/>
        <v>1.882352610508411</v>
      </c>
      <c r="X25" s="91">
        <f t="shared" si="4"/>
        <v>1.901873809020687</v>
      </c>
      <c r="Y25" s="91">
        <f t="shared" si="4"/>
        <v>2.2316588119780598</v>
      </c>
      <c r="Z25" s="91">
        <f t="shared" si="4"/>
        <v>1.8931853394394256</v>
      </c>
      <c r="AA25" s="91">
        <f t="shared" si="4"/>
        <v>2.0687207901551417</v>
      </c>
      <c r="AB25" s="91">
        <f t="shared" si="4"/>
        <v>1.8046498341921107</v>
      </c>
      <c r="AC25" s="248">
        <f t="shared" si="4"/>
        <v>1.8668546644874315</v>
      </c>
    </row>
    <row r="26" spans="16:29" x14ac:dyDescent="0.25">
      <c r="Q26" s="92">
        <v>2022</v>
      </c>
      <c r="R26" s="248">
        <f t="shared" ref="R26:Y26" si="5">R16/R9</f>
        <v>1.960233116497935</v>
      </c>
      <c r="S26" s="248">
        <f t="shared" si="5"/>
        <v>1.8023241454970775</v>
      </c>
      <c r="T26" s="248">
        <f t="shared" si="5"/>
        <v>1.7742144457441253</v>
      </c>
      <c r="U26" s="248">
        <f t="shared" si="5"/>
        <v>1.8238309457152815</v>
      </c>
      <c r="V26" s="248">
        <f t="shared" si="5"/>
        <v>1.8225892381459778</v>
      </c>
      <c r="W26" s="248">
        <f t="shared" si="5"/>
        <v>1.8265456847436168</v>
      </c>
      <c r="X26" s="248">
        <f t="shared" si="5"/>
        <v>1.9524517087667161</v>
      </c>
      <c r="Y26" s="248">
        <f t="shared" si="5"/>
        <v>1.8925243770314191</v>
      </c>
    </row>
  </sheetData>
  <phoneticPr fontId="59" type="noConversion"/>
  <pageMargins left="1" right="1" top="1" bottom="1" header="0.5" footer="0.5"/>
  <pageSetup scale="9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O1:AF31"/>
  <sheetViews>
    <sheetView zoomScaleNormal="100" workbookViewId="0"/>
  </sheetViews>
  <sheetFormatPr baseColWidth="10" defaultColWidth="11.42578125" defaultRowHeight="15" x14ac:dyDescent="0.25"/>
  <cols>
    <col min="13" max="13" width="14.28515625" customWidth="1"/>
    <col min="14" max="14" width="14.85546875" customWidth="1"/>
    <col min="15" max="15" width="5" bestFit="1" customWidth="1"/>
    <col min="16" max="16" width="5.42578125" bestFit="1" customWidth="1"/>
    <col min="17" max="17" width="6.7109375" customWidth="1"/>
    <col min="18" max="22" width="6.42578125" bestFit="1" customWidth="1"/>
    <col min="23" max="27" width="7" bestFit="1" customWidth="1"/>
    <col min="28" max="28" width="6.42578125" bestFit="1" customWidth="1"/>
  </cols>
  <sheetData>
    <row r="1" spans="15:32" x14ac:dyDescent="0.25">
      <c r="O1" s="56"/>
      <c r="P1" s="56"/>
      <c r="Q1" s="56" t="s">
        <v>141</v>
      </c>
      <c r="R1" s="56"/>
      <c r="S1" s="56"/>
      <c r="T1" s="56"/>
      <c r="U1" s="56"/>
      <c r="V1" s="56"/>
      <c r="W1" s="56"/>
      <c r="X1" s="56"/>
      <c r="Y1" s="56"/>
      <c r="Z1" s="56"/>
      <c r="AA1" s="56"/>
      <c r="AB1" s="56"/>
    </row>
    <row r="2" spans="15:32" x14ac:dyDescent="0.25">
      <c r="O2" s="56"/>
      <c r="P2" s="56"/>
      <c r="Q2" s="56" t="s">
        <v>170</v>
      </c>
      <c r="R2" s="56" t="s">
        <v>171</v>
      </c>
      <c r="S2" s="56" t="s">
        <v>172</v>
      </c>
      <c r="T2" s="56" t="s">
        <v>173</v>
      </c>
      <c r="U2" s="56" t="s">
        <v>174</v>
      </c>
      <c r="V2" s="56" t="s">
        <v>175</v>
      </c>
      <c r="W2" s="56" t="s">
        <v>176</v>
      </c>
      <c r="X2" s="56" t="s">
        <v>177</v>
      </c>
      <c r="Y2" s="56" t="s">
        <v>178</v>
      </c>
      <c r="Z2" s="56" t="s">
        <v>179</v>
      </c>
      <c r="AA2" s="56" t="s">
        <v>180</v>
      </c>
      <c r="AB2" s="56" t="s">
        <v>181</v>
      </c>
    </row>
    <row r="3" spans="15:32" x14ac:dyDescent="0.25">
      <c r="O3" s="56" t="s">
        <v>182</v>
      </c>
      <c r="P3" s="56">
        <v>2015</v>
      </c>
      <c r="Q3" s="53">
        <v>399.97153850000001</v>
      </c>
      <c r="R3" s="54">
        <v>158.72399999999999</v>
      </c>
      <c r="S3" s="54">
        <v>177.08</v>
      </c>
      <c r="T3" s="54">
        <v>225.6105</v>
      </c>
      <c r="U3" s="54">
        <v>252.8595</v>
      </c>
      <c r="V3" s="54">
        <v>224.88931260000001</v>
      </c>
      <c r="W3" s="54">
        <v>558.77591419999999</v>
      </c>
      <c r="X3" s="54">
        <v>474.75</v>
      </c>
      <c r="Y3" s="54">
        <v>483.84270000000004</v>
      </c>
      <c r="Z3" s="54">
        <v>650.58937500000002</v>
      </c>
      <c r="AA3" s="54">
        <v>426.94850000000002</v>
      </c>
      <c r="AB3" s="54">
        <v>313.56799999999998</v>
      </c>
      <c r="AD3" s="167"/>
      <c r="AE3" s="167"/>
      <c r="AF3" s="167"/>
    </row>
    <row r="4" spans="15:32" x14ac:dyDescent="0.25">
      <c r="O4" s="56" t="s">
        <v>182</v>
      </c>
      <c r="P4" s="56">
        <v>2016</v>
      </c>
      <c r="Q4" s="54">
        <v>385.96100000000001</v>
      </c>
      <c r="R4" s="54">
        <v>202.4015</v>
      </c>
      <c r="S4" s="54">
        <v>197.05549999999999</v>
      </c>
      <c r="T4" s="54">
        <v>418.07625000000002</v>
      </c>
      <c r="U4" s="54">
        <v>167.35499999999999</v>
      </c>
      <c r="V4" s="54">
        <v>352.71222590000002</v>
      </c>
      <c r="W4" s="54">
        <v>380.96550000000002</v>
      </c>
      <c r="X4" s="54">
        <v>644.22450000000003</v>
      </c>
      <c r="Y4" s="54">
        <v>622.77449999999999</v>
      </c>
      <c r="Z4" s="54">
        <v>754.06500000000005</v>
      </c>
      <c r="AA4" s="54">
        <v>688.6395</v>
      </c>
      <c r="AB4" s="54">
        <v>282.93852000000004</v>
      </c>
      <c r="AD4" s="167"/>
      <c r="AE4" s="167"/>
      <c r="AF4" s="167"/>
    </row>
    <row r="5" spans="15:32" x14ac:dyDescent="0.25">
      <c r="O5" s="56" t="s">
        <v>182</v>
      </c>
      <c r="P5" s="56">
        <v>2017</v>
      </c>
      <c r="Q5" s="54">
        <v>516.37330999999995</v>
      </c>
      <c r="R5" s="54">
        <v>268.77411999999998</v>
      </c>
      <c r="S5" s="54">
        <v>258.07456999999999</v>
      </c>
      <c r="T5" s="54">
        <v>457.72978999999998</v>
      </c>
      <c r="U5" s="54">
        <v>277.4549202</v>
      </c>
      <c r="V5" s="54">
        <v>289.51887140000002</v>
      </c>
      <c r="W5" s="54">
        <v>363.32655999999997</v>
      </c>
      <c r="X5" s="54">
        <v>352.10149000000001</v>
      </c>
      <c r="Y5" s="54">
        <v>473.32110999999998</v>
      </c>
      <c r="Z5" s="54">
        <v>707.4393255</v>
      </c>
      <c r="AA5" s="54">
        <v>1027.8620631000001</v>
      </c>
      <c r="AB5" s="54">
        <v>452.19900999999999</v>
      </c>
      <c r="AD5" s="96"/>
      <c r="AE5" s="96"/>
    </row>
    <row r="6" spans="15:32" x14ac:dyDescent="0.25">
      <c r="O6" s="56" t="s">
        <v>182</v>
      </c>
      <c r="P6" s="56">
        <v>2018</v>
      </c>
      <c r="Q6" s="54">
        <v>365.89858000000004</v>
      </c>
      <c r="R6" s="54">
        <v>137.78725</v>
      </c>
      <c r="S6" s="54">
        <v>292.50461999999999</v>
      </c>
      <c r="T6" s="54">
        <v>300.41128000000003</v>
      </c>
      <c r="U6" s="54">
        <v>227.95296999999999</v>
      </c>
      <c r="V6" s="54">
        <v>287.10892000000001</v>
      </c>
      <c r="W6" s="54">
        <v>332.14456999999999</v>
      </c>
      <c r="X6" s="54">
        <v>522.00900000000001</v>
      </c>
      <c r="Y6" s="54">
        <v>445.041</v>
      </c>
      <c r="Z6" s="54">
        <v>795.90150000000006</v>
      </c>
      <c r="AA6" s="54">
        <v>490.54899999999998</v>
      </c>
      <c r="AB6" s="54">
        <v>415.13290000000001</v>
      </c>
      <c r="AD6" s="96"/>
      <c r="AE6" s="96"/>
    </row>
    <row r="7" spans="15:32" x14ac:dyDescent="0.25">
      <c r="O7" s="56" t="s">
        <v>182</v>
      </c>
      <c r="P7" s="56">
        <v>2019</v>
      </c>
      <c r="Q7" s="54">
        <v>333.0675</v>
      </c>
      <c r="R7" s="54">
        <v>136.8135</v>
      </c>
      <c r="S7" s="54">
        <v>252.87300299999998</v>
      </c>
      <c r="T7" s="54">
        <v>336.79349999999999</v>
      </c>
      <c r="U7" s="54">
        <v>349.95150000000001</v>
      </c>
      <c r="V7" s="54">
        <v>355.51350000000002</v>
      </c>
      <c r="W7" s="54">
        <v>310.34249999999997</v>
      </c>
      <c r="X7" s="54">
        <v>769.25400000000002</v>
      </c>
      <c r="Y7" s="54">
        <v>517.54049999999995</v>
      </c>
      <c r="Z7" s="54">
        <v>587.88850000000002</v>
      </c>
      <c r="AA7" s="54">
        <v>327.19600000000003</v>
      </c>
      <c r="AB7" s="54">
        <v>331.64400000000001</v>
      </c>
      <c r="AD7" s="165"/>
      <c r="AE7" s="239"/>
      <c r="AF7" s="239"/>
    </row>
    <row r="8" spans="15:32" x14ac:dyDescent="0.25">
      <c r="O8" s="56" t="s">
        <v>182</v>
      </c>
      <c r="P8" s="56">
        <v>2020</v>
      </c>
      <c r="Q8" s="54">
        <v>334.899</v>
      </c>
      <c r="R8" s="54">
        <v>228.82050000000001</v>
      </c>
      <c r="S8" s="54">
        <v>144.67500000000001</v>
      </c>
      <c r="T8" s="54">
        <v>242.26499999999999</v>
      </c>
      <c r="U8" s="54">
        <v>316.08</v>
      </c>
      <c r="V8" s="54">
        <v>252.6345</v>
      </c>
      <c r="W8" s="54">
        <v>192.41550000000001</v>
      </c>
      <c r="X8" s="54">
        <v>380.565</v>
      </c>
      <c r="Y8" s="54">
        <v>272.7</v>
      </c>
      <c r="Z8" s="54">
        <v>425.91950000000003</v>
      </c>
      <c r="AA8" s="54">
        <v>441.57150000000001</v>
      </c>
      <c r="AB8" s="54">
        <v>243.155</v>
      </c>
      <c r="AD8" s="165"/>
      <c r="AE8" s="237"/>
      <c r="AF8" s="237"/>
    </row>
    <row r="9" spans="15:32" x14ac:dyDescent="0.25">
      <c r="O9" s="56" t="s">
        <v>187</v>
      </c>
      <c r="P9" s="56">
        <v>2021</v>
      </c>
      <c r="Q9" s="54">
        <v>185.625</v>
      </c>
      <c r="R9" s="54">
        <v>282.89249999999998</v>
      </c>
      <c r="S9" s="54">
        <v>268.70850000000002</v>
      </c>
      <c r="T9" s="54">
        <v>235.12350000000001</v>
      </c>
      <c r="U9" s="54">
        <v>297.08100000000002</v>
      </c>
      <c r="V9" s="54">
        <v>269.23050000000001</v>
      </c>
      <c r="W9" s="54">
        <v>258.13799999999998</v>
      </c>
      <c r="X9" s="54">
        <v>411.56099999999998</v>
      </c>
      <c r="Y9" s="54">
        <v>347.81849999999997</v>
      </c>
      <c r="Z9" s="54">
        <v>314.47726</v>
      </c>
      <c r="AA9" s="54">
        <v>334.80900000000003</v>
      </c>
      <c r="AB9" s="54">
        <v>378.99149999999997</v>
      </c>
      <c r="AD9" s="165"/>
      <c r="AE9" s="109"/>
      <c r="AF9" s="109"/>
    </row>
    <row r="10" spans="15:32" x14ac:dyDescent="0.25">
      <c r="O10" s="56" t="s">
        <v>182</v>
      </c>
      <c r="P10" s="56">
        <v>2022</v>
      </c>
      <c r="Q10" s="54">
        <v>331.4205</v>
      </c>
      <c r="R10" s="54">
        <v>206.5335</v>
      </c>
      <c r="S10" s="54">
        <v>193.32917739999999</v>
      </c>
      <c r="T10" s="54">
        <v>252.78749999999999</v>
      </c>
      <c r="U10" s="54">
        <v>257.39999999999998</v>
      </c>
      <c r="V10" s="54">
        <v>323.7</v>
      </c>
      <c r="W10" s="54">
        <v>226.9</v>
      </c>
      <c r="X10" s="54">
        <v>430.4</v>
      </c>
      <c r="Y10" s="54"/>
      <c r="Z10" s="54"/>
      <c r="AA10" s="54"/>
      <c r="AB10" s="54"/>
      <c r="AD10" s="109"/>
      <c r="AE10" s="109"/>
      <c r="AF10" s="109"/>
    </row>
    <row r="11" spans="15:32" x14ac:dyDescent="0.25">
      <c r="AD11" s="109"/>
    </row>
    <row r="12" spans="15:32" x14ac:dyDescent="0.25">
      <c r="O12" s="56" t="s">
        <v>94</v>
      </c>
      <c r="P12" s="56">
        <v>2015</v>
      </c>
      <c r="Q12" s="53">
        <v>1648.04304</v>
      </c>
      <c r="R12" s="54">
        <v>678.70713999999998</v>
      </c>
      <c r="S12" s="54">
        <v>754.57382999999993</v>
      </c>
      <c r="T12" s="54">
        <v>984.09825999999998</v>
      </c>
      <c r="U12" s="54">
        <v>1075.9333999999999</v>
      </c>
      <c r="V12" s="54">
        <v>928.05155000000002</v>
      </c>
      <c r="W12" s="54">
        <v>2183.0439700000002</v>
      </c>
      <c r="X12" s="54">
        <v>1840.7483300000001</v>
      </c>
      <c r="Y12" s="54">
        <v>1857.6918799999999</v>
      </c>
      <c r="Z12" s="54">
        <v>2683.4602200000004</v>
      </c>
      <c r="AA12" s="54">
        <v>1858.6077700000001</v>
      </c>
      <c r="AB12" s="54">
        <v>1269.5903999999998</v>
      </c>
    </row>
    <row r="13" spans="15:32" x14ac:dyDescent="0.25">
      <c r="O13" s="56" t="s">
        <v>94</v>
      </c>
      <c r="P13" s="56">
        <v>2016</v>
      </c>
      <c r="Q13" s="54">
        <v>1561.9673799999998</v>
      </c>
      <c r="R13" s="54">
        <v>807.92711999999995</v>
      </c>
      <c r="S13" s="54">
        <v>812.62441000000001</v>
      </c>
      <c r="T13" s="54">
        <v>1828.61482</v>
      </c>
      <c r="U13" s="54">
        <v>673.38708999999994</v>
      </c>
      <c r="V13" s="54">
        <v>1411.32998</v>
      </c>
      <c r="W13" s="54">
        <v>1342.27772</v>
      </c>
      <c r="X13" s="54">
        <v>2518.9597200000003</v>
      </c>
      <c r="Y13" s="54">
        <v>2454.1771800000001</v>
      </c>
      <c r="Z13" s="54">
        <v>2851.4252000000001</v>
      </c>
      <c r="AA13" s="54">
        <v>3069.1559200000002</v>
      </c>
      <c r="AB13" s="54">
        <v>1141.8811000000001</v>
      </c>
    </row>
    <row r="14" spans="15:32" x14ac:dyDescent="0.25">
      <c r="O14" s="56" t="s">
        <v>94</v>
      </c>
      <c r="P14" s="56">
        <v>2017</v>
      </c>
      <c r="Q14" s="54">
        <v>1999.64895</v>
      </c>
      <c r="R14" s="54">
        <v>1171.82827</v>
      </c>
      <c r="S14" s="54">
        <v>1051.1554699999999</v>
      </c>
      <c r="T14" s="54">
        <v>1830.7113999999999</v>
      </c>
      <c r="U14" s="54">
        <v>1252.3791000000001</v>
      </c>
      <c r="V14" s="54">
        <v>1153.9421599999998</v>
      </c>
      <c r="W14" s="54">
        <v>1506.2209399999999</v>
      </c>
      <c r="X14" s="54">
        <v>1560.3233500000001</v>
      </c>
      <c r="Y14" s="54">
        <v>1952.3849299999999</v>
      </c>
      <c r="Z14" s="54">
        <v>2842.8311899999999</v>
      </c>
      <c r="AA14" s="54">
        <v>3612.8101099999999</v>
      </c>
      <c r="AB14" s="54">
        <v>1975.6716699999999</v>
      </c>
    </row>
    <row r="15" spans="15:32" x14ac:dyDescent="0.25">
      <c r="O15" s="56" t="s">
        <v>94</v>
      </c>
      <c r="P15" s="56">
        <v>2018</v>
      </c>
      <c r="Q15" s="54">
        <v>1648.7111</v>
      </c>
      <c r="R15" s="54">
        <v>631.02158999999995</v>
      </c>
      <c r="S15" s="54">
        <v>1242.11949</v>
      </c>
      <c r="T15" s="54">
        <v>1344.39372</v>
      </c>
      <c r="U15" s="54">
        <v>1110.0585700000001</v>
      </c>
      <c r="V15" s="54">
        <v>1138.68722</v>
      </c>
      <c r="W15" s="54">
        <v>1415.0776599999999</v>
      </c>
      <c r="X15" s="54">
        <v>2130.4803700000002</v>
      </c>
      <c r="Y15" s="54">
        <v>1674.7162900000001</v>
      </c>
      <c r="Z15" s="54">
        <v>3268.22946</v>
      </c>
      <c r="AA15" s="54">
        <v>1964.8206100000002</v>
      </c>
      <c r="AB15" s="54">
        <v>1613.9065399999999</v>
      </c>
    </row>
    <row r="16" spans="15:32" x14ac:dyDescent="0.25">
      <c r="O16" s="56" t="s">
        <v>94</v>
      </c>
      <c r="P16" s="56">
        <v>2019</v>
      </c>
      <c r="Q16" s="53">
        <v>1337.5923999999998</v>
      </c>
      <c r="R16" s="53">
        <v>536.63702999999998</v>
      </c>
      <c r="S16" s="53">
        <v>1041.7046300000002</v>
      </c>
      <c r="T16" s="53">
        <v>1332.3517400000001</v>
      </c>
      <c r="U16" s="53">
        <v>1429.31951</v>
      </c>
      <c r="V16" s="53">
        <v>1396.4903100000001</v>
      </c>
      <c r="W16" s="48">
        <v>1317.1010900000001</v>
      </c>
      <c r="X16" s="48">
        <v>3060.8019099999992</v>
      </c>
      <c r="Y16" s="48">
        <v>2063.24244</v>
      </c>
      <c r="Z16" s="48">
        <v>2335.2095300000001</v>
      </c>
      <c r="AA16" s="48">
        <v>1338.1952699999997</v>
      </c>
      <c r="AB16" s="54">
        <v>1348.36447</v>
      </c>
    </row>
    <row r="17" spans="15:32" x14ac:dyDescent="0.25">
      <c r="O17" s="56" t="s">
        <v>94</v>
      </c>
      <c r="P17" s="56">
        <v>2020</v>
      </c>
      <c r="Q17" s="53">
        <v>1496.7915100000002</v>
      </c>
      <c r="R17" s="53">
        <v>895.42285000000004</v>
      </c>
      <c r="S17" s="53">
        <v>613.71274999999991</v>
      </c>
      <c r="T17" s="53">
        <v>1392.20975</v>
      </c>
      <c r="U17" s="53">
        <v>1282.8476799999999</v>
      </c>
      <c r="V17" s="53">
        <v>1023.8345700000001</v>
      </c>
      <c r="W17" s="53">
        <v>817.4241300000001</v>
      </c>
      <c r="X17" s="53">
        <v>1517.1010800000004</v>
      </c>
      <c r="Y17" s="53">
        <v>1112.3167599999997</v>
      </c>
      <c r="Z17" s="53">
        <v>1727.5803899999999</v>
      </c>
      <c r="AA17" s="53">
        <v>1866.5261500000001</v>
      </c>
      <c r="AB17" s="53">
        <v>929.11856999999986</v>
      </c>
      <c r="AD17" s="96"/>
      <c r="AE17" s="96"/>
      <c r="AF17" s="96"/>
    </row>
    <row r="18" spans="15:32" x14ac:dyDescent="0.25">
      <c r="O18" s="56" t="s">
        <v>94</v>
      </c>
      <c r="P18" s="56">
        <v>2021</v>
      </c>
      <c r="Q18" s="53">
        <v>849.23722999999995</v>
      </c>
      <c r="R18" s="53">
        <v>1086.1081299999998</v>
      </c>
      <c r="S18" s="53">
        <v>1092.96487</v>
      </c>
      <c r="T18" s="53">
        <v>976.2770300000002</v>
      </c>
      <c r="U18" s="53">
        <v>1063.70309</v>
      </c>
      <c r="V18" s="53">
        <v>1162.71678</v>
      </c>
      <c r="W18" s="53">
        <v>1052.4551799999999</v>
      </c>
      <c r="X18" s="53">
        <v>1702.3689100000001</v>
      </c>
      <c r="Y18" s="53">
        <v>1398.8854200000003</v>
      </c>
      <c r="Z18" s="53">
        <v>1280.24676</v>
      </c>
      <c r="AA18" s="48">
        <v>1470.3960100000004</v>
      </c>
      <c r="AB18" s="48">
        <v>1347.0470499999999</v>
      </c>
    </row>
    <row r="19" spans="15:32" x14ac:dyDescent="0.25">
      <c r="O19" s="56" t="s">
        <v>94</v>
      </c>
      <c r="P19" s="56">
        <v>2022</v>
      </c>
      <c r="Q19" s="53">
        <v>1253.93623</v>
      </c>
      <c r="R19" s="53">
        <v>823.25831000000005</v>
      </c>
      <c r="S19" s="53">
        <v>806.36372000000006</v>
      </c>
      <c r="T19" s="53">
        <v>1063.4191899999998</v>
      </c>
      <c r="U19" s="53">
        <v>925.1</v>
      </c>
      <c r="V19" s="53">
        <v>1310</v>
      </c>
      <c r="W19" s="53">
        <v>918.1</v>
      </c>
      <c r="X19" s="53">
        <v>1728</v>
      </c>
      <c r="Y19" s="53"/>
      <c r="Z19" s="53"/>
      <c r="AA19" s="48"/>
      <c r="AB19" s="48"/>
    </row>
    <row r="20" spans="15:32" x14ac:dyDescent="0.25">
      <c r="O20" s="56"/>
      <c r="P20" s="31"/>
      <c r="Q20" s="31"/>
      <c r="R20" s="31"/>
      <c r="S20" s="31"/>
      <c r="T20" s="31"/>
      <c r="U20" s="31"/>
      <c r="V20" s="31"/>
      <c r="W20" s="31"/>
      <c r="X20" s="31"/>
      <c r="Y20" s="31"/>
      <c r="Z20" s="31"/>
      <c r="AA20" s="31"/>
      <c r="AB20" s="31"/>
    </row>
    <row r="21" spans="15:32" x14ac:dyDescent="0.25">
      <c r="O21" s="52"/>
      <c r="P21" s="56"/>
      <c r="Q21" s="56" t="s">
        <v>183</v>
      </c>
      <c r="R21" s="56"/>
      <c r="S21" s="56"/>
      <c r="T21" s="56"/>
      <c r="U21" s="52"/>
      <c r="V21" s="56"/>
      <c r="W21" s="56"/>
      <c r="X21" s="56"/>
      <c r="Y21" s="56"/>
      <c r="Z21" s="56"/>
      <c r="AA21" s="56"/>
      <c r="AB21" s="56"/>
    </row>
    <row r="22" spans="15:32" x14ac:dyDescent="0.25">
      <c r="O22" s="52"/>
      <c r="P22" s="56"/>
      <c r="Q22" s="56" t="s">
        <v>141</v>
      </c>
      <c r="R22" s="56"/>
      <c r="S22" s="56"/>
      <c r="T22" s="56"/>
      <c r="U22" s="56"/>
      <c r="V22" s="56"/>
      <c r="W22" s="56"/>
      <c r="X22" s="56"/>
      <c r="Y22" s="56"/>
      <c r="Z22" s="56"/>
      <c r="AA22" s="56"/>
      <c r="AB22" s="56"/>
    </row>
    <row r="23" spans="15:32" x14ac:dyDescent="0.25">
      <c r="O23" s="50"/>
      <c r="P23" s="56"/>
      <c r="Q23" s="56" t="s">
        <v>170</v>
      </c>
      <c r="R23" s="56" t="s">
        <v>171</v>
      </c>
      <c r="S23" s="56" t="s">
        <v>172</v>
      </c>
      <c r="T23" s="56" t="s">
        <v>173</v>
      </c>
      <c r="U23" s="56" t="s">
        <v>174</v>
      </c>
      <c r="V23" s="56" t="s">
        <v>175</v>
      </c>
      <c r="W23" s="56" t="s">
        <v>176</v>
      </c>
      <c r="X23" s="56" t="s">
        <v>177</v>
      </c>
      <c r="Y23" s="56" t="s">
        <v>178</v>
      </c>
      <c r="Z23" s="56" t="s">
        <v>179</v>
      </c>
      <c r="AA23" s="56" t="s">
        <v>180</v>
      </c>
      <c r="AB23" s="56" t="s">
        <v>181</v>
      </c>
    </row>
    <row r="24" spans="15:32" x14ac:dyDescent="0.25">
      <c r="O24" s="51"/>
      <c r="P24" s="56">
        <v>2015</v>
      </c>
      <c r="Q24" s="91">
        <f t="shared" ref="Q24:AB24" si="0">Q12/Q3</f>
        <v>4.12040078196714</v>
      </c>
      <c r="R24" s="91">
        <f t="shared" si="0"/>
        <v>4.2760208916105951</v>
      </c>
      <c r="S24" s="91">
        <f t="shared" si="0"/>
        <v>4.2612030155861751</v>
      </c>
      <c r="T24" s="91">
        <f t="shared" si="0"/>
        <v>4.3619346617289532</v>
      </c>
      <c r="U24" s="91">
        <f t="shared" si="0"/>
        <v>4.2550641759554217</v>
      </c>
      <c r="V24" s="91">
        <f t="shared" si="0"/>
        <v>4.1267036626621802</v>
      </c>
      <c r="W24" s="91">
        <f t="shared" si="0"/>
        <v>3.9068326220278595</v>
      </c>
      <c r="X24" s="91">
        <f t="shared" si="0"/>
        <v>3.8773003264876253</v>
      </c>
      <c r="Y24" s="91">
        <f t="shared" si="0"/>
        <v>3.8394541862468934</v>
      </c>
      <c r="Z24" s="91">
        <f t="shared" si="0"/>
        <v>4.1246603819805703</v>
      </c>
      <c r="AA24" s="91">
        <f t="shared" si="0"/>
        <v>4.3532364442081422</v>
      </c>
      <c r="AB24" s="91">
        <f t="shared" si="0"/>
        <v>4.0488519236656799</v>
      </c>
    </row>
    <row r="25" spans="15:32" x14ac:dyDescent="0.25">
      <c r="O25" s="51"/>
      <c r="P25" s="56">
        <v>2016</v>
      </c>
      <c r="Q25" s="91">
        <f t="shared" ref="Q25:AB25" si="1">Q13/Q4</f>
        <v>4.0469565059682191</v>
      </c>
      <c r="R25" s="91">
        <f t="shared" si="1"/>
        <v>3.9917051998132425</v>
      </c>
      <c r="S25" s="91">
        <f t="shared" si="1"/>
        <v>4.1238352139371903</v>
      </c>
      <c r="T25" s="91">
        <f t="shared" si="1"/>
        <v>4.3738787362353158</v>
      </c>
      <c r="U25" s="91">
        <f t="shared" si="1"/>
        <v>4.0237046398374714</v>
      </c>
      <c r="V25" s="91">
        <f t="shared" si="1"/>
        <v>4.0013639345751972</v>
      </c>
      <c r="W25" s="91">
        <f t="shared" si="1"/>
        <v>3.5233576793699166</v>
      </c>
      <c r="X25" s="91">
        <f t="shared" si="1"/>
        <v>3.9100650782452391</v>
      </c>
      <c r="Y25" s="91">
        <f t="shared" si="1"/>
        <v>3.9407155880659857</v>
      </c>
      <c r="Z25" s="91">
        <f t="shared" si="1"/>
        <v>3.7814050512886821</v>
      </c>
      <c r="AA25" s="91">
        <f t="shared" si="1"/>
        <v>4.456839783369964</v>
      </c>
      <c r="AB25" s="91">
        <f t="shared" si="1"/>
        <v>4.0357922986237433</v>
      </c>
    </row>
    <row r="26" spans="15:32" x14ac:dyDescent="0.25">
      <c r="O26" s="56"/>
      <c r="P26" s="56">
        <v>2017</v>
      </c>
      <c r="Q26" s="91">
        <f t="shared" ref="Q26:AB26" si="2">Q14/Q5</f>
        <v>3.8724870384954642</v>
      </c>
      <c r="R26" s="91">
        <f t="shared" si="2"/>
        <v>4.3598999412592256</v>
      </c>
      <c r="S26" s="91">
        <f t="shared" si="2"/>
        <v>4.0730687645822679</v>
      </c>
      <c r="T26" s="91">
        <f t="shared" si="2"/>
        <v>3.9995461077593397</v>
      </c>
      <c r="U26" s="91">
        <f t="shared" si="2"/>
        <v>4.5138111052319339</v>
      </c>
      <c r="V26" s="91">
        <f t="shared" si="2"/>
        <v>3.9857234674202302</v>
      </c>
      <c r="W26" s="91">
        <f t="shared" si="2"/>
        <v>4.1456395040318554</v>
      </c>
      <c r="X26" s="91">
        <f t="shared" si="2"/>
        <v>4.4314590943650938</v>
      </c>
      <c r="Y26" s="91">
        <f t="shared" si="2"/>
        <v>4.1248634146066294</v>
      </c>
      <c r="Z26" s="91">
        <f t="shared" si="2"/>
        <v>4.0184805785157049</v>
      </c>
      <c r="AA26" s="91">
        <f t="shared" si="2"/>
        <v>3.5148783476878958</v>
      </c>
      <c r="AB26" s="91">
        <f t="shared" si="2"/>
        <v>4.3690313917317072</v>
      </c>
    </row>
    <row r="27" spans="15:32" x14ac:dyDescent="0.25">
      <c r="O27" s="56"/>
      <c r="P27" s="56">
        <v>2018</v>
      </c>
      <c r="Q27" s="91">
        <f t="shared" ref="Q27:AB27" si="3">Q15/Q6</f>
        <v>4.5059237453176229</v>
      </c>
      <c r="R27" s="91">
        <f t="shared" si="3"/>
        <v>4.5796805582519422</v>
      </c>
      <c r="S27" s="91">
        <f t="shared" si="3"/>
        <v>4.2464952861257377</v>
      </c>
      <c r="T27" s="91">
        <f t="shared" si="3"/>
        <v>4.4751772303623216</v>
      </c>
      <c r="U27" s="91">
        <f t="shared" si="3"/>
        <v>4.8696824173863593</v>
      </c>
      <c r="V27" s="91">
        <f t="shared" si="3"/>
        <v>3.9660461263272486</v>
      </c>
      <c r="W27" s="91">
        <f t="shared" si="3"/>
        <v>4.2604268978415032</v>
      </c>
      <c r="X27" s="91">
        <f t="shared" si="3"/>
        <v>4.0813096517492999</v>
      </c>
      <c r="Y27" s="91">
        <f t="shared" si="3"/>
        <v>3.7630606842965033</v>
      </c>
      <c r="Z27" s="91">
        <f t="shared" si="3"/>
        <v>4.1063240363286155</v>
      </c>
      <c r="AA27" s="91">
        <f t="shared" si="3"/>
        <v>4.0053503523603151</v>
      </c>
      <c r="AB27" s="91">
        <f t="shared" si="3"/>
        <v>3.8876864252387606</v>
      </c>
    </row>
    <row r="28" spans="15:32" x14ac:dyDescent="0.25">
      <c r="O28" s="31"/>
      <c r="P28" s="56">
        <v>2019</v>
      </c>
      <c r="Q28" s="91">
        <f t="shared" ref="Q28:AB28" si="4">Q16/Q7</f>
        <v>4.0159799440053439</v>
      </c>
      <c r="R28" s="91">
        <f t="shared" si="4"/>
        <v>3.9223982282450196</v>
      </c>
      <c r="S28" s="91">
        <f t="shared" si="4"/>
        <v>4.1194774358732165</v>
      </c>
      <c r="T28" s="91">
        <f t="shared" si="4"/>
        <v>3.9559900651289293</v>
      </c>
      <c r="U28" s="91">
        <f t="shared" si="4"/>
        <v>4.0843360008458314</v>
      </c>
      <c r="V28" s="91">
        <f t="shared" si="4"/>
        <v>3.9280936166981002</v>
      </c>
      <c r="W28" s="91">
        <f t="shared" si="4"/>
        <v>4.2440242312928467</v>
      </c>
      <c r="X28" s="91">
        <f t="shared" si="4"/>
        <v>3.9789223195459487</v>
      </c>
      <c r="Y28" s="91">
        <f t="shared" si="4"/>
        <v>3.9866299159196239</v>
      </c>
      <c r="Z28" s="91">
        <f t="shared" si="4"/>
        <v>3.972198010336994</v>
      </c>
      <c r="AA28" s="91">
        <f t="shared" si="4"/>
        <v>4.0898888433843918</v>
      </c>
      <c r="AB28" s="91">
        <f t="shared" si="4"/>
        <v>4.0656983693357933</v>
      </c>
    </row>
    <row r="29" spans="15:32" x14ac:dyDescent="0.25">
      <c r="O29" s="31"/>
      <c r="P29" s="92">
        <v>2020</v>
      </c>
      <c r="Q29" s="91">
        <f t="shared" ref="Q29:AB29" si="5">Q17/Q8</f>
        <v>4.4693818434811696</v>
      </c>
      <c r="R29" s="91">
        <f t="shared" si="5"/>
        <v>3.9132107918652395</v>
      </c>
      <c r="S29" s="91">
        <f t="shared" si="5"/>
        <v>4.2420096768619313</v>
      </c>
      <c r="T29" s="91">
        <f t="shared" si="5"/>
        <v>5.746640042928199</v>
      </c>
      <c r="U29" s="91">
        <f t="shared" si="5"/>
        <v>4.0586170589724118</v>
      </c>
      <c r="V29" s="91">
        <f t="shared" si="5"/>
        <v>4.0526316476965736</v>
      </c>
      <c r="W29" s="91">
        <f t="shared" si="5"/>
        <v>4.2482239216695126</v>
      </c>
      <c r="X29" s="91">
        <f t="shared" si="5"/>
        <v>3.9864440502936431</v>
      </c>
      <c r="Y29" s="91">
        <f t="shared" si="5"/>
        <v>4.0789026769343595</v>
      </c>
      <c r="Z29" s="91">
        <f t="shared" si="5"/>
        <v>4.0561195014550862</v>
      </c>
      <c r="AA29" s="91">
        <f t="shared" si="5"/>
        <v>4.2270077439327496</v>
      </c>
      <c r="AB29" s="91">
        <f t="shared" si="5"/>
        <v>3.8210958853406258</v>
      </c>
    </row>
    <row r="30" spans="15:32" x14ac:dyDescent="0.25">
      <c r="O30" s="31"/>
      <c r="P30" s="92">
        <v>2021</v>
      </c>
      <c r="Q30" s="91">
        <f t="shared" ref="Q30:AB30" si="6">Q18/Q9</f>
        <v>4.5750153804713802</v>
      </c>
      <c r="R30" s="91">
        <f t="shared" si="6"/>
        <v>3.8392963051335753</v>
      </c>
      <c r="S30" s="91">
        <f t="shared" si="6"/>
        <v>4.0674741215852865</v>
      </c>
      <c r="T30" s="91">
        <f t="shared" si="6"/>
        <v>4.1521882329924491</v>
      </c>
      <c r="U30" s="91">
        <f t="shared" si="6"/>
        <v>3.5805153813269777</v>
      </c>
      <c r="V30" s="91">
        <f t="shared" si="6"/>
        <v>4.3186666443809303</v>
      </c>
      <c r="W30" s="91">
        <f t="shared" si="6"/>
        <v>4.0771028674584917</v>
      </c>
      <c r="X30" s="91">
        <f t="shared" si="6"/>
        <v>4.1363708174486895</v>
      </c>
      <c r="Y30" s="91">
        <f t="shared" si="6"/>
        <v>4.0218833098296969</v>
      </c>
      <c r="Z30" s="91">
        <f t="shared" si="6"/>
        <v>4.071031272658634</v>
      </c>
      <c r="AA30" s="91">
        <f t="shared" si="6"/>
        <v>4.3917457714697044</v>
      </c>
      <c r="AB30" s="248">
        <f t="shared" si="6"/>
        <v>3.5542935659506876</v>
      </c>
    </row>
    <row r="31" spans="15:32" x14ac:dyDescent="0.25">
      <c r="P31" s="92">
        <v>2022</v>
      </c>
      <c r="Q31" s="248">
        <f t="shared" ref="Q31:X31" si="7">Q19/Q10</f>
        <v>3.7835204219413101</v>
      </c>
      <c r="R31" s="248">
        <f t="shared" si="7"/>
        <v>3.9860763992282124</v>
      </c>
      <c r="S31" s="248">
        <f t="shared" si="7"/>
        <v>4.1709364868998824</v>
      </c>
      <c r="T31" s="248">
        <f t="shared" si="7"/>
        <v>4.2067712604460263</v>
      </c>
      <c r="U31" s="248">
        <f t="shared" si="7"/>
        <v>3.5940170940170946</v>
      </c>
      <c r="V31" s="248">
        <f t="shared" si="7"/>
        <v>4.0469570590052522</v>
      </c>
      <c r="W31" s="248">
        <f t="shared" si="7"/>
        <v>4.0462758924636404</v>
      </c>
      <c r="X31" s="248">
        <f t="shared" si="7"/>
        <v>4.0148698884758369</v>
      </c>
    </row>
  </sheetData>
  <phoneticPr fontId="59" type="noConversion"/>
  <pageMargins left="1" right="1" top="1" bottom="1" header="0.5" footer="0.5"/>
  <pageSetup scale="9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15"/>
  <sheetViews>
    <sheetView zoomScale="90" zoomScaleNormal="90" zoomScaleSheetLayoutView="100" workbookViewId="0">
      <selection sqref="A1:J1"/>
    </sheetView>
  </sheetViews>
  <sheetFormatPr baseColWidth="10" defaultColWidth="11.42578125" defaultRowHeight="15" x14ac:dyDescent="0.25"/>
  <cols>
    <col min="1" max="1" width="15.7109375" customWidth="1"/>
    <col min="2" max="2" width="10.42578125" customWidth="1"/>
    <col min="3" max="4" width="10.85546875" customWidth="1"/>
    <col min="5" max="5" width="12.42578125" customWidth="1"/>
    <col min="6" max="8" width="10.7109375" customWidth="1"/>
    <col min="11" max="11" width="11.42578125" customWidth="1"/>
  </cols>
  <sheetData>
    <row r="1" spans="1:21" x14ac:dyDescent="0.25">
      <c r="A1" s="429" t="s">
        <v>568</v>
      </c>
      <c r="B1" s="429"/>
      <c r="C1" s="429"/>
      <c r="D1" s="429"/>
      <c r="E1" s="429"/>
      <c r="F1" s="429"/>
      <c r="G1" s="429"/>
      <c r="H1" s="429"/>
      <c r="I1" s="429"/>
      <c r="J1" s="429"/>
      <c r="K1" s="31"/>
    </row>
    <row r="2" spans="1:21" x14ac:dyDescent="0.25">
      <c r="A2" s="430" t="s">
        <v>148</v>
      </c>
      <c r="B2" s="425" t="s">
        <v>149</v>
      </c>
      <c r="C2" s="425"/>
      <c r="D2" s="425"/>
      <c r="E2" s="425"/>
      <c r="F2" s="424" t="s">
        <v>150</v>
      </c>
      <c r="G2" s="425"/>
      <c r="H2" s="425"/>
      <c r="I2" s="425"/>
      <c r="J2" s="426"/>
      <c r="K2" s="31"/>
      <c r="L2" s="242"/>
      <c r="M2" s="243"/>
      <c r="N2" s="243"/>
      <c r="O2" s="243"/>
      <c r="P2" s="242"/>
      <c r="Q2" s="243"/>
      <c r="R2" s="243"/>
      <c r="S2" s="243"/>
      <c r="T2" s="242"/>
      <c r="U2" s="242"/>
    </row>
    <row r="3" spans="1:21" s="31" customFormat="1" x14ac:dyDescent="0.25">
      <c r="A3" s="431"/>
      <c r="B3" s="422">
        <v>2021</v>
      </c>
      <c r="C3" s="424" t="s">
        <v>609</v>
      </c>
      <c r="D3" s="425"/>
      <c r="E3" s="425"/>
      <c r="F3" s="427">
        <v>2021</v>
      </c>
      <c r="G3" s="424" t="str">
        <f>C3</f>
        <v>Enero - agosto</v>
      </c>
      <c r="H3" s="425"/>
      <c r="I3" s="425"/>
      <c r="J3" s="426"/>
      <c r="L3" s="242"/>
      <c r="M3" s="243"/>
      <c r="N3" s="243"/>
      <c r="O3" s="243"/>
      <c r="P3" s="242"/>
      <c r="Q3" s="243"/>
      <c r="R3" s="243"/>
      <c r="S3" s="243"/>
      <c r="T3" s="242"/>
      <c r="U3" s="242"/>
    </row>
    <row r="4" spans="1:21" x14ac:dyDescent="0.25">
      <c r="A4" s="432"/>
      <c r="B4" s="423"/>
      <c r="C4" s="287">
        <v>2021</v>
      </c>
      <c r="D4" s="287">
        <v>2022</v>
      </c>
      <c r="E4" s="287" t="s">
        <v>308</v>
      </c>
      <c r="F4" s="428"/>
      <c r="G4" s="287">
        <v>2021</v>
      </c>
      <c r="H4" s="287">
        <v>2022</v>
      </c>
      <c r="I4" s="287" t="s">
        <v>308</v>
      </c>
      <c r="J4" s="288" t="s">
        <v>309</v>
      </c>
      <c r="K4" s="31"/>
      <c r="L4" s="242"/>
      <c r="M4" s="243"/>
      <c r="N4" s="243"/>
      <c r="O4" s="243"/>
      <c r="P4" s="242"/>
      <c r="Q4" s="243"/>
      <c r="R4" s="243"/>
      <c r="S4" s="243"/>
      <c r="T4" s="242"/>
      <c r="U4" s="242"/>
    </row>
    <row r="5" spans="1:21" x14ac:dyDescent="0.25">
      <c r="A5" s="235" t="s">
        <v>151</v>
      </c>
      <c r="B5" s="116">
        <v>63839</v>
      </c>
      <c r="C5" s="116">
        <v>44150</v>
      </c>
      <c r="D5" s="116">
        <v>42343</v>
      </c>
      <c r="E5" s="340">
        <f>D5/C5-1</f>
        <v>-4.0928652321630787E-2</v>
      </c>
      <c r="F5" s="116">
        <v>249603</v>
      </c>
      <c r="G5" s="116">
        <v>170806</v>
      </c>
      <c r="H5" s="116">
        <v>164906</v>
      </c>
      <c r="I5" s="291">
        <f>H5/G5-1</f>
        <v>-3.4542112103790212E-2</v>
      </c>
      <c r="J5" s="291">
        <f>H5/H$17</f>
        <v>0.16237761810843357</v>
      </c>
      <c r="K5" s="100"/>
      <c r="L5" s="242"/>
      <c r="M5" s="243"/>
      <c r="N5" s="243"/>
      <c r="O5" s="243"/>
      <c r="P5" s="242"/>
      <c r="Q5" s="243"/>
      <c r="R5" s="243"/>
      <c r="S5" s="243"/>
      <c r="T5" s="242"/>
      <c r="U5" s="242"/>
    </row>
    <row r="6" spans="1:21" x14ac:dyDescent="0.25">
      <c r="A6" s="235" t="s">
        <v>152</v>
      </c>
      <c r="B6" s="116">
        <v>67682</v>
      </c>
      <c r="C6" s="116">
        <v>45409</v>
      </c>
      <c r="D6" s="116">
        <v>44858</v>
      </c>
      <c r="E6" s="340">
        <f t="shared" ref="E6:E17" si="0">D6/C6-1</f>
        <v>-1.2134158426743591E-2</v>
      </c>
      <c r="F6" s="116">
        <v>179278</v>
      </c>
      <c r="G6" s="116">
        <v>118508</v>
      </c>
      <c r="H6" s="116">
        <v>120042</v>
      </c>
      <c r="I6" s="291">
        <f>H6/G6-1</f>
        <v>1.2944273804300188E-2</v>
      </c>
      <c r="J6" s="291">
        <f>H6/H$17</f>
        <v>0.11820148468201633</v>
      </c>
      <c r="K6" s="100"/>
      <c r="L6" s="242"/>
      <c r="M6" s="243"/>
      <c r="N6" s="243"/>
      <c r="O6" s="243"/>
      <c r="P6" s="242"/>
      <c r="Q6" s="243"/>
      <c r="R6" s="243"/>
      <c r="S6" s="243"/>
      <c r="T6" s="242"/>
      <c r="U6" s="242"/>
    </row>
    <row r="7" spans="1:21" x14ac:dyDescent="0.25">
      <c r="A7" s="235" t="s">
        <v>153</v>
      </c>
      <c r="B7" s="116">
        <v>53417</v>
      </c>
      <c r="C7" s="116">
        <v>32722</v>
      </c>
      <c r="D7" s="116">
        <v>34563</v>
      </c>
      <c r="E7" s="340">
        <f t="shared" si="0"/>
        <v>5.6261842185685529E-2</v>
      </c>
      <c r="F7" s="116">
        <v>165363</v>
      </c>
      <c r="G7" s="116">
        <v>102581</v>
      </c>
      <c r="H7" s="116">
        <v>101769</v>
      </c>
      <c r="I7" s="291">
        <f t="shared" ref="I7:I17" si="1">H7/G7-1</f>
        <v>-7.9156958891022366E-3</v>
      </c>
      <c r="J7" s="291">
        <f>H7/H$17</f>
        <v>0.10020865109381816</v>
      </c>
      <c r="K7" s="100"/>
      <c r="L7" s="242"/>
      <c r="M7" s="243"/>
      <c r="N7" s="243"/>
      <c r="O7" s="243"/>
      <c r="P7" s="242"/>
      <c r="Q7" s="243"/>
      <c r="R7" s="243"/>
      <c r="S7" s="243"/>
      <c r="T7" s="242"/>
      <c r="U7" s="242"/>
    </row>
    <row r="8" spans="1:21" x14ac:dyDescent="0.25">
      <c r="A8" s="235" t="s">
        <v>154</v>
      </c>
      <c r="B8" s="116">
        <v>41647</v>
      </c>
      <c r="C8" s="116">
        <v>25272</v>
      </c>
      <c r="D8" s="116">
        <v>27377</v>
      </c>
      <c r="E8" s="340">
        <f t="shared" si="0"/>
        <v>8.3293763849319413E-2</v>
      </c>
      <c r="F8" s="116">
        <v>114739</v>
      </c>
      <c r="G8" s="116">
        <v>68949</v>
      </c>
      <c r="H8" s="116">
        <v>75927</v>
      </c>
      <c r="I8" s="291">
        <f t="shared" si="1"/>
        <v>0.1012052386546578</v>
      </c>
      <c r="J8" s="291">
        <f>H8/H$17</f>
        <v>7.4762867391841639E-2</v>
      </c>
      <c r="K8" s="100"/>
      <c r="L8" s="242"/>
      <c r="M8" s="243"/>
      <c r="N8" s="243"/>
      <c r="O8" s="243"/>
      <c r="P8" s="242"/>
      <c r="Q8" s="243"/>
      <c r="R8" s="243"/>
      <c r="S8" s="243"/>
      <c r="T8" s="242"/>
      <c r="U8" s="242"/>
    </row>
    <row r="9" spans="1:21" x14ac:dyDescent="0.25">
      <c r="A9" s="235" t="s">
        <v>155</v>
      </c>
      <c r="B9" s="116">
        <v>31858</v>
      </c>
      <c r="C9" s="116">
        <v>17733</v>
      </c>
      <c r="D9" s="116">
        <v>18375</v>
      </c>
      <c r="E9" s="340">
        <f t="shared" si="0"/>
        <v>3.6203688039248894E-2</v>
      </c>
      <c r="F9" s="116">
        <v>113662</v>
      </c>
      <c r="G9" s="116">
        <v>68328</v>
      </c>
      <c r="H9" s="116">
        <v>73647</v>
      </c>
      <c r="I9" s="291">
        <f t="shared" si="1"/>
        <v>7.7845100105374154E-2</v>
      </c>
      <c r="J9" s="291">
        <f t="shared" ref="J9:J17" si="2">H9/H$17</f>
        <v>7.2517824947738757E-2</v>
      </c>
      <c r="K9" s="100"/>
      <c r="L9" s="242"/>
      <c r="M9" s="243"/>
      <c r="N9" s="243"/>
      <c r="O9" s="243"/>
      <c r="P9" s="242"/>
      <c r="Q9" s="243"/>
      <c r="R9" s="243"/>
      <c r="S9" s="243"/>
      <c r="T9" s="242"/>
      <c r="U9" s="242"/>
    </row>
    <row r="10" spans="1:21" x14ac:dyDescent="0.25">
      <c r="A10" s="235" t="s">
        <v>157</v>
      </c>
      <c r="B10" s="116">
        <v>26568</v>
      </c>
      <c r="C10" s="116">
        <v>17614</v>
      </c>
      <c r="D10" s="116">
        <v>17716</v>
      </c>
      <c r="E10" s="340">
        <f t="shared" si="0"/>
        <v>5.7908481889406005E-3</v>
      </c>
      <c r="F10" s="116">
        <v>88384</v>
      </c>
      <c r="G10" s="116">
        <v>57985</v>
      </c>
      <c r="H10" s="116">
        <v>53596</v>
      </c>
      <c r="I10" s="291">
        <f t="shared" si="1"/>
        <v>-7.5691989307579588E-2</v>
      </c>
      <c r="J10" s="291">
        <f t="shared" si="2"/>
        <v>5.2774252120235808E-2</v>
      </c>
      <c r="K10" s="100"/>
      <c r="L10" s="242"/>
      <c r="M10" s="243"/>
      <c r="N10" s="243"/>
      <c r="O10" s="243"/>
      <c r="P10" s="242"/>
      <c r="Q10" s="243"/>
      <c r="R10" s="243"/>
      <c r="S10" s="243"/>
      <c r="T10" s="242"/>
      <c r="U10" s="242"/>
    </row>
    <row r="11" spans="1:21" x14ac:dyDescent="0.25">
      <c r="A11" s="235" t="s">
        <v>158</v>
      </c>
      <c r="B11" s="116">
        <v>12972</v>
      </c>
      <c r="C11" s="116">
        <v>8489</v>
      </c>
      <c r="D11" s="116">
        <v>9756</v>
      </c>
      <c r="E11" s="340">
        <f t="shared" si="0"/>
        <v>0.14925197314171279</v>
      </c>
      <c r="F11" s="116">
        <v>62829</v>
      </c>
      <c r="G11" s="116">
        <v>40893</v>
      </c>
      <c r="H11" s="116">
        <v>46513</v>
      </c>
      <c r="I11" s="291">
        <f>H11/G11-1</f>
        <v>0.13743183429926886</v>
      </c>
      <c r="J11" s="291">
        <f t="shared" si="2"/>
        <v>4.5799850527437277E-2</v>
      </c>
      <c r="K11" s="100"/>
      <c r="L11" s="242"/>
      <c r="M11" s="243"/>
      <c r="N11" s="243"/>
      <c r="O11" s="243"/>
      <c r="P11" s="242"/>
      <c r="Q11" s="243"/>
      <c r="R11" s="243"/>
      <c r="S11" s="243"/>
      <c r="T11" s="242"/>
      <c r="U11" s="242"/>
    </row>
    <row r="12" spans="1:21" x14ac:dyDescent="0.25">
      <c r="A12" s="235" t="s">
        <v>156</v>
      </c>
      <c r="B12" s="116">
        <v>17453</v>
      </c>
      <c r="C12" s="116">
        <v>14544</v>
      </c>
      <c r="D12" s="116">
        <v>9431</v>
      </c>
      <c r="E12" s="340">
        <f t="shared" si="0"/>
        <v>-0.3515539053905391</v>
      </c>
      <c r="F12" s="116">
        <v>76210</v>
      </c>
      <c r="G12" s="116">
        <v>62327</v>
      </c>
      <c r="H12" s="116">
        <v>43752</v>
      </c>
      <c r="I12" s="291">
        <f t="shared" si="1"/>
        <v>-0.29802493301458433</v>
      </c>
      <c r="J12" s="291">
        <f t="shared" si="2"/>
        <v>4.3081182901047788E-2</v>
      </c>
      <c r="K12" s="100"/>
      <c r="L12" s="242"/>
      <c r="M12" s="243"/>
      <c r="N12" s="243"/>
      <c r="O12" s="243"/>
      <c r="P12" s="242"/>
      <c r="Q12" s="243"/>
      <c r="R12" s="243"/>
      <c r="S12" s="243"/>
      <c r="T12" s="242"/>
      <c r="U12" s="242"/>
    </row>
    <row r="13" spans="1:21" x14ac:dyDescent="0.25">
      <c r="A13" s="235" t="s">
        <v>159</v>
      </c>
      <c r="B13" s="116">
        <v>15195</v>
      </c>
      <c r="C13" s="116">
        <v>9487</v>
      </c>
      <c r="D13" s="116">
        <v>15455</v>
      </c>
      <c r="E13" s="340">
        <f t="shared" si="0"/>
        <v>0.62907136080952886</v>
      </c>
      <c r="F13" s="116">
        <v>39780</v>
      </c>
      <c r="G13" s="116">
        <v>24897</v>
      </c>
      <c r="H13" s="116">
        <v>40932</v>
      </c>
      <c r="I13" s="291">
        <f t="shared" si="1"/>
        <v>0.64405350042173759</v>
      </c>
      <c r="J13" s="291">
        <f t="shared" si="2"/>
        <v>4.0304419878078437E-2</v>
      </c>
      <c r="K13" s="100"/>
      <c r="L13" s="242"/>
      <c r="M13" s="243"/>
      <c r="N13" s="243"/>
      <c r="O13" s="243"/>
      <c r="P13" s="242"/>
      <c r="Q13" s="243"/>
      <c r="R13" s="243"/>
      <c r="S13" s="243"/>
      <c r="T13" s="242"/>
      <c r="U13" s="242"/>
    </row>
    <row r="14" spans="1:21" x14ac:dyDescent="0.25">
      <c r="A14" s="235" t="s">
        <v>315</v>
      </c>
      <c r="B14" s="116">
        <v>12279</v>
      </c>
      <c r="C14" s="116">
        <v>7369</v>
      </c>
      <c r="D14" s="116">
        <v>9989</v>
      </c>
      <c r="E14" s="340">
        <f t="shared" si="0"/>
        <v>0.35554349301126331</v>
      </c>
      <c r="F14" s="116">
        <v>40373</v>
      </c>
      <c r="G14" s="116">
        <v>25335</v>
      </c>
      <c r="H14" s="116">
        <v>28429</v>
      </c>
      <c r="I14" s="291">
        <f t="shared" si="1"/>
        <v>0.12212354450365104</v>
      </c>
      <c r="J14" s="291">
        <f t="shared" si="2"/>
        <v>2.7993119141842372E-2</v>
      </c>
      <c r="K14" s="100"/>
      <c r="L14" s="242"/>
      <c r="M14" s="243"/>
      <c r="N14" s="243"/>
      <c r="O14" s="243"/>
      <c r="P14" s="242"/>
      <c r="Q14" s="243"/>
      <c r="R14" s="243"/>
      <c r="S14" s="243"/>
      <c r="T14" s="242"/>
      <c r="U14" s="242"/>
    </row>
    <row r="15" spans="1:21" x14ac:dyDescent="0.25">
      <c r="A15" s="117" t="s">
        <v>160</v>
      </c>
      <c r="B15" s="118">
        <v>342910</v>
      </c>
      <c r="C15" s="118">
        <v>222789</v>
      </c>
      <c r="D15" s="118">
        <v>229863</v>
      </c>
      <c r="E15" s="341">
        <f t="shared" si="0"/>
        <v>3.1752016481962686E-2</v>
      </c>
      <c r="F15" s="118">
        <v>1130221</v>
      </c>
      <c r="G15" s="118">
        <v>740609</v>
      </c>
      <c r="H15" s="118">
        <v>749513</v>
      </c>
      <c r="I15" s="292">
        <f t="shared" si="1"/>
        <v>1.2022538208420475E-2</v>
      </c>
      <c r="J15" s="292">
        <f t="shared" si="2"/>
        <v>0.73802127079249014</v>
      </c>
      <c r="K15" s="100"/>
      <c r="L15" s="242"/>
    </row>
    <row r="16" spans="1:21" x14ac:dyDescent="0.25">
      <c r="A16" s="224" t="s">
        <v>161</v>
      </c>
      <c r="B16" s="116">
        <v>105275</v>
      </c>
      <c r="C16" s="116">
        <v>66788</v>
      </c>
      <c r="D16" s="116">
        <v>78290</v>
      </c>
      <c r="E16" s="340">
        <f t="shared" si="0"/>
        <v>0.17221656585015266</v>
      </c>
      <c r="F16" s="116">
        <v>375449</v>
      </c>
      <c r="G16" s="116">
        <v>244974</v>
      </c>
      <c r="H16" s="116">
        <v>266058</v>
      </c>
      <c r="I16" s="291">
        <f t="shared" si="1"/>
        <v>8.6066276421171262E-2</v>
      </c>
      <c r="J16" s="291">
        <f t="shared" si="2"/>
        <v>0.26197872920750986</v>
      </c>
      <c r="K16" s="100"/>
    </row>
    <row r="17" spans="1:11" x14ac:dyDescent="0.25">
      <c r="A17" s="120" t="s">
        <v>162</v>
      </c>
      <c r="B17" s="118">
        <v>448185</v>
      </c>
      <c r="C17" s="118">
        <v>289577</v>
      </c>
      <c r="D17" s="118">
        <v>308153</v>
      </c>
      <c r="E17" s="341">
        <f t="shared" si="0"/>
        <v>6.4148741094769202E-2</v>
      </c>
      <c r="F17" s="118">
        <v>1505670</v>
      </c>
      <c r="G17" s="118">
        <v>985583</v>
      </c>
      <c r="H17" s="118">
        <v>1015571</v>
      </c>
      <c r="I17" s="292">
        <f t="shared" si="1"/>
        <v>3.0426661174147718E-2</v>
      </c>
      <c r="J17" s="292">
        <f t="shared" si="2"/>
        <v>1</v>
      </c>
      <c r="K17" s="100"/>
    </row>
    <row r="18" spans="1:11" x14ac:dyDescent="0.25">
      <c r="A18" s="411" t="s">
        <v>163</v>
      </c>
      <c r="B18" s="411"/>
      <c r="C18" s="411"/>
      <c r="D18" s="411"/>
      <c r="E18" s="411"/>
      <c r="F18" s="411"/>
      <c r="G18" s="411"/>
      <c r="H18" s="411"/>
      <c r="I18" s="411"/>
      <c r="J18" s="411"/>
      <c r="K18" s="31"/>
    </row>
    <row r="19" spans="1:11" x14ac:dyDescent="0.25">
      <c r="A19" s="411" t="s">
        <v>164</v>
      </c>
      <c r="B19" s="411"/>
      <c r="C19" s="411"/>
      <c r="D19" s="411"/>
      <c r="E19" s="411"/>
      <c r="F19" s="411"/>
      <c r="G19" s="411"/>
      <c r="H19" s="411"/>
      <c r="I19" s="411"/>
      <c r="J19" s="411"/>
      <c r="K19" s="31"/>
    </row>
    <row r="21" spans="1:11" s="31" customFormat="1" x14ac:dyDescent="0.25"/>
    <row r="22" spans="1:11" s="31" customFormat="1" x14ac:dyDescent="0.25"/>
    <row r="23" spans="1:11" s="31" customFormat="1" x14ac:dyDescent="0.25"/>
    <row r="24" spans="1:11" s="31" customFormat="1" x14ac:dyDescent="0.25"/>
    <row r="25" spans="1:11" s="31" customFormat="1" x14ac:dyDescent="0.25"/>
    <row r="26" spans="1:11" s="31" customFormat="1" x14ac:dyDescent="0.25"/>
    <row r="27" spans="1:11" s="31" customFormat="1" x14ac:dyDescent="0.25"/>
    <row r="28" spans="1:11" s="31" customFormat="1" x14ac:dyDescent="0.25"/>
    <row r="29" spans="1:11" s="31" customFormat="1" x14ac:dyDescent="0.25"/>
    <row r="30" spans="1:11" s="31" customFormat="1" x14ac:dyDescent="0.25"/>
    <row r="33" spans="1:21" x14ac:dyDescent="0.25">
      <c r="A33" s="429" t="s">
        <v>569</v>
      </c>
      <c r="B33" s="429"/>
      <c r="C33" s="429"/>
      <c r="D33" s="429"/>
      <c r="E33" s="429"/>
      <c r="F33" s="429"/>
      <c r="G33" s="429"/>
      <c r="H33" s="429"/>
      <c r="I33" s="429"/>
      <c r="J33" s="429"/>
      <c r="K33" s="31"/>
      <c r="L33" s="242"/>
      <c r="M33" s="243"/>
      <c r="N33" s="243"/>
      <c r="O33" s="243"/>
      <c r="P33" s="242"/>
      <c r="Q33" s="243"/>
      <c r="R33" s="243"/>
      <c r="S33" s="243"/>
      <c r="T33" s="242"/>
      <c r="U33" s="242"/>
    </row>
    <row r="34" spans="1:21" x14ac:dyDescent="0.25">
      <c r="A34" s="430" t="s">
        <v>148</v>
      </c>
      <c r="B34" s="425" t="s">
        <v>149</v>
      </c>
      <c r="C34" s="425"/>
      <c r="D34" s="425"/>
      <c r="E34" s="425"/>
      <c r="F34" s="424" t="s">
        <v>150</v>
      </c>
      <c r="G34" s="425"/>
      <c r="H34" s="425"/>
      <c r="I34" s="425"/>
      <c r="J34" s="426"/>
      <c r="K34" s="31"/>
      <c r="L34" s="242"/>
      <c r="M34" s="243"/>
      <c r="N34" s="243"/>
      <c r="O34" s="243"/>
      <c r="P34" s="242"/>
      <c r="Q34" s="243"/>
      <c r="R34" s="243"/>
      <c r="S34" s="243"/>
      <c r="T34" s="242"/>
      <c r="U34" s="242"/>
    </row>
    <row r="35" spans="1:21" s="31" customFormat="1" x14ac:dyDescent="0.25">
      <c r="A35" s="431"/>
      <c r="B35" s="422">
        <v>2021</v>
      </c>
      <c r="C35" s="424" t="s">
        <v>609</v>
      </c>
      <c r="D35" s="425"/>
      <c r="E35" s="425"/>
      <c r="F35" s="427">
        <v>2021</v>
      </c>
      <c r="G35" s="424" t="str">
        <f>C35</f>
        <v>Enero - agosto</v>
      </c>
      <c r="H35" s="425"/>
      <c r="I35" s="425"/>
      <c r="J35" s="426"/>
      <c r="L35" s="242"/>
      <c r="M35" s="243"/>
      <c r="N35" s="243"/>
      <c r="O35" s="243"/>
      <c r="P35" s="242"/>
      <c r="Q35" s="243"/>
      <c r="R35" s="243"/>
      <c r="S35" s="243"/>
      <c r="T35" s="242"/>
      <c r="U35" s="242"/>
    </row>
    <row r="36" spans="1:21" x14ac:dyDescent="0.25">
      <c r="A36" s="432"/>
      <c r="B36" s="423"/>
      <c r="C36" s="287">
        <v>2021</v>
      </c>
      <c r="D36" s="287">
        <v>2022</v>
      </c>
      <c r="E36" s="287" t="s">
        <v>308</v>
      </c>
      <c r="F36" s="428"/>
      <c r="G36" s="287">
        <v>2021</v>
      </c>
      <c r="H36" s="287">
        <v>2022</v>
      </c>
      <c r="I36" s="287" t="s">
        <v>308</v>
      </c>
      <c r="J36" s="288" t="s">
        <v>309</v>
      </c>
      <c r="K36" s="31"/>
      <c r="L36" s="242"/>
      <c r="M36" s="243"/>
      <c r="N36" s="243"/>
      <c r="O36" s="243"/>
      <c r="P36" s="242"/>
      <c r="Q36" s="243"/>
      <c r="R36" s="243"/>
      <c r="S36" s="243"/>
      <c r="T36" s="242"/>
      <c r="U36" s="242"/>
    </row>
    <row r="37" spans="1:21" x14ac:dyDescent="0.25">
      <c r="A37" s="352" t="s">
        <v>151</v>
      </c>
      <c r="B37" s="289">
        <v>57540</v>
      </c>
      <c r="C37" s="289">
        <v>38359</v>
      </c>
      <c r="D37" s="289">
        <v>56408</v>
      </c>
      <c r="E37" s="216">
        <f>D37/C37-1</f>
        <v>0.4705284287911573</v>
      </c>
      <c r="F37" s="122">
        <v>55162</v>
      </c>
      <c r="G37" s="122">
        <v>38063</v>
      </c>
      <c r="H37" s="122">
        <v>55405</v>
      </c>
      <c r="I37" s="216">
        <f>H37/G37-1</f>
        <v>0.45561306255418654</v>
      </c>
      <c r="J37" s="216">
        <f>H37/$H$49</f>
        <v>0.25436957390054771</v>
      </c>
      <c r="K37" s="100"/>
      <c r="L37" s="242"/>
      <c r="M37" s="243"/>
      <c r="N37" s="243"/>
      <c r="O37" s="243"/>
      <c r="P37" s="242"/>
      <c r="Q37" s="243"/>
      <c r="R37" s="243"/>
      <c r="S37" s="243"/>
      <c r="T37" s="242"/>
      <c r="U37" s="242"/>
    </row>
    <row r="38" spans="1:21" x14ac:dyDescent="0.25">
      <c r="A38" s="352" t="s">
        <v>155</v>
      </c>
      <c r="B38" s="289">
        <v>129870</v>
      </c>
      <c r="C38" s="289">
        <v>77600</v>
      </c>
      <c r="D38" s="289">
        <v>58251</v>
      </c>
      <c r="E38" s="216">
        <f t="shared" ref="E38:E49" si="3">D38/C38-1</f>
        <v>-0.2493427835051546</v>
      </c>
      <c r="F38" s="122">
        <v>101224</v>
      </c>
      <c r="G38" s="122">
        <v>60498</v>
      </c>
      <c r="H38" s="122">
        <v>50818</v>
      </c>
      <c r="I38" s="216">
        <f t="shared" ref="I38:I49" si="4">H38/G38-1</f>
        <v>-0.16000528943105552</v>
      </c>
      <c r="J38" s="216">
        <f t="shared" ref="J38:J49" si="5">H38/$H$49</f>
        <v>0.23331022482588276</v>
      </c>
      <c r="K38" s="100"/>
      <c r="L38" s="242"/>
      <c r="M38" s="243"/>
      <c r="N38" s="243"/>
      <c r="O38" s="243"/>
      <c r="P38" s="242"/>
      <c r="Q38" s="243"/>
      <c r="R38" s="243"/>
      <c r="S38" s="243"/>
      <c r="T38" s="242"/>
      <c r="U38" s="242"/>
    </row>
    <row r="39" spans="1:21" x14ac:dyDescent="0.25">
      <c r="A39" s="352" t="s">
        <v>153</v>
      </c>
      <c r="B39" s="289">
        <v>61811</v>
      </c>
      <c r="C39" s="289">
        <v>41001</v>
      </c>
      <c r="D39" s="289">
        <v>48078</v>
      </c>
      <c r="E39" s="216">
        <f t="shared" si="3"/>
        <v>0.17260554620619017</v>
      </c>
      <c r="F39" s="122">
        <v>60380</v>
      </c>
      <c r="G39" s="122">
        <v>39378</v>
      </c>
      <c r="H39" s="122">
        <v>49781</v>
      </c>
      <c r="I39" s="216">
        <f t="shared" si="4"/>
        <v>0.26418304637107015</v>
      </c>
      <c r="J39" s="216">
        <f t="shared" si="5"/>
        <v>0.22854926014517041</v>
      </c>
      <c r="K39" s="100"/>
      <c r="L39" s="242"/>
      <c r="M39" s="243"/>
      <c r="N39" s="243"/>
      <c r="O39" s="243"/>
      <c r="P39" s="242"/>
      <c r="Q39" s="243"/>
      <c r="R39" s="243"/>
      <c r="S39" s="243"/>
      <c r="T39" s="242"/>
      <c r="U39" s="242"/>
    </row>
    <row r="40" spans="1:21" x14ac:dyDescent="0.25">
      <c r="A40" s="352" t="s">
        <v>165</v>
      </c>
      <c r="B40" s="289">
        <v>25959</v>
      </c>
      <c r="C40" s="289">
        <v>16983</v>
      </c>
      <c r="D40" s="289">
        <v>15414</v>
      </c>
      <c r="E40" s="216">
        <f t="shared" si="3"/>
        <v>-9.238650415121008E-2</v>
      </c>
      <c r="F40" s="122">
        <v>23240</v>
      </c>
      <c r="G40" s="122">
        <v>14144</v>
      </c>
      <c r="H40" s="122">
        <v>13260</v>
      </c>
      <c r="I40" s="216">
        <f t="shared" si="4"/>
        <v>-6.25E-2</v>
      </c>
      <c r="J40" s="216">
        <f t="shared" si="5"/>
        <v>6.0877909032059613E-2</v>
      </c>
      <c r="K40" s="100"/>
      <c r="L40" s="242"/>
      <c r="M40" s="243"/>
      <c r="N40" s="243"/>
      <c r="O40" s="243"/>
      <c r="P40" s="242"/>
      <c r="Q40" s="243"/>
      <c r="R40" s="242"/>
      <c r="S40" s="243"/>
      <c r="T40" s="242"/>
      <c r="U40" s="242"/>
    </row>
    <row r="41" spans="1:21" x14ac:dyDescent="0.25">
      <c r="A41" s="352" t="s">
        <v>154</v>
      </c>
      <c r="B41" s="289">
        <v>18718</v>
      </c>
      <c r="C41" s="289">
        <v>12237</v>
      </c>
      <c r="D41" s="289">
        <v>12341</v>
      </c>
      <c r="E41" s="216">
        <f t="shared" si="3"/>
        <v>8.4988150690528119E-3</v>
      </c>
      <c r="F41" s="122">
        <v>14857</v>
      </c>
      <c r="G41" s="122">
        <v>9424</v>
      </c>
      <c r="H41" s="122">
        <v>9787</v>
      </c>
      <c r="I41" s="216">
        <f t="shared" si="4"/>
        <v>3.8518675721561868E-2</v>
      </c>
      <c r="J41" s="216">
        <f t="shared" si="5"/>
        <v>4.4933038891158933E-2</v>
      </c>
      <c r="K41" s="100"/>
      <c r="L41" s="242"/>
      <c r="M41" s="243"/>
      <c r="N41" s="243"/>
      <c r="O41" s="243"/>
      <c r="P41" s="242"/>
      <c r="Q41" s="243"/>
      <c r="R41" s="243"/>
      <c r="S41" s="243"/>
      <c r="T41" s="242"/>
      <c r="U41" s="242"/>
    </row>
    <row r="42" spans="1:21" x14ac:dyDescent="0.25">
      <c r="A42" s="352" t="s">
        <v>166</v>
      </c>
      <c r="B42" s="289">
        <v>9629</v>
      </c>
      <c r="C42" s="289">
        <v>7217</v>
      </c>
      <c r="D42" s="289">
        <v>6075</v>
      </c>
      <c r="E42" s="216">
        <f t="shared" si="3"/>
        <v>-0.15823749480393512</v>
      </c>
      <c r="F42" s="122">
        <v>12829</v>
      </c>
      <c r="G42" s="122">
        <v>9831</v>
      </c>
      <c r="H42" s="122">
        <v>7845</v>
      </c>
      <c r="I42" s="216">
        <f t="shared" si="4"/>
        <v>-0.20201403722917299</v>
      </c>
      <c r="J42" s="216">
        <f t="shared" si="5"/>
        <v>3.6017133963537527E-2</v>
      </c>
      <c r="K42" s="100"/>
      <c r="L42" s="242"/>
      <c r="M42" s="243"/>
      <c r="N42" s="243"/>
      <c r="O42" s="243"/>
      <c r="P42" s="242"/>
      <c r="Q42" s="243"/>
      <c r="R42" s="243"/>
      <c r="S42" s="243"/>
      <c r="T42" s="242"/>
      <c r="U42" s="242"/>
    </row>
    <row r="43" spans="1:21" x14ac:dyDescent="0.25">
      <c r="A43" s="352" t="s">
        <v>167</v>
      </c>
      <c r="B43" s="289">
        <v>9565</v>
      </c>
      <c r="C43" s="289">
        <v>5581</v>
      </c>
      <c r="D43" s="289">
        <v>8700</v>
      </c>
      <c r="E43" s="216">
        <f t="shared" si="3"/>
        <v>0.55886041927969887</v>
      </c>
      <c r="F43" s="122">
        <v>8110</v>
      </c>
      <c r="G43" s="122">
        <v>4593</v>
      </c>
      <c r="H43" s="122">
        <v>7837</v>
      </c>
      <c r="I43" s="216">
        <f t="shared" si="4"/>
        <v>0.70629218375789238</v>
      </c>
      <c r="J43" s="216">
        <f t="shared" si="5"/>
        <v>3.5980405209973691E-2</v>
      </c>
      <c r="K43" s="100"/>
      <c r="L43" s="242"/>
      <c r="M43" s="243"/>
      <c r="N43" s="243"/>
      <c r="O43" s="243"/>
      <c r="P43" s="242"/>
      <c r="Q43" s="243"/>
      <c r="R43" s="243"/>
      <c r="S43" s="243"/>
      <c r="T43" s="242"/>
      <c r="U43" s="242"/>
    </row>
    <row r="44" spans="1:21" x14ac:dyDescent="0.25">
      <c r="A44" s="352" t="s">
        <v>159</v>
      </c>
      <c r="B44" s="289">
        <v>3376</v>
      </c>
      <c r="C44" s="289">
        <v>1840</v>
      </c>
      <c r="D44" s="289">
        <v>8783</v>
      </c>
      <c r="E44" s="216">
        <f t="shared" si="3"/>
        <v>3.7733695652173909</v>
      </c>
      <c r="F44" s="122">
        <v>1728</v>
      </c>
      <c r="G44" s="122">
        <v>982</v>
      </c>
      <c r="H44" s="122">
        <v>6110</v>
      </c>
      <c r="I44" s="216">
        <f t="shared" si="4"/>
        <v>5.2219959266802443</v>
      </c>
      <c r="J44" s="216">
        <f>H44/$H$49</f>
        <v>2.8051585534380408E-2</v>
      </c>
      <c r="K44" s="100"/>
      <c r="L44" s="242"/>
      <c r="M44" s="243"/>
      <c r="N44" s="243"/>
      <c r="O44" s="243"/>
      <c r="P44" s="242"/>
      <c r="Q44" s="243"/>
      <c r="R44" s="243"/>
      <c r="S44" s="243"/>
      <c r="T44" s="242"/>
      <c r="U44" s="242"/>
    </row>
    <row r="45" spans="1:21" x14ac:dyDescent="0.25">
      <c r="A45" s="352" t="s">
        <v>158</v>
      </c>
      <c r="B45" s="289">
        <v>11156</v>
      </c>
      <c r="C45" s="289">
        <v>8315</v>
      </c>
      <c r="D45" s="289">
        <v>5058</v>
      </c>
      <c r="E45" s="216">
        <f t="shared" si="3"/>
        <v>-0.39170174383644019</v>
      </c>
      <c r="F45" s="122">
        <v>8350</v>
      </c>
      <c r="G45" s="122">
        <v>6004</v>
      </c>
      <c r="H45" s="122">
        <v>4343</v>
      </c>
      <c r="I45" s="216">
        <f t="shared" si="4"/>
        <v>-0.27664890073284476</v>
      </c>
      <c r="J45" s="216">
        <f t="shared" si="5"/>
        <v>1.9939122090967942E-2</v>
      </c>
      <c r="K45" s="100"/>
      <c r="L45" s="242"/>
      <c r="M45" s="243"/>
      <c r="N45" s="243"/>
      <c r="O45" s="243"/>
      <c r="P45" s="242"/>
      <c r="Q45" s="243"/>
      <c r="R45" s="243"/>
      <c r="S45" s="243"/>
      <c r="T45" s="242"/>
      <c r="U45" s="242"/>
    </row>
    <row r="46" spans="1:21" x14ac:dyDescent="0.25">
      <c r="A46" s="352" t="s">
        <v>236</v>
      </c>
      <c r="B46" s="289">
        <v>6288</v>
      </c>
      <c r="C46" s="289">
        <v>3336</v>
      </c>
      <c r="D46" s="289">
        <v>3024</v>
      </c>
      <c r="E46" s="216">
        <f t="shared" si="3"/>
        <v>-9.3525179856115082E-2</v>
      </c>
      <c r="F46" s="122">
        <v>3839</v>
      </c>
      <c r="G46" s="122">
        <v>2074</v>
      </c>
      <c r="H46" s="122">
        <v>2219</v>
      </c>
      <c r="I46" s="216">
        <f t="shared" si="4"/>
        <v>6.9913211186113822E-2</v>
      </c>
      <c r="J46" s="216">
        <f t="shared" si="5"/>
        <v>1.0187638019769251E-2</v>
      </c>
      <c r="K46" s="100"/>
      <c r="L46" s="242"/>
    </row>
    <row r="47" spans="1:21" x14ac:dyDescent="0.25">
      <c r="A47" s="290" t="s">
        <v>160</v>
      </c>
      <c r="B47" s="289">
        <v>333912</v>
      </c>
      <c r="C47" s="289">
        <v>212469</v>
      </c>
      <c r="D47" s="289">
        <v>222132</v>
      </c>
      <c r="E47" s="217">
        <f t="shared" si="3"/>
        <v>4.5479575844005415E-2</v>
      </c>
      <c r="F47" s="123">
        <v>289719</v>
      </c>
      <c r="G47" s="123">
        <v>184991</v>
      </c>
      <c r="H47" s="123">
        <v>207405</v>
      </c>
      <c r="I47" s="217">
        <f t="shared" si="4"/>
        <v>0.12116265115600222</v>
      </c>
      <c r="J47" s="217">
        <f t="shared" si="5"/>
        <v>0.95221589161344822</v>
      </c>
      <c r="K47" s="100"/>
    </row>
    <row r="48" spans="1:21" x14ac:dyDescent="0.25">
      <c r="A48" s="290" t="s">
        <v>161</v>
      </c>
      <c r="B48" s="289">
        <v>19126</v>
      </c>
      <c r="C48" s="289">
        <v>13212</v>
      </c>
      <c r="D48" s="289">
        <v>10159</v>
      </c>
      <c r="E48" s="216">
        <f t="shared" si="3"/>
        <v>-0.23107780805328493</v>
      </c>
      <c r="F48" s="124">
        <v>19158</v>
      </c>
      <c r="G48" s="124">
        <v>13147</v>
      </c>
      <c r="H48" s="124">
        <v>10408</v>
      </c>
      <c r="I48" s="216">
        <f t="shared" si="4"/>
        <v>-0.2083365026241728</v>
      </c>
      <c r="J48" s="216">
        <f t="shared" si="5"/>
        <v>4.7784108386551769E-2</v>
      </c>
      <c r="K48" s="100"/>
    </row>
    <row r="49" spans="1:11" x14ac:dyDescent="0.25">
      <c r="A49" s="290" t="s">
        <v>162</v>
      </c>
      <c r="B49" s="289">
        <v>353038</v>
      </c>
      <c r="C49" s="289">
        <v>225681</v>
      </c>
      <c r="D49" s="289">
        <v>232291</v>
      </c>
      <c r="E49" s="217">
        <f t="shared" si="3"/>
        <v>2.9289129346289577E-2</v>
      </c>
      <c r="F49" s="125">
        <v>308877</v>
      </c>
      <c r="G49" s="125">
        <v>198138</v>
      </c>
      <c r="H49" s="125">
        <v>217813</v>
      </c>
      <c r="I49" s="217">
        <f t="shared" si="4"/>
        <v>9.929947814149731E-2</v>
      </c>
      <c r="J49" s="217">
        <f t="shared" si="5"/>
        <v>1</v>
      </c>
      <c r="K49" s="100"/>
    </row>
    <row r="50" spans="1:11" x14ac:dyDescent="0.25">
      <c r="A50" s="411" t="s">
        <v>163</v>
      </c>
      <c r="B50" s="411"/>
      <c r="C50" s="411"/>
      <c r="D50" s="411"/>
      <c r="E50" s="411"/>
      <c r="F50" s="411"/>
      <c r="G50" s="411"/>
      <c r="H50" s="411"/>
      <c r="I50" s="411"/>
      <c r="J50" s="411"/>
      <c r="K50" s="100"/>
    </row>
    <row r="51" spans="1:11" x14ac:dyDescent="0.25">
      <c r="A51" s="411" t="s">
        <v>164</v>
      </c>
      <c r="B51" s="411"/>
      <c r="C51" s="411"/>
      <c r="D51" s="411"/>
      <c r="E51" s="411"/>
      <c r="F51" s="411"/>
      <c r="G51" s="411"/>
      <c r="H51" s="411"/>
      <c r="I51" s="411"/>
      <c r="J51" s="411"/>
      <c r="K51" s="31"/>
    </row>
    <row r="57" spans="1:11" s="31" customFormat="1" x14ac:dyDescent="0.25"/>
    <row r="58" spans="1:11" s="31" customFormat="1" x14ac:dyDescent="0.25"/>
    <row r="59" spans="1:11" s="31" customFormat="1" x14ac:dyDescent="0.25"/>
    <row r="65" spans="1:11" x14ac:dyDescent="0.25">
      <c r="A65" s="433" t="s">
        <v>570</v>
      </c>
      <c r="B65" s="433"/>
      <c r="C65" s="433"/>
      <c r="D65" s="433"/>
      <c r="E65" s="433"/>
      <c r="F65" s="433"/>
      <c r="G65" s="433"/>
      <c r="H65" s="433"/>
      <c r="I65" s="433"/>
      <c r="J65" s="433"/>
      <c r="K65" s="31"/>
    </row>
    <row r="66" spans="1:11" x14ac:dyDescent="0.25">
      <c r="A66" s="430" t="s">
        <v>148</v>
      </c>
      <c r="B66" s="425" t="s">
        <v>149</v>
      </c>
      <c r="C66" s="425"/>
      <c r="D66" s="425"/>
      <c r="E66" s="425"/>
      <c r="F66" s="424" t="s">
        <v>150</v>
      </c>
      <c r="G66" s="425"/>
      <c r="H66" s="425"/>
      <c r="I66" s="425"/>
      <c r="J66" s="426"/>
      <c r="K66" s="31"/>
    </row>
    <row r="67" spans="1:11" s="31" customFormat="1" x14ac:dyDescent="0.25">
      <c r="A67" s="431"/>
      <c r="B67" s="422">
        <v>2021</v>
      </c>
      <c r="C67" s="424" t="s">
        <v>609</v>
      </c>
      <c r="D67" s="425"/>
      <c r="E67" s="425"/>
      <c r="F67" s="427">
        <v>2021</v>
      </c>
      <c r="G67" s="424" t="str">
        <f>C67</f>
        <v>Enero - agosto</v>
      </c>
      <c r="H67" s="425"/>
      <c r="I67" s="425"/>
      <c r="J67" s="426"/>
    </row>
    <row r="68" spans="1:11" x14ac:dyDescent="0.25">
      <c r="A68" s="432"/>
      <c r="B68" s="423"/>
      <c r="C68" s="287">
        <v>2021</v>
      </c>
      <c r="D68" s="287">
        <v>2022</v>
      </c>
      <c r="E68" s="287" t="s">
        <v>308</v>
      </c>
      <c r="F68" s="428"/>
      <c r="G68" s="287">
        <v>2021</v>
      </c>
      <c r="H68" s="287">
        <v>2022</v>
      </c>
      <c r="I68" s="287" t="s">
        <v>308</v>
      </c>
      <c r="J68" s="288" t="s">
        <v>309</v>
      </c>
      <c r="K68" s="31"/>
    </row>
    <row r="69" spans="1:11" x14ac:dyDescent="0.25">
      <c r="A69" s="121" t="s">
        <v>154</v>
      </c>
      <c r="B69" s="122">
        <v>5950.14</v>
      </c>
      <c r="C69" s="122">
        <v>4324.5360000000001</v>
      </c>
      <c r="D69" s="122">
        <v>2932.7040000000002</v>
      </c>
      <c r="E69" s="162">
        <f t="shared" ref="E69:E81" si="6">D69/C69-1</f>
        <v>-0.32184539566788206</v>
      </c>
      <c r="F69" s="122">
        <v>10999.210419999999</v>
      </c>
      <c r="G69" s="122">
        <v>8030.6617999999999</v>
      </c>
      <c r="H69" s="122">
        <v>5129.3180899999998</v>
      </c>
      <c r="I69" s="162">
        <f t="shared" ref="I69:I81" si="7">H69/G69-1</f>
        <v>-0.36128326435064173</v>
      </c>
      <c r="J69" s="162">
        <f t="shared" ref="J69:J81" si="8">H69/$H$81</f>
        <v>0.21968478606683542</v>
      </c>
      <c r="K69" s="100"/>
    </row>
    <row r="70" spans="1:11" x14ac:dyDescent="0.25">
      <c r="A70" s="121" t="s">
        <v>156</v>
      </c>
      <c r="B70" s="122">
        <v>3941.76</v>
      </c>
      <c r="C70" s="122">
        <v>2474.556</v>
      </c>
      <c r="D70" s="122">
        <v>2946.864</v>
      </c>
      <c r="E70" s="163">
        <f t="shared" si="6"/>
        <v>0.19086575531125582</v>
      </c>
      <c r="F70" s="122">
        <v>6997.0386200000003</v>
      </c>
      <c r="G70" s="122">
        <v>4539.2325099999998</v>
      </c>
      <c r="H70" s="122">
        <v>4554.9344099999998</v>
      </c>
      <c r="I70" s="163">
        <f t="shared" si="7"/>
        <v>3.4591530540479809E-3</v>
      </c>
      <c r="J70" s="163">
        <f t="shared" si="8"/>
        <v>0.19508437064181317</v>
      </c>
      <c r="K70" s="100"/>
    </row>
    <row r="71" spans="1:11" x14ac:dyDescent="0.25">
      <c r="A71" s="121" t="s">
        <v>169</v>
      </c>
      <c r="B71" s="122">
        <v>3679.5</v>
      </c>
      <c r="C71" s="122">
        <v>2687.28</v>
      </c>
      <c r="D71" s="122">
        <v>2238.5639999999999</v>
      </c>
      <c r="E71" s="162">
        <f t="shared" si="6"/>
        <v>-0.16697776190050917</v>
      </c>
      <c r="F71" s="122">
        <v>6931.0654100000002</v>
      </c>
      <c r="G71" s="122">
        <v>4891.6568299999999</v>
      </c>
      <c r="H71" s="122">
        <v>3721.8292099999999</v>
      </c>
      <c r="I71" s="162">
        <f t="shared" si="7"/>
        <v>-0.23914752417331775</v>
      </c>
      <c r="J71" s="162">
        <f t="shared" si="8"/>
        <v>0.15940310962000587</v>
      </c>
      <c r="K71" s="100"/>
    </row>
    <row r="72" spans="1:11" x14ac:dyDescent="0.25">
      <c r="A72" s="121" t="s">
        <v>152</v>
      </c>
      <c r="B72" s="122">
        <v>3280.395</v>
      </c>
      <c r="C72" s="122">
        <v>2228.0189999999998</v>
      </c>
      <c r="D72" s="122">
        <v>2636.5</v>
      </c>
      <c r="E72" s="162">
        <f t="shared" si="6"/>
        <v>0.18333820313022486</v>
      </c>
      <c r="F72" s="122">
        <v>6419.8452400000006</v>
      </c>
      <c r="G72" s="122">
        <v>4344.6063400000003</v>
      </c>
      <c r="H72" s="122">
        <v>5351.9298699999999</v>
      </c>
      <c r="I72" s="162">
        <f t="shared" si="7"/>
        <v>0.23185611104181181</v>
      </c>
      <c r="J72" s="162">
        <f t="shared" si="8"/>
        <v>0.22921907900932234</v>
      </c>
      <c r="K72" s="100"/>
    </row>
    <row r="73" spans="1:11" x14ac:dyDescent="0.25">
      <c r="A73" s="121" t="s">
        <v>168</v>
      </c>
      <c r="B73" s="122">
        <v>919.16399999999999</v>
      </c>
      <c r="C73" s="122">
        <v>679.524</v>
      </c>
      <c r="D73" s="122">
        <v>407.16750000000002</v>
      </c>
      <c r="E73" s="162">
        <f t="shared" si="6"/>
        <v>-0.40080482808554219</v>
      </c>
      <c r="F73" s="122">
        <v>1998.5653600000001</v>
      </c>
      <c r="G73" s="122">
        <v>1471.5423400000002</v>
      </c>
      <c r="H73" s="122">
        <v>919.84019000000001</v>
      </c>
      <c r="I73" s="162">
        <f t="shared" si="7"/>
        <v>-0.37491422095269111</v>
      </c>
      <c r="J73" s="162">
        <f t="shared" si="8"/>
        <v>3.9396054565184364E-2</v>
      </c>
      <c r="K73" s="100"/>
    </row>
    <row r="74" spans="1:11" x14ac:dyDescent="0.25">
      <c r="A74" s="121" t="s">
        <v>155</v>
      </c>
      <c r="B74" s="122">
        <v>592.89599999999996</v>
      </c>
      <c r="C74" s="122">
        <v>464.66399999999999</v>
      </c>
      <c r="D74" s="122">
        <v>255.46799999999999</v>
      </c>
      <c r="E74" s="162">
        <f t="shared" si="6"/>
        <v>-0.45020918340994787</v>
      </c>
      <c r="F74" s="122">
        <v>1339.9135599999997</v>
      </c>
      <c r="G74" s="122">
        <v>1046.2670600000001</v>
      </c>
      <c r="H74" s="122">
        <v>576.30491000000006</v>
      </c>
      <c r="I74" s="162">
        <f t="shared" si="7"/>
        <v>-0.44917991588113271</v>
      </c>
      <c r="J74" s="162">
        <f t="shared" si="8"/>
        <v>2.4682700242249327E-2</v>
      </c>
      <c r="K74" s="100"/>
    </row>
    <row r="75" spans="1:11" x14ac:dyDescent="0.25">
      <c r="A75" s="121" t="s">
        <v>158</v>
      </c>
      <c r="B75" s="122">
        <v>827.05200000000002</v>
      </c>
      <c r="C75" s="122">
        <v>641.38800000000003</v>
      </c>
      <c r="D75" s="122">
        <v>152.14699999999999</v>
      </c>
      <c r="E75" s="162">
        <f t="shared" si="6"/>
        <v>-0.76278477302350534</v>
      </c>
      <c r="F75" s="122">
        <v>1284.27352</v>
      </c>
      <c r="G75" s="122">
        <v>994.02422999999999</v>
      </c>
      <c r="H75" s="122">
        <v>272.52762999999999</v>
      </c>
      <c r="I75" s="162">
        <f t="shared" si="7"/>
        <v>-0.72583401714463247</v>
      </c>
      <c r="J75" s="162">
        <f t="shared" si="8"/>
        <v>1.1672150770016231E-2</v>
      </c>
      <c r="K75" s="100"/>
    </row>
    <row r="76" spans="1:11" x14ac:dyDescent="0.25">
      <c r="A76" s="121" t="s">
        <v>157</v>
      </c>
      <c r="B76" s="122">
        <v>167.4555</v>
      </c>
      <c r="C76" s="122">
        <v>50.334499999999998</v>
      </c>
      <c r="D76" s="122">
        <v>71.909750000000003</v>
      </c>
      <c r="E76" s="162">
        <f t="shared" si="6"/>
        <v>0.42863741568904046</v>
      </c>
      <c r="F76" s="122">
        <v>612.73179000000005</v>
      </c>
      <c r="G76" s="122">
        <v>364.71215000000001</v>
      </c>
      <c r="H76" s="122">
        <v>528.52409</v>
      </c>
      <c r="I76" s="162">
        <f t="shared" si="7"/>
        <v>0.44915405203802505</v>
      </c>
      <c r="J76" s="162">
        <f t="shared" si="8"/>
        <v>2.2636284123065349E-2</v>
      </c>
      <c r="K76" s="100"/>
    </row>
    <row r="77" spans="1:11" x14ac:dyDescent="0.25">
      <c r="A77" s="121" t="s">
        <v>301</v>
      </c>
      <c r="B77" s="122">
        <v>279.76799999999997</v>
      </c>
      <c r="C77" s="122">
        <v>225.33600000000001</v>
      </c>
      <c r="D77" s="122">
        <v>140.48400000000001</v>
      </c>
      <c r="E77" s="162">
        <f t="shared" si="6"/>
        <v>-0.376557673873682</v>
      </c>
      <c r="F77" s="122">
        <v>586.3463999999999</v>
      </c>
      <c r="G77" s="122">
        <v>470.01961</v>
      </c>
      <c r="H77" s="122">
        <v>260.30241999999998</v>
      </c>
      <c r="I77" s="162">
        <f t="shared" si="7"/>
        <v>-0.44618817074462069</v>
      </c>
      <c r="J77" s="162">
        <f t="shared" si="8"/>
        <v>1.1148554339389691E-2</v>
      </c>
      <c r="K77" s="100"/>
    </row>
    <row r="78" spans="1:11" x14ac:dyDescent="0.25">
      <c r="A78" s="121" t="s">
        <v>298</v>
      </c>
      <c r="B78" s="122">
        <v>187.87200000000001</v>
      </c>
      <c r="C78" s="122">
        <v>137.42699999999999</v>
      </c>
      <c r="D78" s="122">
        <v>158.21850000000001</v>
      </c>
      <c r="E78" s="162">
        <f t="shared" si="6"/>
        <v>0.15129123098081165</v>
      </c>
      <c r="F78" s="122">
        <v>494.10665</v>
      </c>
      <c r="G78" s="122">
        <v>358.44232</v>
      </c>
      <c r="H78" s="122">
        <v>371.54717999999997</v>
      </c>
      <c r="I78" s="162">
        <f t="shared" si="7"/>
        <v>3.6560582466936387E-2</v>
      </c>
      <c r="J78" s="162">
        <f t="shared" si="8"/>
        <v>1.5913082659304523E-2</v>
      </c>
      <c r="K78" s="100"/>
    </row>
    <row r="79" spans="1:11" x14ac:dyDescent="0.25">
      <c r="A79" s="117" t="s">
        <v>160</v>
      </c>
      <c r="B79" s="123">
        <v>19826.002499999999</v>
      </c>
      <c r="C79" s="123">
        <v>13913.0645</v>
      </c>
      <c r="D79" s="123">
        <v>11940.026750000001</v>
      </c>
      <c r="E79" s="164">
        <f t="shared" si="6"/>
        <v>-0.14181187401237161</v>
      </c>
      <c r="F79" s="123">
        <v>37663.096969999999</v>
      </c>
      <c r="G79" s="123">
        <v>26511.165189999996</v>
      </c>
      <c r="H79" s="123">
        <v>21687.058000000005</v>
      </c>
      <c r="I79" s="164">
        <f t="shared" si="7"/>
        <v>-0.181965113770995</v>
      </c>
      <c r="J79" s="164">
        <f t="shared" si="8"/>
        <v>0.9288401720371865</v>
      </c>
      <c r="K79" s="100"/>
    </row>
    <row r="80" spans="1:11" x14ac:dyDescent="0.25">
      <c r="A80" s="119" t="s">
        <v>161</v>
      </c>
      <c r="B80" s="124">
        <v>1188.1790000000001</v>
      </c>
      <c r="C80" s="124">
        <v>760.09299999999996</v>
      </c>
      <c r="D80" s="124">
        <v>637.14200000000005</v>
      </c>
      <c r="E80" s="162">
        <f t="shared" si="6"/>
        <v>-0.16175783752777606</v>
      </c>
      <c r="F80" s="124">
        <v>2607.8278500000015</v>
      </c>
      <c r="G80" s="124">
        <v>1703.9197400000057</v>
      </c>
      <c r="H80" s="124">
        <v>1661.4777899999954</v>
      </c>
      <c r="I80" s="162">
        <f t="shared" si="7"/>
        <v>-2.4908420862598923E-2</v>
      </c>
      <c r="J80" s="162">
        <f t="shared" si="8"/>
        <v>7.1159827962813574E-2</v>
      </c>
      <c r="K80" s="100"/>
    </row>
    <row r="81" spans="1:11" x14ac:dyDescent="0.25">
      <c r="A81" s="120" t="s">
        <v>162</v>
      </c>
      <c r="B81" s="125">
        <v>21014.181499999999</v>
      </c>
      <c r="C81" s="125">
        <v>14673.157499999999</v>
      </c>
      <c r="D81" s="125">
        <v>12577.168750000001</v>
      </c>
      <c r="E81" s="164">
        <f t="shared" si="6"/>
        <v>-0.14284510678768347</v>
      </c>
      <c r="F81" s="125">
        <v>40270.92482</v>
      </c>
      <c r="G81" s="125">
        <v>28215.084930000005</v>
      </c>
      <c r="H81" s="125">
        <v>23348.535789999998</v>
      </c>
      <c r="I81" s="164">
        <f t="shared" si="7"/>
        <v>-0.17248040018570332</v>
      </c>
      <c r="J81" s="164">
        <f t="shared" si="8"/>
        <v>1</v>
      </c>
      <c r="K81" s="100"/>
    </row>
    <row r="82" spans="1:11" x14ac:dyDescent="0.25">
      <c r="A82" s="411" t="s">
        <v>163</v>
      </c>
      <c r="B82" s="411"/>
      <c r="C82" s="411"/>
      <c r="D82" s="411"/>
      <c r="E82" s="411"/>
      <c r="F82" s="411"/>
      <c r="G82" s="411"/>
      <c r="H82" s="411"/>
      <c r="I82" s="411"/>
      <c r="J82" s="411"/>
      <c r="K82" s="31"/>
    </row>
    <row r="83" spans="1:11" x14ac:dyDescent="0.25">
      <c r="A83" s="411" t="s">
        <v>164</v>
      </c>
      <c r="B83" s="411"/>
      <c r="C83" s="411"/>
      <c r="D83" s="411"/>
      <c r="E83" s="411"/>
      <c r="F83" s="411"/>
      <c r="G83" s="411"/>
      <c r="H83" s="411"/>
      <c r="I83" s="411"/>
      <c r="J83" s="411"/>
      <c r="K83" s="31"/>
    </row>
    <row r="87" spans="1:11" s="31" customFormat="1" x14ac:dyDescent="0.25"/>
    <row r="88" spans="1:11" s="31" customFormat="1" x14ac:dyDescent="0.25"/>
    <row r="89" spans="1:11" s="31" customFormat="1" x14ac:dyDescent="0.25"/>
    <row r="96" spans="1:11" s="31" customFormat="1" x14ac:dyDescent="0.25"/>
    <row r="97" spans="1:10" x14ac:dyDescent="0.25">
      <c r="A97" s="429" t="s">
        <v>571</v>
      </c>
      <c r="B97" s="429"/>
      <c r="C97" s="429"/>
      <c r="D97" s="429"/>
      <c r="E97" s="429"/>
      <c r="F97" s="429"/>
      <c r="G97" s="429"/>
      <c r="H97" s="429"/>
      <c r="I97" s="429"/>
      <c r="J97" s="429"/>
    </row>
    <row r="98" spans="1:10" x14ac:dyDescent="0.25">
      <c r="A98" s="430" t="s">
        <v>148</v>
      </c>
      <c r="B98" s="425" t="s">
        <v>149</v>
      </c>
      <c r="C98" s="425"/>
      <c r="D98" s="425"/>
      <c r="E98" s="425"/>
      <c r="F98" s="424" t="s">
        <v>150</v>
      </c>
      <c r="G98" s="425"/>
      <c r="H98" s="425"/>
      <c r="I98" s="425"/>
      <c r="J98" s="426"/>
    </row>
    <row r="99" spans="1:10" s="31" customFormat="1" x14ac:dyDescent="0.25">
      <c r="A99" s="431"/>
      <c r="B99" s="422">
        <v>2021</v>
      </c>
      <c r="C99" s="424" t="s">
        <v>609</v>
      </c>
      <c r="D99" s="425"/>
      <c r="E99" s="425"/>
      <c r="F99" s="427">
        <v>2021</v>
      </c>
      <c r="G99" s="424" t="str">
        <f>C99</f>
        <v>Enero - agosto</v>
      </c>
      <c r="H99" s="425"/>
      <c r="I99" s="425"/>
      <c r="J99" s="426"/>
    </row>
    <row r="100" spans="1:10" x14ac:dyDescent="0.25">
      <c r="A100" s="432"/>
      <c r="B100" s="423"/>
      <c r="C100" s="287">
        <v>2021</v>
      </c>
      <c r="D100" s="287">
        <v>2022</v>
      </c>
      <c r="E100" s="287" t="s">
        <v>308</v>
      </c>
      <c r="F100" s="428"/>
      <c r="G100" s="287">
        <v>2021</v>
      </c>
      <c r="H100" s="287">
        <v>2022</v>
      </c>
      <c r="I100" s="287" t="s">
        <v>308</v>
      </c>
      <c r="J100" s="288" t="s">
        <v>309</v>
      </c>
    </row>
    <row r="101" spans="1:10" x14ac:dyDescent="0.25">
      <c r="A101" s="121" t="s">
        <v>154</v>
      </c>
      <c r="B101" s="122">
        <v>1536.4275</v>
      </c>
      <c r="C101" s="122">
        <v>1005.6105</v>
      </c>
      <c r="D101" s="122">
        <v>904.12750000000005</v>
      </c>
      <c r="E101" s="162">
        <f t="shared" ref="E101:E113" si="9">D101/C101-1</f>
        <v>-0.10091680625848676</v>
      </c>
      <c r="F101" s="353">
        <v>6366.0801200000005</v>
      </c>
      <c r="G101" s="353">
        <v>4125.8257100000001</v>
      </c>
      <c r="H101" s="353">
        <v>3872.9263799999994</v>
      </c>
      <c r="I101" s="162">
        <f t="shared" ref="I101:I110" si="10">H101/G101-1</f>
        <v>-6.1296658602672971E-2</v>
      </c>
      <c r="J101" s="162">
        <f t="shared" ref="J101:J113" si="11">H101/$H$113</f>
        <v>0.43869984316210797</v>
      </c>
    </row>
    <row r="102" spans="1:10" x14ac:dyDescent="0.25">
      <c r="A102" s="121" t="s">
        <v>156</v>
      </c>
      <c r="B102" s="122">
        <v>338.98050000000001</v>
      </c>
      <c r="C102" s="122">
        <v>285.54300000000001</v>
      </c>
      <c r="D102" s="122">
        <v>65.222999999999999</v>
      </c>
      <c r="E102" s="162">
        <f t="shared" si="9"/>
        <v>-0.77158256374696632</v>
      </c>
      <c r="F102" s="353">
        <v>1418.33725</v>
      </c>
      <c r="G102" s="353">
        <v>1188.4675899999997</v>
      </c>
      <c r="H102" s="353">
        <v>356.59899000000001</v>
      </c>
      <c r="I102" s="162">
        <f t="shared" si="10"/>
        <v>-0.69995059772727997</v>
      </c>
      <c r="J102" s="162">
        <f t="shared" si="11"/>
        <v>4.0393208038404835E-2</v>
      </c>
    </row>
    <row r="103" spans="1:10" x14ac:dyDescent="0.25">
      <c r="A103" s="121" t="s">
        <v>169</v>
      </c>
      <c r="B103" s="122">
        <v>287.81099999999998</v>
      </c>
      <c r="C103" s="122">
        <v>128.196</v>
      </c>
      <c r="D103" s="122">
        <v>350.39699999999999</v>
      </c>
      <c r="E103" s="162">
        <f t="shared" si="9"/>
        <v>1.7332912103341758</v>
      </c>
      <c r="F103" s="353">
        <v>1091.5478900000001</v>
      </c>
      <c r="G103" s="353">
        <v>486.4606</v>
      </c>
      <c r="H103" s="353">
        <v>1287.5510200000001</v>
      </c>
      <c r="I103" s="163">
        <f t="shared" si="10"/>
        <v>1.6467734899804838</v>
      </c>
      <c r="J103" s="162">
        <f t="shared" si="11"/>
        <v>0.14584538282321088</v>
      </c>
    </row>
    <row r="104" spans="1:10" x14ac:dyDescent="0.25">
      <c r="A104" s="121" t="s">
        <v>152</v>
      </c>
      <c r="B104" s="122">
        <v>292.995</v>
      </c>
      <c r="C104" s="122">
        <v>123.0975</v>
      </c>
      <c r="D104" s="122">
        <v>294.6105</v>
      </c>
      <c r="E104" s="162">
        <f t="shared" si="9"/>
        <v>1.393310180954122</v>
      </c>
      <c r="F104" s="353">
        <v>727.34728000000007</v>
      </c>
      <c r="G104" s="353">
        <v>339.05903999999998</v>
      </c>
      <c r="H104" s="353">
        <v>759.55218000000002</v>
      </c>
      <c r="I104" s="162">
        <f t="shared" si="10"/>
        <v>1.2401767550571727</v>
      </c>
      <c r="J104" s="162">
        <f t="shared" si="11"/>
        <v>8.6037117555391604E-2</v>
      </c>
    </row>
    <row r="105" spans="1:10" x14ac:dyDescent="0.25">
      <c r="A105" s="121" t="s">
        <v>168</v>
      </c>
      <c r="B105" s="122">
        <v>86.8185</v>
      </c>
      <c r="C105" s="122">
        <v>32.49</v>
      </c>
      <c r="D105" s="122">
        <v>30.654</v>
      </c>
      <c r="E105" s="162">
        <f t="shared" si="9"/>
        <v>-5.6509695290858808E-2</v>
      </c>
      <c r="F105" s="353">
        <v>553.21378000000004</v>
      </c>
      <c r="G105" s="353">
        <v>209.07315000000003</v>
      </c>
      <c r="H105" s="353">
        <v>171.62878000000001</v>
      </c>
      <c r="I105" s="162">
        <f t="shared" si="10"/>
        <v>-0.17909698112837547</v>
      </c>
      <c r="J105" s="162">
        <f t="shared" si="11"/>
        <v>1.9440988926854825E-2</v>
      </c>
    </row>
    <row r="106" spans="1:10" x14ac:dyDescent="0.25">
      <c r="A106" s="121" t="s">
        <v>155</v>
      </c>
      <c r="B106" s="122">
        <v>153.02476000000001</v>
      </c>
      <c r="C106" s="122">
        <v>68.228999999999999</v>
      </c>
      <c r="D106" s="122">
        <v>55.906500000000001</v>
      </c>
      <c r="E106" s="162">
        <f t="shared" si="9"/>
        <v>-0.18060502132524292</v>
      </c>
      <c r="F106" s="353">
        <v>534.53628000000003</v>
      </c>
      <c r="G106" s="353">
        <v>233.33720000000002</v>
      </c>
      <c r="H106" s="353">
        <v>216.10538</v>
      </c>
      <c r="I106" s="162">
        <f t="shared" si="10"/>
        <v>-7.3849433352247362E-2</v>
      </c>
      <c r="J106" s="162">
        <f t="shared" si="11"/>
        <v>2.4479008122144517E-2</v>
      </c>
    </row>
    <row r="107" spans="1:10" x14ac:dyDescent="0.25">
      <c r="A107" s="121" t="s">
        <v>158</v>
      </c>
      <c r="B107" s="122">
        <v>86.953500000000005</v>
      </c>
      <c r="C107" s="122">
        <v>61.951500000000003</v>
      </c>
      <c r="D107" s="122">
        <v>46.471499999999999</v>
      </c>
      <c r="E107" s="162">
        <f t="shared" si="9"/>
        <v>-0.24987288443379096</v>
      </c>
      <c r="F107" s="353">
        <v>494.77546000000001</v>
      </c>
      <c r="G107" s="353">
        <v>353.57819999999998</v>
      </c>
      <c r="H107" s="353">
        <v>269.71361999999999</v>
      </c>
      <c r="I107" s="162">
        <f t="shared" si="10"/>
        <v>-0.237188209001573</v>
      </c>
      <c r="J107" s="162">
        <f t="shared" si="11"/>
        <v>3.0551399944938898E-2</v>
      </c>
    </row>
    <row r="108" spans="1:10" x14ac:dyDescent="0.25">
      <c r="A108" s="121" t="s">
        <v>157</v>
      </c>
      <c r="B108" s="122">
        <v>77.152500000000003</v>
      </c>
      <c r="C108" s="122">
        <v>56.713500000000003</v>
      </c>
      <c r="D108" s="122">
        <v>24.628499999999999</v>
      </c>
      <c r="E108" s="162">
        <f t="shared" si="9"/>
        <v>-0.56573831627390314</v>
      </c>
      <c r="F108" s="353">
        <v>413.66473999999999</v>
      </c>
      <c r="G108" s="353">
        <v>307.91942</v>
      </c>
      <c r="H108" s="353">
        <v>111.93662</v>
      </c>
      <c r="I108" s="162">
        <f t="shared" si="10"/>
        <v>-0.63647430876558553</v>
      </c>
      <c r="J108" s="162">
        <f t="shared" si="11"/>
        <v>1.2679450322548214E-2</v>
      </c>
    </row>
    <row r="109" spans="1:10" x14ac:dyDescent="0.25">
      <c r="A109" s="121" t="s">
        <v>301</v>
      </c>
      <c r="B109" s="122">
        <v>67.122</v>
      </c>
      <c r="C109" s="122">
        <v>33.164999999999999</v>
      </c>
      <c r="D109" s="122">
        <v>80.527500000000003</v>
      </c>
      <c r="E109" s="162">
        <f t="shared" si="9"/>
        <v>1.4280868385345999</v>
      </c>
      <c r="F109" s="353">
        <v>248.52199999999999</v>
      </c>
      <c r="G109" s="353">
        <v>127.26519999999999</v>
      </c>
      <c r="H109" s="353">
        <v>273.58044000000001</v>
      </c>
      <c r="I109" s="162">
        <f t="shared" si="10"/>
        <v>1.1496877386748303</v>
      </c>
      <c r="J109" s="163">
        <f t="shared" si="11"/>
        <v>3.0989408097197167E-2</v>
      </c>
    </row>
    <row r="110" spans="1:10" x14ac:dyDescent="0.25">
      <c r="A110" s="121" t="s">
        <v>298</v>
      </c>
      <c r="B110" s="122">
        <v>75.239999999999995</v>
      </c>
      <c r="C110" s="122">
        <v>53.1</v>
      </c>
      <c r="D110" s="122">
        <v>0.72</v>
      </c>
      <c r="E110" s="162">
        <f t="shared" si="9"/>
        <v>-0.98644067796610169</v>
      </c>
      <c r="F110" s="353">
        <v>243.03279999999998</v>
      </c>
      <c r="G110" s="353">
        <v>168.298</v>
      </c>
      <c r="H110" s="353">
        <v>4.3979499999999998</v>
      </c>
      <c r="I110" s="162">
        <f t="shared" si="10"/>
        <v>-0.97386807924039498</v>
      </c>
      <c r="J110" s="162">
        <f t="shared" si="11"/>
        <v>4.9817109491112838E-4</v>
      </c>
    </row>
    <row r="111" spans="1:10" x14ac:dyDescent="0.25">
      <c r="A111" s="117" t="s">
        <v>160</v>
      </c>
      <c r="B111" s="123">
        <v>3002.5252599999999</v>
      </c>
      <c r="C111" s="123">
        <v>1848.096</v>
      </c>
      <c r="D111" s="123">
        <v>1853.2660000000001</v>
      </c>
      <c r="E111" s="164">
        <f t="shared" si="9"/>
        <v>2.7974737243088299E-3</v>
      </c>
      <c r="F111" s="353">
        <v>12091.0576</v>
      </c>
      <c r="G111" s="353">
        <v>7539.2841100000005</v>
      </c>
      <c r="H111" s="353">
        <v>7323.9913599999991</v>
      </c>
      <c r="I111" s="164">
        <f>H111/G111-1</f>
        <v>-2.8556126398584736E-2</v>
      </c>
      <c r="J111" s="164">
        <f t="shared" si="11"/>
        <v>0.82961397808770998</v>
      </c>
    </row>
    <row r="112" spans="1:10" x14ac:dyDescent="0.25">
      <c r="A112" s="119" t="s">
        <v>161</v>
      </c>
      <c r="B112" s="124">
        <v>581.93100000000004</v>
      </c>
      <c r="C112" s="124">
        <v>360.26400000000001</v>
      </c>
      <c r="D112" s="124">
        <v>369.11142739999991</v>
      </c>
      <c r="E112" s="162">
        <f t="shared" si="9"/>
        <v>2.4558177891768063E-2</v>
      </c>
      <c r="F112" s="353">
        <v>2391.3488599999996</v>
      </c>
      <c r="G112" s="353">
        <v>1446.5471099999984</v>
      </c>
      <c r="H112" s="353">
        <v>1504.2004900000002</v>
      </c>
      <c r="I112" s="162">
        <f>H112/G112-1</f>
        <v>3.9855860622473482E-2</v>
      </c>
      <c r="J112" s="162">
        <f t="shared" si="11"/>
        <v>0.17038602191229005</v>
      </c>
    </row>
    <row r="113" spans="1:10" x14ac:dyDescent="0.25">
      <c r="A113" s="120" t="s">
        <v>162</v>
      </c>
      <c r="B113" s="125">
        <v>3584.4562599999999</v>
      </c>
      <c r="C113" s="125">
        <v>2208.36</v>
      </c>
      <c r="D113" s="125">
        <v>2222.3774273999998</v>
      </c>
      <c r="E113" s="164">
        <f t="shared" si="9"/>
        <v>6.3474376460357362E-3</v>
      </c>
      <c r="F113" s="353">
        <v>14482.406459999998</v>
      </c>
      <c r="G113" s="353">
        <v>8985.8312199999982</v>
      </c>
      <c r="H113" s="353">
        <v>8828.1918499999992</v>
      </c>
      <c r="I113" s="164">
        <f>H113/G113-1</f>
        <v>-1.7543103819837702E-2</v>
      </c>
      <c r="J113" s="164">
        <f t="shared" si="11"/>
        <v>1</v>
      </c>
    </row>
    <row r="114" spans="1:10" x14ac:dyDescent="0.25">
      <c r="A114" s="411" t="s">
        <v>163</v>
      </c>
      <c r="B114" s="411"/>
      <c r="C114" s="411"/>
      <c r="D114" s="411"/>
      <c r="E114" s="411"/>
      <c r="F114" s="411"/>
      <c r="G114" s="411"/>
      <c r="H114" s="411"/>
      <c r="I114" s="411"/>
      <c r="J114" s="411"/>
    </row>
    <row r="115" spans="1:10" x14ac:dyDescent="0.25">
      <c r="A115" s="411" t="s">
        <v>164</v>
      </c>
      <c r="B115" s="411"/>
      <c r="C115" s="411"/>
      <c r="D115" s="411"/>
      <c r="E115" s="411"/>
      <c r="F115" s="411"/>
      <c r="G115" s="411"/>
      <c r="H115" s="411"/>
      <c r="I115" s="411"/>
      <c r="J115" s="411"/>
    </row>
  </sheetData>
  <sortState xmlns:xlrd2="http://schemas.microsoft.com/office/spreadsheetml/2017/richdata2" ref="A101:J110">
    <sortCondition descending="1" ref="J101:J110"/>
  </sortState>
  <mergeCells count="40">
    <mergeCell ref="A114:J114"/>
    <mergeCell ref="A50:J50"/>
    <mergeCell ref="A51:J51"/>
    <mergeCell ref="B67:B68"/>
    <mergeCell ref="F67:F68"/>
    <mergeCell ref="B99:B100"/>
    <mergeCell ref="F99:F100"/>
    <mergeCell ref="C99:E99"/>
    <mergeCell ref="G99:J99"/>
    <mergeCell ref="A115:J115"/>
    <mergeCell ref="A1:J1"/>
    <mergeCell ref="A2:A4"/>
    <mergeCell ref="B2:E2"/>
    <mergeCell ref="F2:J2"/>
    <mergeCell ref="A82:J82"/>
    <mergeCell ref="A83:J83"/>
    <mergeCell ref="A97:J97"/>
    <mergeCell ref="A98:A100"/>
    <mergeCell ref="B98:E98"/>
    <mergeCell ref="F98:J98"/>
    <mergeCell ref="A65:J65"/>
    <mergeCell ref="A66:A68"/>
    <mergeCell ref="F3:F4"/>
    <mergeCell ref="C3:E3"/>
    <mergeCell ref="G3:J3"/>
    <mergeCell ref="B3:B4"/>
    <mergeCell ref="C67:E67"/>
    <mergeCell ref="G67:J67"/>
    <mergeCell ref="B35:B36"/>
    <mergeCell ref="F35:F36"/>
    <mergeCell ref="C35:E35"/>
    <mergeCell ref="A18:J18"/>
    <mergeCell ref="A19:J19"/>
    <mergeCell ref="A33:J33"/>
    <mergeCell ref="A34:A36"/>
    <mergeCell ref="B34:E34"/>
    <mergeCell ref="F34:J34"/>
    <mergeCell ref="G35:J35"/>
    <mergeCell ref="B66:E66"/>
    <mergeCell ref="F66:J66"/>
  </mergeCells>
  <phoneticPr fontId="59" type="noConversion"/>
  <pageMargins left="0.98425196850393704" right="0.98425196850393704" top="0.98425196850393704" bottom="0.98425196850393704" header="0.51181102362204722" footer="0.51181102362204722"/>
  <pageSetup scale="99"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00AAC-47AD-4463-8D5D-9A40FBD9E6B7}">
  <sheetPr>
    <pageSetUpPr fitToPage="1"/>
  </sheetPr>
  <dimension ref="A1:AL23"/>
  <sheetViews>
    <sheetView showRuler="0" zoomScaleNormal="100" zoomScalePageLayoutView="80" workbookViewId="0"/>
  </sheetViews>
  <sheetFormatPr baseColWidth="10" defaultRowHeight="15" x14ac:dyDescent="0.25"/>
  <cols>
    <col min="1" max="1" width="18.28515625" customWidth="1"/>
    <col min="9" max="19" width="11.42578125" style="242"/>
    <col min="24" max="24" width="12" bestFit="1" customWidth="1"/>
    <col min="31" max="33" width="11.42578125" style="242"/>
  </cols>
  <sheetData>
    <row r="1" spans="1:38" s="242" customFormat="1" x14ac:dyDescent="0.25">
      <c r="A1"/>
      <c r="B1"/>
      <c r="C1"/>
      <c r="D1"/>
      <c r="E1"/>
      <c r="F1"/>
      <c r="G1"/>
      <c r="V1" s="434" t="s">
        <v>320</v>
      </c>
      <c r="W1" s="435"/>
      <c r="X1" s="435"/>
      <c r="Y1" s="435" t="s">
        <v>460</v>
      </c>
      <c r="Z1" s="435"/>
      <c r="AA1" s="436"/>
      <c r="AB1" s="434" t="s">
        <v>321</v>
      </c>
      <c r="AC1" s="435"/>
      <c r="AD1" s="435"/>
      <c r="AE1" s="435" t="s">
        <v>207</v>
      </c>
      <c r="AF1" s="435"/>
      <c r="AG1" s="435"/>
      <c r="AI1" s="242" t="s">
        <v>320</v>
      </c>
      <c r="AJ1" s="242" t="s">
        <v>441</v>
      </c>
      <c r="AK1" s="242" t="s">
        <v>442</v>
      </c>
      <c r="AL1" s="242" t="s">
        <v>207</v>
      </c>
    </row>
    <row r="2" spans="1:38" x14ac:dyDescent="0.25">
      <c r="Y2" s="242">
        <v>22042994</v>
      </c>
    </row>
    <row r="3" spans="1:38" x14ac:dyDescent="0.25">
      <c r="V3" t="s">
        <v>440</v>
      </c>
      <c r="W3" s="301" t="s">
        <v>182</v>
      </c>
      <c r="X3" s="301" t="s">
        <v>318</v>
      </c>
      <c r="Y3" s="242" t="s">
        <v>440</v>
      </c>
      <c r="Z3" s="301" t="s">
        <v>182</v>
      </c>
      <c r="AA3" s="301" t="s">
        <v>318</v>
      </c>
      <c r="AB3" s="242" t="s">
        <v>440</v>
      </c>
      <c r="AC3" s="301" t="s">
        <v>182</v>
      </c>
      <c r="AD3" s="301" t="s">
        <v>318</v>
      </c>
      <c r="AE3" s="242" t="s">
        <v>440</v>
      </c>
      <c r="AF3" s="301" t="s">
        <v>182</v>
      </c>
      <c r="AG3" s="301" t="s">
        <v>318</v>
      </c>
      <c r="AH3" s="33" t="s">
        <v>319</v>
      </c>
      <c r="AI3" s="301"/>
      <c r="AJ3" s="301"/>
    </row>
    <row r="4" spans="1:38" x14ac:dyDescent="0.25">
      <c r="U4" s="305">
        <v>44197</v>
      </c>
      <c r="V4" s="304">
        <v>4845465.03</v>
      </c>
      <c r="W4" s="303">
        <v>6670745</v>
      </c>
      <c r="X4" s="299">
        <f>V4/W4</f>
        <v>0.72637539435250487</v>
      </c>
      <c r="Y4" s="298">
        <v>11355662.840000005</v>
      </c>
      <c r="Z4" s="303">
        <v>16653056</v>
      </c>
      <c r="AA4" s="299">
        <f>Y4/Z4</f>
        <v>0.68189663446757187</v>
      </c>
      <c r="AB4" s="298">
        <v>186689.38</v>
      </c>
      <c r="AC4" s="298">
        <v>240000</v>
      </c>
      <c r="AD4" s="302">
        <f>AB4/AC4</f>
        <v>0.77787241666666673</v>
      </c>
      <c r="AE4" s="304">
        <f>V4+Y4+AB4</f>
        <v>16387817.250000006</v>
      </c>
      <c r="AF4" s="304">
        <f>W4+Z4+AC4</f>
        <v>23563801</v>
      </c>
      <c r="AG4" s="302">
        <f>AE4/AF4</f>
        <v>0.69546578032975259</v>
      </c>
      <c r="AH4" s="299">
        <v>723.56</v>
      </c>
      <c r="AI4" s="330">
        <f>AH4*X4</f>
        <v>525.57618033769836</v>
      </c>
      <c r="AJ4" s="330">
        <f>AA4*AH4</f>
        <v>493.39312883535626</v>
      </c>
      <c r="AK4" s="96">
        <f>AD4*AH4</f>
        <v>562.83736580333334</v>
      </c>
      <c r="AL4" s="96">
        <f>AG4*AH4</f>
        <v>503.21122001539572</v>
      </c>
    </row>
    <row r="5" spans="1:38" x14ac:dyDescent="0.25">
      <c r="U5" s="305">
        <v>44228</v>
      </c>
      <c r="V5" s="109">
        <v>5883360.6499999892</v>
      </c>
      <c r="W5" s="109">
        <v>7803750</v>
      </c>
      <c r="X5" s="299">
        <f t="shared" ref="X5:X23" si="0">V5/W5</f>
        <v>0.75391454749319098</v>
      </c>
      <c r="Y5" s="298">
        <v>10450716.030000012</v>
      </c>
      <c r="Z5" s="303">
        <v>14502507</v>
      </c>
      <c r="AA5" s="299">
        <f t="shared" ref="AA5:AA23" si="1">Y5/Z5</f>
        <v>0.72061444479909664</v>
      </c>
      <c r="AB5" s="298">
        <v>320252.74</v>
      </c>
      <c r="AC5" s="298">
        <v>345952</v>
      </c>
      <c r="AD5" s="302">
        <f t="shared" ref="AD5:AD18" si="2">AB5/AC5</f>
        <v>0.92571437656091016</v>
      </c>
      <c r="AE5" s="304">
        <f t="shared" ref="AE5:AE20" si="3">V5+Y5+AB5</f>
        <v>16654329.420000002</v>
      </c>
      <c r="AF5" s="304">
        <f t="shared" ref="AF5:AF21" si="4">W5+Z5+AC5</f>
        <v>22652209</v>
      </c>
      <c r="AG5" s="302">
        <f t="shared" ref="AG5:AG23" si="5">AE5/AF5</f>
        <v>0.73521877800085644</v>
      </c>
      <c r="AH5" s="299">
        <v>722.63</v>
      </c>
      <c r="AI5" s="330">
        <f t="shared" ref="AI5:AI18" si="6">AH5*X5</f>
        <v>544.80126945500456</v>
      </c>
      <c r="AJ5" s="330">
        <f t="shared" ref="AJ5:AJ18" si="7">AA5*AH5</f>
        <v>520.73761624517124</v>
      </c>
      <c r="AK5" s="96">
        <f t="shared" ref="AK5:AK18" si="8">AD5*AH5</f>
        <v>668.94897993421046</v>
      </c>
      <c r="AL5" s="96">
        <f t="shared" ref="AL5:AL22" si="9">AG5*AH5</f>
        <v>531.29114554675891</v>
      </c>
    </row>
    <row r="6" spans="1:38" x14ac:dyDescent="0.25">
      <c r="U6" s="305">
        <v>44256</v>
      </c>
      <c r="V6" s="109">
        <v>4079387.1099999989</v>
      </c>
      <c r="W6" s="298">
        <v>5597024</v>
      </c>
      <c r="X6" s="299">
        <f t="shared" si="0"/>
        <v>0.72884931527897667</v>
      </c>
      <c r="Y6" s="298">
        <v>12714786.770000007</v>
      </c>
      <c r="Z6" s="298">
        <v>17690215</v>
      </c>
      <c r="AA6" s="299">
        <f t="shared" si="1"/>
        <v>0.71874687616854893</v>
      </c>
      <c r="AB6" s="298">
        <v>177600</v>
      </c>
      <c r="AC6" s="298">
        <v>240000</v>
      </c>
      <c r="AD6" s="302">
        <f t="shared" si="2"/>
        <v>0.74</v>
      </c>
      <c r="AE6" s="304">
        <f t="shared" si="3"/>
        <v>16971773.880000006</v>
      </c>
      <c r="AF6" s="304">
        <f t="shared" si="4"/>
        <v>23527239</v>
      </c>
      <c r="AG6" s="302">
        <f t="shared" si="5"/>
        <v>0.72136700273245014</v>
      </c>
      <c r="AH6" s="299">
        <v>726.37</v>
      </c>
      <c r="AI6" s="330">
        <f t="shared" si="6"/>
        <v>529.41427713919029</v>
      </c>
      <c r="AJ6" s="330">
        <f t="shared" si="7"/>
        <v>522.07616844254892</v>
      </c>
      <c r="AK6" s="96">
        <f t="shared" si="8"/>
        <v>537.51379999999995</v>
      </c>
      <c r="AL6" s="96">
        <f t="shared" si="9"/>
        <v>523.97934977476984</v>
      </c>
    </row>
    <row r="7" spans="1:38" x14ac:dyDescent="0.25">
      <c r="U7" s="305">
        <v>44287</v>
      </c>
      <c r="V7" s="109">
        <v>4565724.1799999969</v>
      </c>
      <c r="W7" s="298">
        <v>6016990</v>
      </c>
      <c r="X7" s="299">
        <f t="shared" si="0"/>
        <v>0.75880534619469153</v>
      </c>
      <c r="Y7" s="109">
        <v>9941650.8199999966</v>
      </c>
      <c r="Z7" s="109">
        <v>14465103</v>
      </c>
      <c r="AA7" s="299">
        <f t="shared" si="1"/>
        <v>0.68728517315085802</v>
      </c>
      <c r="AB7" s="109">
        <v>66960</v>
      </c>
      <c r="AC7" s="109">
        <v>96000</v>
      </c>
      <c r="AD7" s="302">
        <f t="shared" si="2"/>
        <v>0.69750000000000001</v>
      </c>
      <c r="AE7" s="304">
        <f t="shared" si="3"/>
        <v>14574334.999999993</v>
      </c>
      <c r="AF7" s="304">
        <f t="shared" si="4"/>
        <v>20578093</v>
      </c>
      <c r="AG7" s="302">
        <f t="shared" si="5"/>
        <v>0.70824517121192876</v>
      </c>
      <c r="AH7" s="299">
        <v>707.85</v>
      </c>
      <c r="AI7" s="330">
        <f t="shared" si="6"/>
        <v>537.12036430391242</v>
      </c>
      <c r="AJ7" s="330">
        <f t="shared" si="7"/>
        <v>486.49480981483487</v>
      </c>
      <c r="AK7" s="96">
        <f t="shared" si="8"/>
        <v>493.72537500000004</v>
      </c>
      <c r="AL7" s="96">
        <f t="shared" si="9"/>
        <v>501.33134444236379</v>
      </c>
    </row>
    <row r="8" spans="1:38" x14ac:dyDescent="0.25">
      <c r="U8" s="305">
        <v>44317</v>
      </c>
      <c r="V8" s="109">
        <v>4225105.4499999993</v>
      </c>
      <c r="W8" s="298">
        <v>5595424</v>
      </c>
      <c r="X8" s="299">
        <f t="shared" si="0"/>
        <v>0.75510014075787635</v>
      </c>
      <c r="Y8" s="109">
        <v>9936826.2400000021</v>
      </c>
      <c r="Z8" s="109">
        <v>13621159</v>
      </c>
      <c r="AA8" s="299">
        <f t="shared" si="1"/>
        <v>0.72951400391112109</v>
      </c>
      <c r="AB8" s="304">
        <v>598491</v>
      </c>
      <c r="AC8" s="304">
        <v>855900</v>
      </c>
      <c r="AD8" s="302">
        <f t="shared" si="2"/>
        <v>0.69925341745531022</v>
      </c>
      <c r="AE8" s="304">
        <f t="shared" si="3"/>
        <v>14760422.690000001</v>
      </c>
      <c r="AF8" s="304">
        <f t="shared" si="4"/>
        <v>20072483</v>
      </c>
      <c r="AG8" s="302">
        <f t="shared" si="5"/>
        <v>0.73535609371297017</v>
      </c>
      <c r="AH8" s="299">
        <v>712.26</v>
      </c>
      <c r="AI8" s="330">
        <f t="shared" si="6"/>
        <v>537.82762625620501</v>
      </c>
      <c r="AJ8" s="330">
        <f t="shared" si="7"/>
        <v>519.60364442573507</v>
      </c>
      <c r="AK8" s="96">
        <f t="shared" si="8"/>
        <v>498.05023911671924</v>
      </c>
      <c r="AL8" s="96">
        <f t="shared" si="9"/>
        <v>523.76473130800014</v>
      </c>
    </row>
    <row r="9" spans="1:38" x14ac:dyDescent="0.25">
      <c r="U9" s="305">
        <v>44348</v>
      </c>
      <c r="V9" s="109">
        <v>4695440.7399999965</v>
      </c>
      <c r="W9" s="298">
        <v>5944275</v>
      </c>
      <c r="X9" s="299">
        <f t="shared" si="0"/>
        <v>0.78990974340857323</v>
      </c>
      <c r="Y9" s="109">
        <v>12829087.619999986</v>
      </c>
      <c r="Z9" s="109">
        <v>17109249</v>
      </c>
      <c r="AA9" s="299">
        <f t="shared" si="1"/>
        <v>0.74983347428048919</v>
      </c>
      <c r="AB9" s="109">
        <v>343200</v>
      </c>
      <c r="AC9" s="109">
        <v>528000</v>
      </c>
      <c r="AD9" s="302">
        <f t="shared" si="2"/>
        <v>0.65</v>
      </c>
      <c r="AE9" s="304">
        <f t="shared" si="3"/>
        <v>17867728.359999985</v>
      </c>
      <c r="AF9" s="304">
        <f t="shared" si="4"/>
        <v>23581524</v>
      </c>
      <c r="AG9" s="302">
        <f t="shared" si="5"/>
        <v>0.75770032335484272</v>
      </c>
      <c r="AH9" s="299">
        <v>726.54</v>
      </c>
      <c r="AI9" s="330">
        <f t="shared" si="6"/>
        <v>573.90102497606472</v>
      </c>
      <c r="AJ9" s="330">
        <f t="shared" si="7"/>
        <v>544.7840124037466</v>
      </c>
      <c r="AK9" s="96">
        <f t="shared" si="8"/>
        <v>472.25099999999998</v>
      </c>
      <c r="AL9" s="96">
        <f t="shared" si="9"/>
        <v>550.49959293022744</v>
      </c>
    </row>
    <row r="10" spans="1:38" x14ac:dyDescent="0.25">
      <c r="U10" s="305">
        <v>44378</v>
      </c>
      <c r="V10" s="109">
        <v>4888243.7699999977</v>
      </c>
      <c r="W10" s="109">
        <v>6084547</v>
      </c>
      <c r="X10" s="299">
        <f t="shared" si="0"/>
        <v>0.80338663995857007</v>
      </c>
      <c r="Y10" s="109">
        <v>9079823.4499999974</v>
      </c>
      <c r="Z10" s="109">
        <v>14056899</v>
      </c>
      <c r="AA10" s="299">
        <f t="shared" si="1"/>
        <v>0.64593360527097743</v>
      </c>
      <c r="AB10" s="109">
        <v>198240</v>
      </c>
      <c r="AC10" s="109">
        <v>288000</v>
      </c>
      <c r="AD10" s="302">
        <f t="shared" si="2"/>
        <v>0.68833333333333335</v>
      </c>
      <c r="AE10" s="304">
        <f t="shared" si="3"/>
        <v>14166307.219999995</v>
      </c>
      <c r="AF10" s="304">
        <f t="shared" si="4"/>
        <v>20429446</v>
      </c>
      <c r="AG10" s="302">
        <f t="shared" si="5"/>
        <v>0.69342591179418156</v>
      </c>
      <c r="AH10" s="299">
        <v>750.44</v>
      </c>
      <c r="AI10" s="330">
        <f t="shared" si="6"/>
        <v>602.89347009050937</v>
      </c>
      <c r="AJ10" s="330">
        <f t="shared" si="7"/>
        <v>484.73441473955234</v>
      </c>
      <c r="AK10" s="96">
        <f t="shared" si="8"/>
        <v>516.55286666666677</v>
      </c>
      <c r="AL10" s="96">
        <f t="shared" si="9"/>
        <v>520.37454124682563</v>
      </c>
    </row>
    <row r="11" spans="1:38" x14ac:dyDescent="0.25">
      <c r="U11" s="305">
        <v>44409</v>
      </c>
      <c r="V11" s="109">
        <v>6603232.3299999908</v>
      </c>
      <c r="W11" s="109">
        <v>8637933</v>
      </c>
      <c r="X11" s="299">
        <f t="shared" si="0"/>
        <v>0.76444588421790149</v>
      </c>
      <c r="Y11" s="109">
        <v>9852495.3600000031</v>
      </c>
      <c r="Z11" s="109">
        <v>14674113</v>
      </c>
      <c r="AA11" s="299">
        <f t="shared" si="1"/>
        <v>0.67142016420345152</v>
      </c>
      <c r="AB11" s="109">
        <v>733200</v>
      </c>
      <c r="AC11" s="109">
        <v>1128000</v>
      </c>
      <c r="AD11" s="302">
        <f t="shared" si="2"/>
        <v>0.65</v>
      </c>
      <c r="AE11" s="304">
        <f t="shared" si="3"/>
        <v>17188927.689999994</v>
      </c>
      <c r="AF11" s="304">
        <f t="shared" si="4"/>
        <v>24440046</v>
      </c>
      <c r="AG11" s="302">
        <f t="shared" si="5"/>
        <v>0.70330995653608808</v>
      </c>
      <c r="AH11" s="299">
        <v>779.83</v>
      </c>
      <c r="AI11" s="330">
        <f t="shared" si="6"/>
        <v>596.13783388964612</v>
      </c>
      <c r="AJ11" s="330">
        <f t="shared" si="7"/>
        <v>523.59358665077764</v>
      </c>
      <c r="AK11" s="96">
        <f t="shared" si="8"/>
        <v>506.88950000000006</v>
      </c>
      <c r="AL11" s="96">
        <f t="shared" si="9"/>
        <v>548.46220340553759</v>
      </c>
    </row>
    <row r="12" spans="1:38" x14ac:dyDescent="0.25">
      <c r="U12" s="305">
        <v>44440</v>
      </c>
      <c r="V12" s="109">
        <v>10296815.880000016</v>
      </c>
      <c r="W12" s="109">
        <v>12789568</v>
      </c>
      <c r="X12" s="299">
        <f t="shared" si="0"/>
        <v>0.80509489296276593</v>
      </c>
      <c r="Y12" s="109">
        <v>7866796.4800000004</v>
      </c>
      <c r="Z12" s="109">
        <v>11189492</v>
      </c>
      <c r="AA12" s="299">
        <f t="shared" si="1"/>
        <v>0.70305215643391139</v>
      </c>
      <c r="AB12" s="109">
        <v>333117.45999999996</v>
      </c>
      <c r="AC12" s="109">
        <v>452000</v>
      </c>
      <c r="AD12" s="302">
        <f t="shared" si="2"/>
        <v>0.73698553097345121</v>
      </c>
      <c r="AE12" s="304">
        <f t="shared" si="3"/>
        <v>18496729.820000015</v>
      </c>
      <c r="AF12" s="304">
        <f t="shared" si="4"/>
        <v>24431060</v>
      </c>
      <c r="AG12" s="302">
        <f t="shared" si="5"/>
        <v>0.75709894781479048</v>
      </c>
      <c r="AH12" s="299">
        <v>783.63</v>
      </c>
      <c r="AI12" s="330">
        <f t="shared" si="6"/>
        <v>630.89651097241222</v>
      </c>
      <c r="AJ12" s="330">
        <f t="shared" si="7"/>
        <v>550.93276134630594</v>
      </c>
      <c r="AK12" s="96">
        <f t="shared" si="8"/>
        <v>577.52397163672561</v>
      </c>
      <c r="AL12" s="96">
        <f t="shared" si="9"/>
        <v>593.28544847610431</v>
      </c>
    </row>
    <row r="13" spans="1:38" x14ac:dyDescent="0.25">
      <c r="U13" s="305">
        <v>44470</v>
      </c>
      <c r="V13" s="109">
        <v>6138665.4699999932</v>
      </c>
      <c r="W13" s="109">
        <v>7909470</v>
      </c>
      <c r="X13" s="299">
        <f t="shared" si="0"/>
        <v>0.77611590536407538</v>
      </c>
      <c r="Y13" s="109">
        <v>12774771.529999999</v>
      </c>
      <c r="Z13" s="109">
        <v>18031909</v>
      </c>
      <c r="AA13" s="299">
        <f t="shared" si="1"/>
        <v>0.70845363793705918</v>
      </c>
      <c r="AB13" s="109">
        <v>614635.31999999995</v>
      </c>
      <c r="AC13" s="109">
        <v>864000</v>
      </c>
      <c r="AD13" s="302">
        <f t="shared" si="2"/>
        <v>0.7113834722222222</v>
      </c>
      <c r="AE13" s="304">
        <f t="shared" si="3"/>
        <v>19528072.319999993</v>
      </c>
      <c r="AF13" s="304">
        <f t="shared" si="4"/>
        <v>26805379</v>
      </c>
      <c r="AG13" s="302">
        <f t="shared" si="5"/>
        <v>0.72851319580297647</v>
      </c>
      <c r="AH13" s="299">
        <v>813.95</v>
      </c>
      <c r="AI13" s="330">
        <f t="shared" si="6"/>
        <v>631.71954117108919</v>
      </c>
      <c r="AJ13" s="330">
        <f t="shared" si="7"/>
        <v>576.64583859886932</v>
      </c>
      <c r="AK13" s="96">
        <f t="shared" si="8"/>
        <v>579.03057721527784</v>
      </c>
      <c r="AL13" s="96">
        <f t="shared" si="9"/>
        <v>592.97331572383268</v>
      </c>
    </row>
    <row r="14" spans="1:38" x14ac:dyDescent="0.25">
      <c r="U14" s="305">
        <v>44501</v>
      </c>
      <c r="V14" s="109">
        <v>5930259.8199999975</v>
      </c>
      <c r="W14" s="109">
        <v>7314970.5</v>
      </c>
      <c r="X14" s="299">
        <f t="shared" si="0"/>
        <v>0.81070180939212233</v>
      </c>
      <c r="Y14" s="109">
        <v>9400170.049999997</v>
      </c>
      <c r="Z14" s="109">
        <v>13520298</v>
      </c>
      <c r="AA14" s="299">
        <f t="shared" si="1"/>
        <v>0.69526352525661761</v>
      </c>
      <c r="AB14" s="304">
        <v>398208.49000000005</v>
      </c>
      <c r="AC14" s="304">
        <v>569833</v>
      </c>
      <c r="AD14" s="302">
        <f t="shared" si="2"/>
        <v>0.69881612683014149</v>
      </c>
      <c r="AE14" s="304">
        <f t="shared" si="3"/>
        <v>15728638.359999994</v>
      </c>
      <c r="AF14" s="304">
        <f t="shared" si="4"/>
        <v>21405101.5</v>
      </c>
      <c r="AG14" s="302">
        <f t="shared" si="5"/>
        <v>0.73480793165124647</v>
      </c>
      <c r="AH14" s="299">
        <v>812.62</v>
      </c>
      <c r="AI14" s="330">
        <f t="shared" si="6"/>
        <v>658.79250434822643</v>
      </c>
      <c r="AJ14" s="330">
        <f t="shared" si="7"/>
        <v>564.98504589403262</v>
      </c>
      <c r="AK14" s="96">
        <f t="shared" si="8"/>
        <v>567.87196098470963</v>
      </c>
      <c r="AL14" s="96">
        <f t="shared" si="9"/>
        <v>597.11962141843594</v>
      </c>
    </row>
    <row r="15" spans="1:38" x14ac:dyDescent="0.25">
      <c r="U15" s="305">
        <v>44531</v>
      </c>
      <c r="V15" s="109">
        <v>5989602.9699999932</v>
      </c>
      <c r="W15" s="109">
        <v>6902856.5</v>
      </c>
      <c r="X15" s="299">
        <f t="shared" si="0"/>
        <v>0.86769918656138845</v>
      </c>
      <c r="Y15" s="109">
        <v>14591720.699999992</v>
      </c>
      <c r="Z15" s="109">
        <v>21353120</v>
      </c>
      <c r="AA15" s="299">
        <f t="shared" si="1"/>
        <v>0.68335309781427689</v>
      </c>
      <c r="AB15" s="298">
        <v>285120</v>
      </c>
      <c r="AC15" s="298">
        <v>360000</v>
      </c>
      <c r="AD15" s="302">
        <f t="shared" si="2"/>
        <v>0.79200000000000004</v>
      </c>
      <c r="AE15" s="304">
        <f t="shared" si="3"/>
        <v>20866443.669999987</v>
      </c>
      <c r="AF15" s="304">
        <f t="shared" si="4"/>
        <v>28615976.5</v>
      </c>
      <c r="AG15" s="302">
        <f t="shared" si="5"/>
        <v>0.72918859400097658</v>
      </c>
      <c r="AH15" s="299">
        <v>849.12</v>
      </c>
      <c r="AI15" s="330">
        <f t="shared" si="6"/>
        <v>736.78073329300616</v>
      </c>
      <c r="AJ15" s="330">
        <f t="shared" si="7"/>
        <v>580.24878241605882</v>
      </c>
      <c r="AK15" s="96">
        <f t="shared" si="8"/>
        <v>672.50304000000006</v>
      </c>
      <c r="AL15" s="96">
        <f t="shared" si="9"/>
        <v>619.16861893810926</v>
      </c>
    </row>
    <row r="16" spans="1:38" x14ac:dyDescent="0.25">
      <c r="U16" s="305">
        <v>44562</v>
      </c>
      <c r="V16" s="298">
        <v>7511394.7500000019</v>
      </c>
      <c r="W16" s="298">
        <v>8822877</v>
      </c>
      <c r="X16" s="299">
        <f>V16/W16</f>
        <v>0.8513543541409454</v>
      </c>
      <c r="Y16" s="300">
        <v>10539186.779999994</v>
      </c>
      <c r="Z16" s="300">
        <v>15286602</v>
      </c>
      <c r="AA16" s="299">
        <f t="shared" si="1"/>
        <v>0.68943946993582972</v>
      </c>
      <c r="AB16" s="300">
        <v>688434</v>
      </c>
      <c r="AC16" s="300">
        <v>1047900</v>
      </c>
      <c r="AD16" s="302">
        <f t="shared" si="2"/>
        <v>0.65696535929000854</v>
      </c>
      <c r="AE16" s="304">
        <f t="shared" si="3"/>
        <v>18739015.529999994</v>
      </c>
      <c r="AF16" s="304">
        <f t="shared" si="4"/>
        <v>25157379</v>
      </c>
      <c r="AG16" s="302">
        <f t="shared" si="5"/>
        <v>0.74487153570330178</v>
      </c>
      <c r="AH16" s="299">
        <v>822.05</v>
      </c>
      <c r="AI16" s="330">
        <f t="shared" si="6"/>
        <v>699.85584682156411</v>
      </c>
      <c r="AJ16" s="330">
        <f t="shared" si="7"/>
        <v>566.75371626074877</v>
      </c>
      <c r="AK16" s="96">
        <f t="shared" si="8"/>
        <v>540.05837360435146</v>
      </c>
      <c r="AL16" s="96">
        <f t="shared" si="9"/>
        <v>612.32164592489914</v>
      </c>
    </row>
    <row r="17" spans="21:38" x14ac:dyDescent="0.25">
      <c r="U17" s="305">
        <v>44593</v>
      </c>
      <c r="V17" s="298">
        <v>6359556.1099999994</v>
      </c>
      <c r="W17" s="298">
        <v>7680550</v>
      </c>
      <c r="X17" s="299">
        <f t="shared" si="0"/>
        <v>0.82800790438184757</v>
      </c>
      <c r="Y17" s="298">
        <v>9519800.1999999918</v>
      </c>
      <c r="Z17" s="298">
        <v>13761223</v>
      </c>
      <c r="AA17" s="299">
        <f t="shared" si="1"/>
        <v>0.69178445840169811</v>
      </c>
      <c r="AB17" s="300">
        <v>240459.14</v>
      </c>
      <c r="AC17" s="300">
        <v>336000</v>
      </c>
      <c r="AD17" s="302">
        <f t="shared" si="2"/>
        <v>0.7156522023809524</v>
      </c>
      <c r="AE17" s="304">
        <f t="shared" si="3"/>
        <v>16119815.449999992</v>
      </c>
      <c r="AF17" s="304">
        <f t="shared" si="4"/>
        <v>21777773</v>
      </c>
      <c r="AG17" s="302">
        <f t="shared" si="5"/>
        <v>0.74019576978784707</v>
      </c>
      <c r="AH17" s="299">
        <v>807.07</v>
      </c>
      <c r="AI17" s="330">
        <f t="shared" si="6"/>
        <v>668.26033938945773</v>
      </c>
      <c r="AJ17" s="330">
        <f t="shared" si="7"/>
        <v>558.3184828422585</v>
      </c>
      <c r="AK17" s="96">
        <f t="shared" si="8"/>
        <v>577.58142297559527</v>
      </c>
      <c r="AL17" s="96">
        <f t="shared" si="9"/>
        <v>597.38979992267775</v>
      </c>
    </row>
    <row r="18" spans="21:38" x14ac:dyDescent="0.25">
      <c r="U18" s="305">
        <v>44621</v>
      </c>
      <c r="V18" s="298">
        <v>7566842.7299999958</v>
      </c>
      <c r="W18" s="298">
        <v>8724754</v>
      </c>
      <c r="X18" s="299">
        <f t="shared" si="0"/>
        <v>0.86728436469383496</v>
      </c>
      <c r="Y18" s="300">
        <v>11679882.429999994</v>
      </c>
      <c r="Z18" s="300">
        <v>15125034</v>
      </c>
      <c r="AA18" s="299">
        <f t="shared" si="1"/>
        <v>0.77222189583177092</v>
      </c>
      <c r="AB18" s="300">
        <v>345250.72</v>
      </c>
      <c r="AC18" s="300">
        <v>552000</v>
      </c>
      <c r="AD18" s="302">
        <f t="shared" si="2"/>
        <v>0.62545420289855069</v>
      </c>
      <c r="AE18" s="304">
        <f t="shared" si="3"/>
        <v>19591975.879999988</v>
      </c>
      <c r="AF18" s="304">
        <f t="shared" si="4"/>
        <v>24401788</v>
      </c>
      <c r="AG18" s="302">
        <f t="shared" si="5"/>
        <v>0.80289099634829986</v>
      </c>
      <c r="AH18" s="299">
        <v>799.19</v>
      </c>
      <c r="AI18" s="330">
        <f t="shared" si="6"/>
        <v>693.124991419666</v>
      </c>
      <c r="AJ18" s="330">
        <f t="shared" si="7"/>
        <v>617.15201692979304</v>
      </c>
      <c r="AK18" s="96">
        <f t="shared" si="8"/>
        <v>499.85674441449277</v>
      </c>
      <c r="AL18" s="96">
        <f t="shared" si="9"/>
        <v>641.66245537159784</v>
      </c>
    </row>
    <row r="19" spans="21:38" x14ac:dyDescent="0.25">
      <c r="U19" s="305">
        <v>44652</v>
      </c>
      <c r="V19" s="304">
        <v>4909030.28</v>
      </c>
      <c r="W19" s="304">
        <v>5499396</v>
      </c>
      <c r="X19" s="299">
        <f t="shared" si="0"/>
        <v>0.8926489890889836</v>
      </c>
      <c r="Y19" s="304">
        <v>11085992.459999997</v>
      </c>
      <c r="Z19" s="304">
        <v>15085978</v>
      </c>
      <c r="AA19" s="299">
        <f t="shared" si="1"/>
        <v>0.73485407840313677</v>
      </c>
      <c r="AB19" s="303">
        <v>164312.48000000001</v>
      </c>
      <c r="AC19" s="303">
        <v>191905</v>
      </c>
      <c r="AD19" s="302">
        <f>AB19/AC19</f>
        <v>0.85621781610692793</v>
      </c>
      <c r="AE19" s="304">
        <f t="shared" si="3"/>
        <v>16159335.219999999</v>
      </c>
      <c r="AF19" s="304">
        <f t="shared" si="4"/>
        <v>20777279</v>
      </c>
      <c r="AG19" s="302">
        <f t="shared" si="5"/>
        <v>0.77774068587133083</v>
      </c>
      <c r="AH19" s="301">
        <v>815.12</v>
      </c>
      <c r="AI19" s="330">
        <f t="shared" ref="AI19" si="10">AH19*X19</f>
        <v>727.61604398621228</v>
      </c>
      <c r="AJ19" s="330">
        <f t="shared" ref="AJ19" si="11">AA19*AH19</f>
        <v>598.99425638796481</v>
      </c>
      <c r="AK19" s="96">
        <f t="shared" ref="AK19" si="12">AD19*AH19</f>
        <v>697.92026626507914</v>
      </c>
      <c r="AL19" s="96">
        <f t="shared" si="9"/>
        <v>633.95198786743924</v>
      </c>
    </row>
    <row r="20" spans="21:38" x14ac:dyDescent="0.25">
      <c r="U20" s="305">
        <v>44682</v>
      </c>
      <c r="V20" s="109">
        <v>4737211.0500000007</v>
      </c>
      <c r="W20" s="109">
        <v>5857410</v>
      </c>
      <c r="X20" s="299">
        <f t="shared" si="0"/>
        <v>0.80875524335841276</v>
      </c>
      <c r="Y20" s="33">
        <v>12642498.060000023</v>
      </c>
      <c r="Z20" s="33">
        <v>18676574</v>
      </c>
      <c r="AA20" s="299">
        <f t="shared" si="1"/>
        <v>0.67691740787148769</v>
      </c>
      <c r="AB20" s="109">
        <v>237467.14</v>
      </c>
      <c r="AC20" s="109">
        <v>311966</v>
      </c>
      <c r="AD20" s="302">
        <f>AB20/AC20</f>
        <v>0.76119557900540447</v>
      </c>
      <c r="AE20" s="304">
        <f t="shared" si="3"/>
        <v>17617176.250000022</v>
      </c>
      <c r="AF20" s="304">
        <f t="shared" si="4"/>
        <v>24845950</v>
      </c>
      <c r="AG20" s="302">
        <f t="shared" si="5"/>
        <v>0.70905625464109934</v>
      </c>
      <c r="AH20" s="347">
        <v>849.39</v>
      </c>
      <c r="AI20" s="330">
        <f t="shared" ref="AI20" si="13">AH20*X20</f>
        <v>686.94861615620221</v>
      </c>
      <c r="AJ20" s="330">
        <f t="shared" ref="AJ20" si="14">AA20*AH20</f>
        <v>574.96687707196293</v>
      </c>
      <c r="AK20" s="96">
        <f t="shared" ref="AK20" si="15">AD20*AH20</f>
        <v>646.55191285140052</v>
      </c>
      <c r="AL20" s="96">
        <f t="shared" si="9"/>
        <v>602.26529212960338</v>
      </c>
    </row>
    <row r="21" spans="21:38" x14ac:dyDescent="0.25">
      <c r="U21" s="305">
        <v>44713</v>
      </c>
      <c r="V21">
        <v>7336990.7400000012</v>
      </c>
      <c r="W21" s="109">
        <v>7135637</v>
      </c>
      <c r="X21" s="299">
        <f t="shared" si="0"/>
        <v>1.0282180469662345</v>
      </c>
      <c r="Y21">
        <v>11893117.939999999</v>
      </c>
      <c r="Z21">
        <v>16435995</v>
      </c>
      <c r="AA21" s="299">
        <f t="shared" si="1"/>
        <v>0.72360194439095404</v>
      </c>
      <c r="AB21">
        <v>463719.35999999993</v>
      </c>
      <c r="AC21">
        <v>527985</v>
      </c>
      <c r="AD21" s="302">
        <f>AB21/AC21</f>
        <v>0.87828131481007965</v>
      </c>
      <c r="AE21" s="304">
        <f>V21+Y21+AB21</f>
        <v>19693828.039999999</v>
      </c>
      <c r="AF21" s="304">
        <f t="shared" si="4"/>
        <v>24099617</v>
      </c>
      <c r="AG21" s="302">
        <f t="shared" si="5"/>
        <v>0.81718427475424193</v>
      </c>
      <c r="AH21" s="347">
        <v>857.77</v>
      </c>
      <c r="AI21" s="330">
        <f t="shared" ref="AI21" si="16">AH21*X21</f>
        <v>881.97459414622699</v>
      </c>
      <c r="AJ21" s="330">
        <f t="shared" ref="AJ21:AJ22" si="17">AA21*AH21</f>
        <v>620.68403984022859</v>
      </c>
      <c r="AK21" s="96">
        <f t="shared" ref="AK21:AK22" si="18">AD21*AH21</f>
        <v>753.36336340464197</v>
      </c>
      <c r="AL21" s="96">
        <f t="shared" si="9"/>
        <v>700.95615535594607</v>
      </c>
    </row>
    <row r="22" spans="21:38" x14ac:dyDescent="0.25">
      <c r="U22" s="305">
        <v>44743</v>
      </c>
      <c r="V22">
        <v>6757061.580000001</v>
      </c>
      <c r="W22">
        <v>7869671</v>
      </c>
      <c r="X22" s="299">
        <f t="shared" si="0"/>
        <v>0.85862059290661596</v>
      </c>
      <c r="Y22" s="109">
        <v>7392279.4299999969</v>
      </c>
      <c r="Z22">
        <v>10169794</v>
      </c>
      <c r="AA22" s="299">
        <f t="shared" si="1"/>
        <v>0.72688585727498478</v>
      </c>
      <c r="AB22">
        <v>476133.8299999999</v>
      </c>
      <c r="AC22">
        <v>552000</v>
      </c>
      <c r="AD22" s="302">
        <f>AB22/AC22</f>
        <v>0.86256128623188388</v>
      </c>
      <c r="AE22" s="304">
        <f>V22+Y22+AB22</f>
        <v>14625474.839999998</v>
      </c>
      <c r="AF22" s="304">
        <f t="shared" ref="AF22" si="19">W22+Z22+AC22</f>
        <v>18591465</v>
      </c>
      <c r="AG22" s="302">
        <f t="shared" si="5"/>
        <v>0.78667683477337569</v>
      </c>
      <c r="AH22" s="347">
        <v>953.71</v>
      </c>
      <c r="AI22" s="330">
        <f>AH22*X22</f>
        <v>818.87504566096879</v>
      </c>
      <c r="AJ22" s="330">
        <f t="shared" si="17"/>
        <v>693.23831094172579</v>
      </c>
      <c r="AK22" s="96">
        <f t="shared" si="18"/>
        <v>822.63332429220998</v>
      </c>
      <c r="AL22" s="96">
        <f t="shared" si="9"/>
        <v>750.2615640917162</v>
      </c>
    </row>
    <row r="23" spans="21:38" x14ac:dyDescent="0.25">
      <c r="U23" s="305">
        <v>44774</v>
      </c>
      <c r="V23">
        <v>10899203.349999985</v>
      </c>
      <c r="W23">
        <v>11055776.08</v>
      </c>
      <c r="X23" s="299">
        <f t="shared" si="0"/>
        <v>0.98583792500254619</v>
      </c>
      <c r="Y23" s="109">
        <v>11044635.550000006</v>
      </c>
      <c r="Z23">
        <v>13550551</v>
      </c>
      <c r="AA23" s="299">
        <f t="shared" si="1"/>
        <v>0.8150691104738107</v>
      </c>
      <c r="AB23">
        <v>482599.70000000007</v>
      </c>
      <c r="AC23">
        <v>575931</v>
      </c>
      <c r="AD23" s="302">
        <f>AB23/AC23</f>
        <v>0.83794708046623656</v>
      </c>
      <c r="AE23" s="304">
        <f>V23+Y23+AB23</f>
        <v>22426438.59999999</v>
      </c>
      <c r="AF23" s="304">
        <f t="shared" ref="AF23" si="20">W23+Z23+AC23</f>
        <v>25182258.079999998</v>
      </c>
      <c r="AG23" s="302">
        <f t="shared" si="5"/>
        <v>0.89056503704929035</v>
      </c>
      <c r="AH23" s="347">
        <v>904.35</v>
      </c>
      <c r="AI23" s="330">
        <f>AH23*X23</f>
        <v>891.54252747605267</v>
      </c>
      <c r="AJ23" s="330">
        <f t="shared" ref="AJ23" si="21">AA23*AH23</f>
        <v>737.10775005699077</v>
      </c>
      <c r="AK23" s="96">
        <f t="shared" ref="AK23" si="22">AD23*AH23</f>
        <v>757.79744221964108</v>
      </c>
      <c r="AL23" s="96">
        <f t="shared" ref="AL23" si="23">AG23*AH23</f>
        <v>805.38249125552579</v>
      </c>
    </row>
  </sheetData>
  <mergeCells count="4">
    <mergeCell ref="V1:X1"/>
    <mergeCell ref="Y1:AA1"/>
    <mergeCell ref="AB1:AD1"/>
    <mergeCell ref="AE1:AG1"/>
  </mergeCells>
  <phoneticPr fontId="59" type="noConversion"/>
  <pageMargins left="0.7" right="0.7" top="0.75" bottom="0.75" header="0.3" footer="0.3"/>
  <pageSetup scale="8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B86CA-E7BA-4C36-8C41-A608AC0AA6B1}">
  <dimension ref="A1:F247"/>
  <sheetViews>
    <sheetView zoomScaleNormal="100" workbookViewId="0">
      <selection sqref="A1:F1"/>
    </sheetView>
  </sheetViews>
  <sheetFormatPr baseColWidth="10" defaultRowHeight="15" x14ac:dyDescent="0.25"/>
  <cols>
    <col min="1" max="1" width="11.42578125" style="324"/>
    <col min="2" max="2" width="24.5703125" style="324" customWidth="1"/>
    <col min="3" max="3" width="17" style="324" customWidth="1"/>
    <col min="4" max="4" width="9.5703125" style="324" customWidth="1"/>
    <col min="5" max="5" width="12.5703125" style="324" customWidth="1"/>
    <col min="6" max="6" width="46.140625" style="324" customWidth="1"/>
    <col min="7" max="16384" width="11.42578125" style="324"/>
  </cols>
  <sheetData>
    <row r="1" spans="1:6" ht="15.75" customHeight="1" thickBot="1" x14ac:dyDescent="0.3">
      <c r="A1" s="443" t="s">
        <v>572</v>
      </c>
      <c r="B1" s="444"/>
      <c r="C1" s="444"/>
      <c r="D1" s="444"/>
      <c r="E1" s="444"/>
      <c r="F1" s="445"/>
    </row>
    <row r="2" spans="1:6" ht="45" x14ac:dyDescent="0.25">
      <c r="A2" s="314" t="s">
        <v>342</v>
      </c>
      <c r="B2" s="315" t="s">
        <v>343</v>
      </c>
      <c r="C2" s="315" t="s">
        <v>245</v>
      </c>
      <c r="D2" s="316" t="s">
        <v>565</v>
      </c>
      <c r="E2" s="317" t="s">
        <v>344</v>
      </c>
      <c r="F2" s="318" t="s">
        <v>345</v>
      </c>
    </row>
    <row r="3" spans="1:6" ht="36" x14ac:dyDescent="0.25">
      <c r="A3" s="319" t="s">
        <v>346</v>
      </c>
      <c r="B3" s="323" t="s">
        <v>347</v>
      </c>
      <c r="C3" s="323" t="s">
        <v>348</v>
      </c>
      <c r="D3" s="321">
        <v>140</v>
      </c>
      <c r="E3" s="322">
        <v>44673</v>
      </c>
      <c r="F3" s="339" t="s">
        <v>461</v>
      </c>
    </row>
    <row r="4" spans="1:6" ht="30" x14ac:dyDescent="0.25">
      <c r="A4" s="319" t="s">
        <v>346</v>
      </c>
      <c r="B4" s="323" t="s">
        <v>347</v>
      </c>
      <c r="C4" s="323" t="s">
        <v>348</v>
      </c>
      <c r="D4" s="321">
        <v>140</v>
      </c>
      <c r="E4" s="322">
        <v>44662</v>
      </c>
      <c r="F4" s="338" t="s">
        <v>349</v>
      </c>
    </row>
    <row r="5" spans="1:6" ht="30" x14ac:dyDescent="0.25">
      <c r="A5" s="319" t="s">
        <v>350</v>
      </c>
      <c r="B5" s="323" t="s">
        <v>351</v>
      </c>
      <c r="C5" s="323" t="s">
        <v>348</v>
      </c>
      <c r="D5" s="321">
        <v>150</v>
      </c>
      <c r="E5" s="322">
        <v>44662</v>
      </c>
      <c r="F5" s="325"/>
    </row>
    <row r="6" spans="1:6" ht="30" x14ac:dyDescent="0.25">
      <c r="A6" s="319" t="s">
        <v>350</v>
      </c>
      <c r="B6" s="323" t="s">
        <v>351</v>
      </c>
      <c r="C6" s="323" t="s">
        <v>348</v>
      </c>
      <c r="D6" s="321">
        <v>150</v>
      </c>
      <c r="E6" s="322">
        <v>44655</v>
      </c>
      <c r="F6" s="325"/>
    </row>
    <row r="7" spans="1:6" ht="30" x14ac:dyDescent="0.25">
      <c r="A7" s="319" t="s">
        <v>350</v>
      </c>
      <c r="B7" s="323" t="s">
        <v>351</v>
      </c>
      <c r="C7" s="320" t="s">
        <v>121</v>
      </c>
      <c r="D7" s="321">
        <v>150</v>
      </c>
      <c r="E7" s="322">
        <v>44662</v>
      </c>
      <c r="F7" s="325"/>
    </row>
    <row r="8" spans="1:6" ht="30" x14ac:dyDescent="0.25">
      <c r="A8" s="319" t="s">
        <v>350</v>
      </c>
      <c r="B8" s="323" t="s">
        <v>351</v>
      </c>
      <c r="C8" s="320" t="s">
        <v>121</v>
      </c>
      <c r="D8" s="321">
        <v>150</v>
      </c>
      <c r="E8" s="322">
        <v>44655</v>
      </c>
      <c r="F8" s="325"/>
    </row>
    <row r="9" spans="1:6" ht="30" x14ac:dyDescent="0.25">
      <c r="A9" s="319" t="s">
        <v>350</v>
      </c>
      <c r="B9" s="320" t="s">
        <v>352</v>
      </c>
      <c r="C9" s="323" t="s">
        <v>348</v>
      </c>
      <c r="D9" s="321">
        <v>150</v>
      </c>
      <c r="E9" s="322">
        <v>44655</v>
      </c>
      <c r="F9" s="325"/>
    </row>
    <row r="10" spans="1:6" ht="15.75" thickBot="1" x14ac:dyDescent="0.3">
      <c r="A10" s="319" t="s">
        <v>350</v>
      </c>
      <c r="B10" s="320" t="s">
        <v>352</v>
      </c>
      <c r="C10" s="320" t="s">
        <v>121</v>
      </c>
      <c r="D10" s="321">
        <v>150</v>
      </c>
      <c r="E10" s="322">
        <v>44655</v>
      </c>
      <c r="F10" s="326"/>
    </row>
    <row r="11" spans="1:6" ht="15.75" thickBot="1" x14ac:dyDescent="0.3">
      <c r="A11" s="440" t="s">
        <v>457</v>
      </c>
      <c r="B11" s="441"/>
      <c r="C11" s="441"/>
      <c r="D11" s="441"/>
      <c r="E11" s="441"/>
      <c r="F11" s="442"/>
    </row>
    <row r="12" spans="1:6" ht="15" customHeight="1" thickBot="1" x14ac:dyDescent="0.3">
      <c r="A12" s="437" t="s">
        <v>566</v>
      </c>
      <c r="B12" s="438"/>
      <c r="C12" s="438"/>
      <c r="D12" s="438"/>
      <c r="E12" s="438"/>
      <c r="F12" s="439"/>
    </row>
    <row r="13" spans="1:6" ht="15" customHeight="1" x14ac:dyDescent="0.25">
      <c r="A13" s="337"/>
      <c r="B13" s="331"/>
      <c r="C13" s="331"/>
      <c r="D13" s="331"/>
      <c r="E13" s="331"/>
      <c r="F13" s="331"/>
    </row>
    <row r="14" spans="1:6" ht="15.75" thickBot="1" x14ac:dyDescent="0.3">
      <c r="A14" s="327"/>
      <c r="B14" s="327"/>
      <c r="C14" s="327"/>
      <c r="D14" s="328"/>
      <c r="E14" s="329"/>
      <c r="F14" s="327"/>
    </row>
    <row r="15" spans="1:6" ht="15.75" thickBot="1" x14ac:dyDescent="0.3">
      <c r="A15" s="443" t="s">
        <v>574</v>
      </c>
      <c r="B15" s="444"/>
      <c r="C15" s="444"/>
      <c r="D15" s="444"/>
      <c r="E15" s="444"/>
      <c r="F15" s="445"/>
    </row>
    <row r="16" spans="1:6" ht="45" x14ac:dyDescent="0.25">
      <c r="A16" s="314" t="s">
        <v>342</v>
      </c>
      <c r="B16" s="315" t="s">
        <v>343</v>
      </c>
      <c r="C16" s="315" t="s">
        <v>245</v>
      </c>
      <c r="D16" s="316" t="s">
        <v>565</v>
      </c>
      <c r="E16" s="317" t="s">
        <v>344</v>
      </c>
      <c r="F16" s="318" t="s">
        <v>345</v>
      </c>
    </row>
    <row r="17" spans="1:6" x14ac:dyDescent="0.25">
      <c r="A17" s="319" t="s">
        <v>363</v>
      </c>
      <c r="B17" s="320" t="s">
        <v>364</v>
      </c>
      <c r="C17" s="320" t="s">
        <v>127</v>
      </c>
      <c r="D17" s="321">
        <v>1098</v>
      </c>
      <c r="E17" s="322">
        <v>44671</v>
      </c>
      <c r="F17" s="338" t="s">
        <v>471</v>
      </c>
    </row>
    <row r="18" spans="1:6" ht="30" x14ac:dyDescent="0.25">
      <c r="A18" s="319" t="s">
        <v>363</v>
      </c>
      <c r="B18" s="320" t="s">
        <v>364</v>
      </c>
      <c r="C18" s="323" t="s">
        <v>128</v>
      </c>
      <c r="D18" s="321">
        <v>977</v>
      </c>
      <c r="E18" s="322">
        <v>44671</v>
      </c>
      <c r="F18" s="338" t="s">
        <v>472</v>
      </c>
    </row>
    <row r="19" spans="1:6" x14ac:dyDescent="0.25">
      <c r="A19" s="319" t="s">
        <v>363</v>
      </c>
      <c r="B19" s="320" t="s">
        <v>364</v>
      </c>
      <c r="C19" s="320" t="s">
        <v>277</v>
      </c>
      <c r="D19" s="321">
        <v>1098</v>
      </c>
      <c r="E19" s="322">
        <v>44671</v>
      </c>
      <c r="F19" s="338" t="s">
        <v>473</v>
      </c>
    </row>
    <row r="20" spans="1:6" x14ac:dyDescent="0.25">
      <c r="A20" s="319" t="s">
        <v>363</v>
      </c>
      <c r="B20" s="320" t="s">
        <v>364</v>
      </c>
      <c r="C20" s="320" t="s">
        <v>357</v>
      </c>
      <c r="D20" s="321">
        <v>1180</v>
      </c>
      <c r="E20" s="322">
        <v>44671</v>
      </c>
      <c r="F20" s="338" t="s">
        <v>474</v>
      </c>
    </row>
    <row r="21" spans="1:6" x14ac:dyDescent="0.25">
      <c r="A21" s="319" t="s">
        <v>363</v>
      </c>
      <c r="B21" s="320" t="s">
        <v>364</v>
      </c>
      <c r="C21" s="320" t="s">
        <v>466</v>
      </c>
      <c r="D21" s="321">
        <v>1098</v>
      </c>
      <c r="E21" s="322">
        <v>44671</v>
      </c>
      <c r="F21" s="338" t="s">
        <v>475</v>
      </c>
    </row>
    <row r="22" spans="1:6" x14ac:dyDescent="0.25">
      <c r="A22" s="374"/>
      <c r="B22" s="374"/>
      <c r="C22" s="374"/>
      <c r="D22" s="374"/>
      <c r="E22" s="374"/>
      <c r="F22" s="374"/>
    </row>
    <row r="23" spans="1:6" ht="15.75" thickBot="1" x14ac:dyDescent="0.3">
      <c r="A23" s="333"/>
      <c r="B23" s="333"/>
      <c r="C23" s="333"/>
      <c r="D23" s="334"/>
      <c r="E23" s="335"/>
      <c r="F23" s="354"/>
    </row>
    <row r="24" spans="1:6" ht="15.75" thickBot="1" x14ac:dyDescent="0.3">
      <c r="A24" s="443" t="s">
        <v>573</v>
      </c>
      <c r="B24" s="444"/>
      <c r="C24" s="444"/>
      <c r="D24" s="444"/>
      <c r="E24" s="444"/>
      <c r="F24" s="445"/>
    </row>
    <row r="25" spans="1:6" ht="45" x14ac:dyDescent="0.25">
      <c r="A25" s="314" t="s">
        <v>342</v>
      </c>
      <c r="B25" s="315" t="s">
        <v>343</v>
      </c>
      <c r="C25" s="315" t="s">
        <v>245</v>
      </c>
      <c r="D25" s="316" t="s">
        <v>565</v>
      </c>
      <c r="E25" s="317" t="s">
        <v>344</v>
      </c>
      <c r="F25" s="318" t="s">
        <v>345</v>
      </c>
    </row>
    <row r="26" spans="1:6" x14ac:dyDescent="0.25">
      <c r="A26" s="319" t="s">
        <v>363</v>
      </c>
      <c r="B26" s="320" t="s">
        <v>364</v>
      </c>
      <c r="C26" s="320" t="s">
        <v>361</v>
      </c>
      <c r="D26" s="321">
        <v>720</v>
      </c>
      <c r="E26" s="322">
        <v>44656</v>
      </c>
      <c r="F26" s="338" t="s">
        <v>365</v>
      </c>
    </row>
    <row r="27" spans="1:6" ht="30" x14ac:dyDescent="0.25">
      <c r="A27" s="319" t="s">
        <v>353</v>
      </c>
      <c r="B27" s="320" t="s">
        <v>354</v>
      </c>
      <c r="C27" s="323" t="s">
        <v>128</v>
      </c>
      <c r="D27" s="321">
        <v>945</v>
      </c>
      <c r="E27" s="322">
        <v>44656</v>
      </c>
      <c r="F27" s="338" t="s">
        <v>355</v>
      </c>
    </row>
    <row r="28" spans="1:6" ht="30" x14ac:dyDescent="0.25">
      <c r="A28" s="319" t="s">
        <v>353</v>
      </c>
      <c r="B28" s="320" t="s">
        <v>354</v>
      </c>
      <c r="C28" s="323" t="s">
        <v>128</v>
      </c>
      <c r="D28" s="321">
        <v>1142</v>
      </c>
      <c r="E28" s="322">
        <v>44656</v>
      </c>
      <c r="F28" s="338" t="s">
        <v>355</v>
      </c>
    </row>
    <row r="29" spans="1:6" x14ac:dyDescent="0.25">
      <c r="A29" s="319" t="s">
        <v>353</v>
      </c>
      <c r="B29" s="320" t="s">
        <v>354</v>
      </c>
      <c r="C29" s="320" t="s">
        <v>277</v>
      </c>
      <c r="D29" s="321">
        <v>720</v>
      </c>
      <c r="E29" s="322">
        <v>44656</v>
      </c>
      <c r="F29" s="338" t="s">
        <v>356</v>
      </c>
    </row>
    <row r="30" spans="1:6" ht="25.5" x14ac:dyDescent="0.25">
      <c r="A30" s="319" t="s">
        <v>353</v>
      </c>
      <c r="B30" s="320" t="s">
        <v>354</v>
      </c>
      <c r="C30" s="320" t="s">
        <v>357</v>
      </c>
      <c r="D30" s="321">
        <v>1063</v>
      </c>
      <c r="E30" s="322">
        <v>44656</v>
      </c>
      <c r="F30" s="338" t="s">
        <v>358</v>
      </c>
    </row>
    <row r="31" spans="1:6" ht="30" x14ac:dyDescent="0.25">
      <c r="A31" s="319" t="s">
        <v>363</v>
      </c>
      <c r="B31" s="320" t="s">
        <v>462</v>
      </c>
      <c r="C31" s="323" t="s">
        <v>128</v>
      </c>
      <c r="D31" s="321">
        <v>780</v>
      </c>
      <c r="E31" s="322">
        <v>44671</v>
      </c>
      <c r="F31" s="338" t="s">
        <v>476</v>
      </c>
    </row>
    <row r="32" spans="1:6" ht="30" x14ac:dyDescent="0.25">
      <c r="A32" s="319" t="s">
        <v>363</v>
      </c>
      <c r="B32" s="320" t="s">
        <v>462</v>
      </c>
      <c r="C32" s="323" t="s">
        <v>291</v>
      </c>
      <c r="D32" s="321">
        <v>300</v>
      </c>
      <c r="E32" s="322">
        <v>44671</v>
      </c>
      <c r="F32" s="338" t="s">
        <v>477</v>
      </c>
    </row>
    <row r="33" spans="1:6" x14ac:dyDescent="0.25">
      <c r="A33" s="319" t="s">
        <v>363</v>
      </c>
      <c r="B33" s="320" t="s">
        <v>462</v>
      </c>
      <c r="C33" s="320" t="s">
        <v>379</v>
      </c>
      <c r="D33" s="321">
        <v>320</v>
      </c>
      <c r="E33" s="322">
        <v>44671</v>
      </c>
      <c r="F33" s="338" t="s">
        <v>478</v>
      </c>
    </row>
    <row r="34" spans="1:6" x14ac:dyDescent="0.25">
      <c r="A34" s="319" t="s">
        <v>463</v>
      </c>
      <c r="B34" s="320" t="s">
        <v>464</v>
      </c>
      <c r="C34" s="320" t="s">
        <v>127</v>
      </c>
      <c r="D34" s="321">
        <v>522</v>
      </c>
      <c r="E34" s="322">
        <v>44672</v>
      </c>
      <c r="F34" s="338" t="s">
        <v>479</v>
      </c>
    </row>
    <row r="35" spans="1:6" ht="30" x14ac:dyDescent="0.25">
      <c r="A35" s="319" t="s">
        <v>463</v>
      </c>
      <c r="B35" s="320" t="s">
        <v>464</v>
      </c>
      <c r="C35" s="323" t="s">
        <v>128</v>
      </c>
      <c r="D35" s="321">
        <v>615</v>
      </c>
      <c r="E35" s="322">
        <v>44672</v>
      </c>
      <c r="F35" s="338" t="s">
        <v>479</v>
      </c>
    </row>
    <row r="36" spans="1:6" x14ac:dyDescent="0.25">
      <c r="A36" s="319" t="s">
        <v>463</v>
      </c>
      <c r="B36" s="320" t="s">
        <v>464</v>
      </c>
      <c r="C36" s="320" t="s">
        <v>277</v>
      </c>
      <c r="D36" s="321">
        <v>590</v>
      </c>
      <c r="E36" s="322">
        <v>44672</v>
      </c>
      <c r="F36" s="338" t="s">
        <v>479</v>
      </c>
    </row>
    <row r="37" spans="1:6" x14ac:dyDescent="0.25">
      <c r="A37" s="319" t="s">
        <v>463</v>
      </c>
      <c r="B37" s="320" t="s">
        <v>464</v>
      </c>
      <c r="C37" s="320" t="s">
        <v>392</v>
      </c>
      <c r="D37" s="321">
        <v>521</v>
      </c>
      <c r="E37" s="322">
        <v>44672</v>
      </c>
      <c r="F37" s="338" t="s">
        <v>479</v>
      </c>
    </row>
    <row r="38" spans="1:6" x14ac:dyDescent="0.25">
      <c r="A38" s="319" t="s">
        <v>463</v>
      </c>
      <c r="B38" s="320" t="s">
        <v>464</v>
      </c>
      <c r="C38" s="320" t="s">
        <v>467</v>
      </c>
      <c r="D38" s="321">
        <v>660</v>
      </c>
      <c r="E38" s="322">
        <v>44672</v>
      </c>
      <c r="F38" s="338" t="s">
        <v>479</v>
      </c>
    </row>
    <row r="39" spans="1:6" x14ac:dyDescent="0.25">
      <c r="A39" s="319" t="s">
        <v>463</v>
      </c>
      <c r="B39" s="320" t="s">
        <v>464</v>
      </c>
      <c r="C39" s="320" t="s">
        <v>246</v>
      </c>
      <c r="D39" s="321">
        <v>466</v>
      </c>
      <c r="E39" s="322">
        <v>44672</v>
      </c>
      <c r="F39" s="338" t="s">
        <v>479</v>
      </c>
    </row>
    <row r="40" spans="1:6" x14ac:dyDescent="0.25">
      <c r="A40" s="319" t="s">
        <v>463</v>
      </c>
      <c r="B40" s="320" t="s">
        <v>464</v>
      </c>
      <c r="C40" s="320" t="s">
        <v>468</v>
      </c>
      <c r="D40" s="321">
        <v>626</v>
      </c>
      <c r="E40" s="322">
        <v>44672</v>
      </c>
      <c r="F40" s="338" t="s">
        <v>479</v>
      </c>
    </row>
    <row r="41" spans="1:6" x14ac:dyDescent="0.25">
      <c r="A41" s="319" t="s">
        <v>463</v>
      </c>
      <c r="B41" s="320" t="s">
        <v>464</v>
      </c>
      <c r="C41" s="320" t="s">
        <v>387</v>
      </c>
      <c r="D41" s="321">
        <v>446</v>
      </c>
      <c r="E41" s="322">
        <v>44672</v>
      </c>
      <c r="F41" s="338" t="s">
        <v>479</v>
      </c>
    </row>
    <row r="42" spans="1:6" x14ac:dyDescent="0.25">
      <c r="A42" s="319" t="s">
        <v>463</v>
      </c>
      <c r="B42" s="320" t="s">
        <v>464</v>
      </c>
      <c r="C42" s="320" t="s">
        <v>357</v>
      </c>
      <c r="D42" s="321">
        <v>735</v>
      </c>
      <c r="E42" s="322">
        <v>44672</v>
      </c>
      <c r="F42" s="338" t="s">
        <v>479</v>
      </c>
    </row>
    <row r="43" spans="1:6" x14ac:dyDescent="0.25">
      <c r="A43" s="319" t="s">
        <v>463</v>
      </c>
      <c r="B43" s="320" t="s">
        <v>464</v>
      </c>
      <c r="C43" s="320" t="s">
        <v>466</v>
      </c>
      <c r="D43" s="321">
        <v>673</v>
      </c>
      <c r="E43" s="322">
        <v>44672</v>
      </c>
      <c r="F43" s="338" t="s">
        <v>479</v>
      </c>
    </row>
    <row r="44" spans="1:6" x14ac:dyDescent="0.25">
      <c r="A44" s="319" t="s">
        <v>463</v>
      </c>
      <c r="B44" s="320" t="s">
        <v>464</v>
      </c>
      <c r="C44" s="320" t="s">
        <v>469</v>
      </c>
      <c r="D44" s="321">
        <v>516</v>
      </c>
      <c r="E44" s="322">
        <v>44672</v>
      </c>
      <c r="F44" s="338" t="s">
        <v>479</v>
      </c>
    </row>
    <row r="45" spans="1:6" ht="30" x14ac:dyDescent="0.25">
      <c r="A45" s="319" t="s">
        <v>463</v>
      </c>
      <c r="B45" s="320" t="s">
        <v>464</v>
      </c>
      <c r="C45" s="323" t="s">
        <v>374</v>
      </c>
      <c r="D45" s="321">
        <v>637</v>
      </c>
      <c r="E45" s="322">
        <v>44672</v>
      </c>
      <c r="F45" s="338" t="s">
        <v>479</v>
      </c>
    </row>
    <row r="46" spans="1:6" x14ac:dyDescent="0.25">
      <c r="A46" s="319" t="s">
        <v>463</v>
      </c>
      <c r="B46" s="320" t="s">
        <v>464</v>
      </c>
      <c r="C46" s="320" t="s">
        <v>361</v>
      </c>
      <c r="D46" s="321">
        <v>543</v>
      </c>
      <c r="E46" s="322">
        <v>44672</v>
      </c>
      <c r="F46" s="338" t="s">
        <v>479</v>
      </c>
    </row>
    <row r="47" spans="1:6" x14ac:dyDescent="0.25">
      <c r="A47" s="356"/>
      <c r="B47" s="356"/>
      <c r="C47" s="356"/>
      <c r="D47" s="357"/>
      <c r="E47" s="358"/>
      <c r="F47" s="359"/>
    </row>
    <row r="48" spans="1:6" ht="15.75" thickBot="1" x14ac:dyDescent="0.3">
      <c r="A48" s="355"/>
      <c r="B48" s="355"/>
      <c r="C48" s="355"/>
      <c r="D48" s="355"/>
      <c r="E48" s="355"/>
      <c r="F48" s="355"/>
    </row>
    <row r="49" spans="1:6" ht="15.75" thickBot="1" x14ac:dyDescent="0.3">
      <c r="A49" s="443" t="s">
        <v>573</v>
      </c>
      <c r="B49" s="444"/>
      <c r="C49" s="444"/>
      <c r="D49" s="444"/>
      <c r="E49" s="444"/>
      <c r="F49" s="445"/>
    </row>
    <row r="50" spans="1:6" ht="45" x14ac:dyDescent="0.25">
      <c r="A50" s="314" t="s">
        <v>342</v>
      </c>
      <c r="B50" s="315" t="s">
        <v>343</v>
      </c>
      <c r="C50" s="315" t="s">
        <v>245</v>
      </c>
      <c r="D50" s="316" t="s">
        <v>565</v>
      </c>
      <c r="E50" s="317" t="s">
        <v>344</v>
      </c>
      <c r="F50" s="318" t="s">
        <v>345</v>
      </c>
    </row>
    <row r="51" spans="1:6" x14ac:dyDescent="0.25">
      <c r="A51" s="319" t="s">
        <v>463</v>
      </c>
      <c r="B51" s="320" t="s">
        <v>464</v>
      </c>
      <c r="C51" s="320" t="s">
        <v>379</v>
      </c>
      <c r="D51" s="321">
        <v>220</v>
      </c>
      <c r="E51" s="322">
        <v>44672</v>
      </c>
      <c r="F51" s="338" t="s">
        <v>479</v>
      </c>
    </row>
    <row r="52" spans="1:6" x14ac:dyDescent="0.25">
      <c r="A52" s="319" t="s">
        <v>463</v>
      </c>
      <c r="B52" s="320" t="s">
        <v>464</v>
      </c>
      <c r="C52" s="320" t="s">
        <v>470</v>
      </c>
      <c r="D52" s="321">
        <v>577</v>
      </c>
      <c r="E52" s="322">
        <v>44672</v>
      </c>
      <c r="F52" s="338" t="s">
        <v>479</v>
      </c>
    </row>
    <row r="53" spans="1:6" ht="30" x14ac:dyDescent="0.25">
      <c r="A53" s="319" t="s">
        <v>363</v>
      </c>
      <c r="B53" s="320" t="s">
        <v>465</v>
      </c>
      <c r="C53" s="323" t="s">
        <v>128</v>
      </c>
      <c r="D53" s="321">
        <v>920</v>
      </c>
      <c r="E53" s="322">
        <v>44671</v>
      </c>
      <c r="F53" s="338" t="s">
        <v>480</v>
      </c>
    </row>
    <row r="54" spans="1:6" x14ac:dyDescent="0.25">
      <c r="A54" s="319" t="s">
        <v>363</v>
      </c>
      <c r="B54" s="320" t="s">
        <v>465</v>
      </c>
      <c r="C54" s="320" t="s">
        <v>392</v>
      </c>
      <c r="D54" s="321">
        <v>800</v>
      </c>
      <c r="E54" s="322">
        <v>44671</v>
      </c>
      <c r="F54" s="338" t="s">
        <v>481</v>
      </c>
    </row>
    <row r="55" spans="1:6" x14ac:dyDescent="0.25">
      <c r="A55" s="319" t="s">
        <v>359</v>
      </c>
      <c r="B55" s="320" t="s">
        <v>360</v>
      </c>
      <c r="C55" s="320" t="s">
        <v>361</v>
      </c>
      <c r="D55" s="321">
        <v>814</v>
      </c>
      <c r="E55" s="322">
        <v>44671</v>
      </c>
      <c r="F55" s="338" t="s">
        <v>482</v>
      </c>
    </row>
    <row r="56" spans="1:6" ht="15.75" thickBot="1" x14ac:dyDescent="0.3">
      <c r="A56" s="319" t="s">
        <v>359</v>
      </c>
      <c r="B56" s="320" t="s">
        <v>360</v>
      </c>
      <c r="C56" s="320" t="s">
        <v>361</v>
      </c>
      <c r="D56" s="321">
        <v>790</v>
      </c>
      <c r="E56" s="322">
        <v>44656</v>
      </c>
      <c r="F56" s="338" t="s">
        <v>362</v>
      </c>
    </row>
    <row r="57" spans="1:6" ht="15.75" thickBot="1" x14ac:dyDescent="0.3">
      <c r="A57" s="440" t="s">
        <v>457</v>
      </c>
      <c r="B57" s="441"/>
      <c r="C57" s="441"/>
      <c r="D57" s="441"/>
      <c r="E57" s="441"/>
      <c r="F57" s="442"/>
    </row>
    <row r="58" spans="1:6" ht="15.75" thickBot="1" x14ac:dyDescent="0.3">
      <c r="A58" s="437" t="s">
        <v>566</v>
      </c>
      <c r="B58" s="438"/>
      <c r="C58" s="438"/>
      <c r="D58" s="438"/>
      <c r="E58" s="438"/>
      <c r="F58" s="439"/>
    </row>
    <row r="60" spans="1:6" ht="15.75" thickBot="1" x14ac:dyDescent="0.3">
      <c r="A60" s="348"/>
      <c r="B60" s="348"/>
      <c r="C60" s="348"/>
      <c r="D60" s="348"/>
      <c r="E60" s="348"/>
      <c r="F60" s="348"/>
    </row>
    <row r="61" spans="1:6" ht="15.75" thickBot="1" x14ac:dyDescent="0.3">
      <c r="A61" s="443" t="s">
        <v>575</v>
      </c>
      <c r="B61" s="444"/>
      <c r="C61" s="444"/>
      <c r="D61" s="444"/>
      <c r="E61" s="444"/>
      <c r="F61" s="445"/>
    </row>
    <row r="62" spans="1:6" ht="45" x14ac:dyDescent="0.25">
      <c r="A62" s="314" t="s">
        <v>342</v>
      </c>
      <c r="B62" s="315" t="s">
        <v>343</v>
      </c>
      <c r="C62" s="315" t="s">
        <v>245</v>
      </c>
      <c r="D62" s="316" t="s">
        <v>565</v>
      </c>
      <c r="E62" s="317" t="s">
        <v>344</v>
      </c>
      <c r="F62" s="318" t="s">
        <v>345</v>
      </c>
    </row>
    <row r="63" spans="1:6" ht="30" x14ac:dyDescent="0.25">
      <c r="A63" s="376" t="s">
        <v>366</v>
      </c>
      <c r="B63" s="323" t="s">
        <v>367</v>
      </c>
      <c r="C63" s="323" t="s">
        <v>128</v>
      </c>
      <c r="D63" s="321">
        <v>190</v>
      </c>
      <c r="E63" s="322">
        <v>44664</v>
      </c>
      <c r="F63" s="338" t="s">
        <v>368</v>
      </c>
    </row>
    <row r="64" spans="1:6" ht="30" x14ac:dyDescent="0.25">
      <c r="A64" s="376" t="s">
        <v>366</v>
      </c>
      <c r="B64" s="323" t="s">
        <v>367</v>
      </c>
      <c r="C64" s="320" t="s">
        <v>277</v>
      </c>
      <c r="D64" s="321">
        <v>270</v>
      </c>
      <c r="E64" s="322">
        <v>44664</v>
      </c>
      <c r="F64" s="338" t="s">
        <v>371</v>
      </c>
    </row>
    <row r="65" spans="1:6" ht="30" x14ac:dyDescent="0.25">
      <c r="A65" s="376" t="s">
        <v>366</v>
      </c>
      <c r="B65" s="323" t="s">
        <v>367</v>
      </c>
      <c r="C65" s="323" t="s">
        <v>372</v>
      </c>
      <c r="D65" s="321">
        <v>140</v>
      </c>
      <c r="E65" s="322">
        <v>44664</v>
      </c>
      <c r="F65" s="338" t="s">
        <v>373</v>
      </c>
    </row>
    <row r="66" spans="1:6" ht="30" x14ac:dyDescent="0.25">
      <c r="A66" s="376" t="s">
        <v>366</v>
      </c>
      <c r="B66" s="323" t="s">
        <v>367</v>
      </c>
      <c r="C66" s="323" t="s">
        <v>374</v>
      </c>
      <c r="D66" s="321">
        <v>350</v>
      </c>
      <c r="E66" s="322">
        <v>44664</v>
      </c>
      <c r="F66" s="338" t="s">
        <v>375</v>
      </c>
    </row>
    <row r="67" spans="1:6" ht="30" x14ac:dyDescent="0.25">
      <c r="A67" s="376" t="s">
        <v>366</v>
      </c>
      <c r="B67" s="323" t="s">
        <v>367</v>
      </c>
      <c r="C67" s="320" t="s">
        <v>379</v>
      </c>
      <c r="D67" s="321">
        <v>200</v>
      </c>
      <c r="E67" s="322">
        <v>44664</v>
      </c>
      <c r="F67" s="338" t="s">
        <v>368</v>
      </c>
    </row>
    <row r="68" spans="1:6" ht="30" x14ac:dyDescent="0.25">
      <c r="A68" s="376" t="s">
        <v>366</v>
      </c>
      <c r="B68" s="323" t="s">
        <v>369</v>
      </c>
      <c r="C68" s="323" t="s">
        <v>128</v>
      </c>
      <c r="D68" s="321">
        <v>260</v>
      </c>
      <c r="E68" s="322">
        <v>44664</v>
      </c>
      <c r="F68" s="338" t="s">
        <v>370</v>
      </c>
    </row>
    <row r="69" spans="1:6" x14ac:dyDescent="0.25">
      <c r="A69" s="368"/>
      <c r="B69" s="368"/>
      <c r="C69" s="368"/>
      <c r="D69" s="357"/>
      <c r="E69" s="358"/>
      <c r="F69" s="359"/>
    </row>
    <row r="70" spans="1:6" x14ac:dyDescent="0.25">
      <c r="A70" s="336"/>
      <c r="B70" s="336"/>
      <c r="C70" s="336"/>
      <c r="D70" s="334"/>
      <c r="E70" s="335"/>
      <c r="F70" s="354"/>
    </row>
    <row r="71" spans="1:6" ht="15.75" thickBot="1" x14ac:dyDescent="0.3">
      <c r="A71" s="336"/>
      <c r="B71" s="336"/>
      <c r="C71" s="336"/>
      <c r="D71" s="334"/>
      <c r="E71" s="335"/>
      <c r="F71" s="354"/>
    </row>
    <row r="72" spans="1:6" ht="15.75" thickBot="1" x14ac:dyDescent="0.3">
      <c r="A72" s="443" t="s">
        <v>591</v>
      </c>
      <c r="B72" s="444"/>
      <c r="C72" s="444"/>
      <c r="D72" s="444"/>
      <c r="E72" s="444"/>
      <c r="F72" s="445"/>
    </row>
    <row r="73" spans="1:6" ht="45" x14ac:dyDescent="0.25">
      <c r="A73" s="314" t="s">
        <v>342</v>
      </c>
      <c r="B73" s="315" t="s">
        <v>343</v>
      </c>
      <c r="C73" s="315" t="s">
        <v>245</v>
      </c>
      <c r="D73" s="316" t="s">
        <v>565</v>
      </c>
      <c r="E73" s="317" t="s">
        <v>344</v>
      </c>
      <c r="F73" s="318" t="s">
        <v>345</v>
      </c>
    </row>
    <row r="74" spans="1:6" ht="30" x14ac:dyDescent="0.25">
      <c r="A74" s="376" t="s">
        <v>366</v>
      </c>
      <c r="B74" s="323" t="s">
        <v>369</v>
      </c>
      <c r="C74" s="323" t="s">
        <v>374</v>
      </c>
      <c r="D74" s="321">
        <v>360</v>
      </c>
      <c r="E74" s="322">
        <v>44664</v>
      </c>
      <c r="F74" s="338" t="s">
        <v>376</v>
      </c>
    </row>
    <row r="75" spans="1:6" ht="30" x14ac:dyDescent="0.25">
      <c r="A75" s="376" t="s">
        <v>366</v>
      </c>
      <c r="B75" s="323" t="s">
        <v>369</v>
      </c>
      <c r="C75" s="320" t="s">
        <v>379</v>
      </c>
      <c r="D75" s="321">
        <v>220</v>
      </c>
      <c r="E75" s="322">
        <v>44664</v>
      </c>
      <c r="F75" s="338" t="s">
        <v>376</v>
      </c>
    </row>
    <row r="76" spans="1:6" ht="30.75" thickBot="1" x14ac:dyDescent="0.3">
      <c r="A76" s="376" t="s">
        <v>366</v>
      </c>
      <c r="B76" s="323" t="s">
        <v>377</v>
      </c>
      <c r="C76" s="323" t="s">
        <v>374</v>
      </c>
      <c r="D76" s="321">
        <v>563</v>
      </c>
      <c r="E76" s="322">
        <v>44664</v>
      </c>
      <c r="F76" s="338" t="s">
        <v>378</v>
      </c>
    </row>
    <row r="77" spans="1:6" ht="15.75" thickBot="1" x14ac:dyDescent="0.3">
      <c r="A77" s="440" t="s">
        <v>457</v>
      </c>
      <c r="B77" s="441"/>
      <c r="C77" s="441"/>
      <c r="D77" s="441"/>
      <c r="E77" s="441"/>
      <c r="F77" s="442"/>
    </row>
    <row r="78" spans="1:6" ht="15.75" thickBot="1" x14ac:dyDescent="0.3">
      <c r="A78" s="437" t="s">
        <v>566</v>
      </c>
      <c r="B78" s="438"/>
      <c r="C78" s="438"/>
      <c r="D78" s="438"/>
      <c r="E78" s="438"/>
      <c r="F78" s="439"/>
    </row>
    <row r="79" spans="1:6" x14ac:dyDescent="0.25">
      <c r="A79" s="369"/>
      <c r="B79" s="369"/>
      <c r="C79" s="369"/>
      <c r="D79" s="370"/>
      <c r="E79" s="371"/>
      <c r="F79" s="369"/>
    </row>
    <row r="80" spans="1:6" ht="15.75" thickBot="1" x14ac:dyDescent="0.3">
      <c r="A80" s="337"/>
      <c r="B80" s="331"/>
      <c r="C80" s="331"/>
      <c r="D80" s="331"/>
      <c r="E80" s="331"/>
      <c r="F80" s="331"/>
    </row>
    <row r="81" spans="1:6" ht="15.75" thickBot="1" x14ac:dyDescent="0.3">
      <c r="A81" s="443" t="s">
        <v>576</v>
      </c>
      <c r="B81" s="444"/>
      <c r="C81" s="444"/>
      <c r="D81" s="444"/>
      <c r="E81" s="444"/>
      <c r="F81" s="445"/>
    </row>
    <row r="82" spans="1:6" ht="45" x14ac:dyDescent="0.25">
      <c r="A82" s="314" t="s">
        <v>342</v>
      </c>
      <c r="B82" s="315" t="s">
        <v>343</v>
      </c>
      <c r="C82" s="315" t="s">
        <v>245</v>
      </c>
      <c r="D82" s="316" t="s">
        <v>565</v>
      </c>
      <c r="E82" s="317" t="s">
        <v>344</v>
      </c>
      <c r="F82" s="318" t="s">
        <v>345</v>
      </c>
    </row>
    <row r="83" spans="1:6" ht="45" x14ac:dyDescent="0.25">
      <c r="A83" s="319" t="s">
        <v>388</v>
      </c>
      <c r="B83" s="323" t="s">
        <v>389</v>
      </c>
      <c r="C83" s="320" t="s">
        <v>390</v>
      </c>
      <c r="D83" s="321">
        <v>140</v>
      </c>
      <c r="E83" s="322">
        <v>44658</v>
      </c>
      <c r="F83" s="338" t="s">
        <v>391</v>
      </c>
    </row>
    <row r="84" spans="1:6" ht="45" x14ac:dyDescent="0.25">
      <c r="A84" s="319" t="s">
        <v>388</v>
      </c>
      <c r="B84" s="323" t="s">
        <v>389</v>
      </c>
      <c r="C84" s="323" t="s">
        <v>128</v>
      </c>
      <c r="D84" s="321">
        <v>200</v>
      </c>
      <c r="E84" s="322">
        <v>44658</v>
      </c>
      <c r="F84" s="338" t="s">
        <v>393</v>
      </c>
    </row>
    <row r="85" spans="1:6" ht="45" x14ac:dyDescent="0.25">
      <c r="A85" s="319" t="s">
        <v>388</v>
      </c>
      <c r="B85" s="323" t="s">
        <v>389</v>
      </c>
      <c r="C85" s="320" t="s">
        <v>392</v>
      </c>
      <c r="D85" s="321">
        <v>300</v>
      </c>
      <c r="E85" s="322">
        <v>44658</v>
      </c>
      <c r="F85" s="338" t="s">
        <v>393</v>
      </c>
    </row>
    <row r="86" spans="1:6" ht="45" x14ac:dyDescent="0.25">
      <c r="A86" s="319" t="s">
        <v>388</v>
      </c>
      <c r="B86" s="323" t="s">
        <v>389</v>
      </c>
      <c r="C86" s="323" t="s">
        <v>291</v>
      </c>
      <c r="D86" s="321">
        <v>140</v>
      </c>
      <c r="E86" s="322">
        <v>44658</v>
      </c>
      <c r="F86" s="338" t="s">
        <v>391</v>
      </c>
    </row>
    <row r="87" spans="1:6" x14ac:dyDescent="0.25">
      <c r="A87" s="356"/>
      <c r="B87" s="368"/>
      <c r="C87" s="368"/>
      <c r="D87" s="357"/>
      <c r="E87" s="358"/>
      <c r="F87" s="359"/>
    </row>
    <row r="88" spans="1:6" x14ac:dyDescent="0.25">
      <c r="A88" s="333"/>
      <c r="B88" s="336"/>
      <c r="C88" s="336"/>
      <c r="D88" s="334"/>
      <c r="E88" s="335"/>
      <c r="F88" s="354"/>
    </row>
    <row r="89" spans="1:6" x14ac:dyDescent="0.25">
      <c r="A89" s="333"/>
      <c r="B89" s="336"/>
      <c r="C89" s="336"/>
      <c r="D89" s="334"/>
      <c r="E89" s="335"/>
      <c r="F89" s="354"/>
    </row>
    <row r="90" spans="1:6" ht="15.75" thickBot="1" x14ac:dyDescent="0.3">
      <c r="A90" s="333"/>
      <c r="B90" s="336"/>
      <c r="C90" s="336"/>
      <c r="D90" s="334"/>
      <c r="E90" s="335"/>
      <c r="F90" s="354"/>
    </row>
    <row r="91" spans="1:6" ht="15.75" thickBot="1" x14ac:dyDescent="0.3">
      <c r="A91" s="443" t="s">
        <v>577</v>
      </c>
      <c r="B91" s="444"/>
      <c r="C91" s="444"/>
      <c r="D91" s="444"/>
      <c r="E91" s="444"/>
      <c r="F91" s="445"/>
    </row>
    <row r="92" spans="1:6" ht="45" x14ac:dyDescent="0.25">
      <c r="A92" s="314" t="s">
        <v>342</v>
      </c>
      <c r="B92" s="315" t="s">
        <v>343</v>
      </c>
      <c r="C92" s="315" t="s">
        <v>245</v>
      </c>
      <c r="D92" s="316" t="s">
        <v>565</v>
      </c>
      <c r="E92" s="317" t="s">
        <v>344</v>
      </c>
      <c r="F92" s="318" t="s">
        <v>345</v>
      </c>
    </row>
    <row r="93" spans="1:6" ht="45" x14ac:dyDescent="0.25">
      <c r="A93" s="319" t="s">
        <v>388</v>
      </c>
      <c r="B93" s="323" t="s">
        <v>389</v>
      </c>
      <c r="C93" s="323" t="s">
        <v>372</v>
      </c>
      <c r="D93" s="321">
        <v>140</v>
      </c>
      <c r="E93" s="322">
        <v>44658</v>
      </c>
      <c r="F93" s="338" t="s">
        <v>391</v>
      </c>
    </row>
    <row r="94" spans="1:6" ht="45" x14ac:dyDescent="0.25">
      <c r="A94" s="319" t="s">
        <v>388</v>
      </c>
      <c r="B94" s="323" t="s">
        <v>389</v>
      </c>
      <c r="C94" s="323" t="s">
        <v>374</v>
      </c>
      <c r="D94" s="321">
        <v>300</v>
      </c>
      <c r="E94" s="322">
        <v>44658</v>
      </c>
      <c r="F94" s="338" t="s">
        <v>394</v>
      </c>
    </row>
    <row r="95" spans="1:6" ht="45" x14ac:dyDescent="0.25">
      <c r="A95" s="319" t="s">
        <v>388</v>
      </c>
      <c r="B95" s="323" t="s">
        <v>389</v>
      </c>
      <c r="C95" s="320" t="s">
        <v>395</v>
      </c>
      <c r="D95" s="321">
        <v>140</v>
      </c>
      <c r="E95" s="322">
        <v>44658</v>
      </c>
      <c r="F95" s="338" t="s">
        <v>396</v>
      </c>
    </row>
    <row r="96" spans="1:6" ht="45" x14ac:dyDescent="0.25">
      <c r="A96" s="319" t="s">
        <v>388</v>
      </c>
      <c r="B96" s="323" t="s">
        <v>389</v>
      </c>
      <c r="C96" s="320" t="s">
        <v>383</v>
      </c>
      <c r="D96" s="321">
        <v>140</v>
      </c>
      <c r="E96" s="322">
        <v>44658</v>
      </c>
      <c r="F96" s="338" t="s">
        <v>393</v>
      </c>
    </row>
    <row r="97" spans="1:6" ht="30" x14ac:dyDescent="0.25">
      <c r="A97" s="319" t="s">
        <v>388</v>
      </c>
      <c r="B97" s="323" t="s">
        <v>419</v>
      </c>
      <c r="C97" s="323" t="s">
        <v>372</v>
      </c>
      <c r="D97" s="321">
        <v>130</v>
      </c>
      <c r="E97" s="322">
        <v>44658</v>
      </c>
      <c r="F97" s="338" t="s">
        <v>420</v>
      </c>
    </row>
    <row r="98" spans="1:6" ht="30" x14ac:dyDescent="0.25">
      <c r="A98" s="319" t="s">
        <v>397</v>
      </c>
      <c r="B98" s="323" t="s">
        <v>398</v>
      </c>
      <c r="C98" s="323" t="s">
        <v>128</v>
      </c>
      <c r="D98" s="321">
        <v>200</v>
      </c>
      <c r="E98" s="322">
        <v>44657</v>
      </c>
      <c r="F98" s="338" t="s">
        <v>399</v>
      </c>
    </row>
    <row r="99" spans="1:6" ht="30" x14ac:dyDescent="0.25">
      <c r="A99" s="319" t="s">
        <v>397</v>
      </c>
      <c r="B99" s="323" t="s">
        <v>398</v>
      </c>
      <c r="C99" s="323" t="s">
        <v>372</v>
      </c>
      <c r="D99" s="321">
        <v>180</v>
      </c>
      <c r="E99" s="322">
        <v>44657</v>
      </c>
      <c r="F99" s="338" t="s">
        <v>400</v>
      </c>
    </row>
    <row r="100" spans="1:6" ht="25.5" x14ac:dyDescent="0.25">
      <c r="A100" s="319" t="s">
        <v>397</v>
      </c>
      <c r="B100" s="323" t="s">
        <v>410</v>
      </c>
      <c r="C100" s="320" t="s">
        <v>392</v>
      </c>
      <c r="D100" s="321">
        <v>180</v>
      </c>
      <c r="E100" s="322">
        <v>44657</v>
      </c>
      <c r="F100" s="338" t="s">
        <v>411</v>
      </c>
    </row>
    <row r="101" spans="1:6" ht="30" x14ac:dyDescent="0.25">
      <c r="A101" s="319" t="s">
        <v>397</v>
      </c>
      <c r="B101" s="323" t="s">
        <v>410</v>
      </c>
      <c r="C101" s="323" t="s">
        <v>374</v>
      </c>
      <c r="D101" s="321">
        <v>180</v>
      </c>
      <c r="E101" s="322">
        <v>44657</v>
      </c>
      <c r="F101" s="338" t="s">
        <v>412</v>
      </c>
    </row>
    <row r="102" spans="1:6" ht="30" x14ac:dyDescent="0.25">
      <c r="A102" s="319" t="s">
        <v>413</v>
      </c>
      <c r="B102" s="323" t="s">
        <v>414</v>
      </c>
      <c r="C102" s="323" t="s">
        <v>128</v>
      </c>
      <c r="D102" s="321">
        <v>200</v>
      </c>
      <c r="E102" s="322">
        <v>44672</v>
      </c>
      <c r="F102" s="338" t="s">
        <v>497</v>
      </c>
    </row>
    <row r="103" spans="1:6" x14ac:dyDescent="0.25">
      <c r="A103" s="319" t="s">
        <v>413</v>
      </c>
      <c r="B103" s="323" t="s">
        <v>414</v>
      </c>
      <c r="C103" s="320" t="s">
        <v>387</v>
      </c>
      <c r="D103" s="321">
        <v>200</v>
      </c>
      <c r="E103" s="322">
        <v>44672</v>
      </c>
      <c r="F103" s="338" t="s">
        <v>498</v>
      </c>
    </row>
    <row r="104" spans="1:6" ht="30" x14ac:dyDescent="0.25">
      <c r="A104" s="319" t="s">
        <v>413</v>
      </c>
      <c r="B104" s="323" t="s">
        <v>414</v>
      </c>
      <c r="C104" s="323" t="s">
        <v>291</v>
      </c>
      <c r="D104" s="321">
        <v>180</v>
      </c>
      <c r="E104" s="322">
        <v>44672</v>
      </c>
      <c r="F104" s="338" t="s">
        <v>499</v>
      </c>
    </row>
    <row r="105" spans="1:6" s="377" customFormat="1" x14ac:dyDescent="0.25">
      <c r="A105" s="356"/>
      <c r="B105" s="368"/>
      <c r="C105" s="368"/>
      <c r="D105" s="357"/>
      <c r="E105" s="358"/>
      <c r="F105" s="359"/>
    </row>
    <row r="106" spans="1:6" s="377" customFormat="1" x14ac:dyDescent="0.25">
      <c r="A106" s="333"/>
      <c r="B106" s="336"/>
      <c r="C106" s="336"/>
      <c r="D106" s="334"/>
      <c r="E106" s="335"/>
      <c r="F106" s="354"/>
    </row>
    <row r="107" spans="1:6" s="377" customFormat="1" ht="15.75" thickBot="1" x14ac:dyDescent="0.3">
      <c r="A107" s="333"/>
      <c r="B107" s="336"/>
      <c r="C107" s="336"/>
      <c r="D107" s="334"/>
      <c r="E107" s="335"/>
      <c r="F107" s="354"/>
    </row>
    <row r="108" spans="1:6" s="377" customFormat="1" ht="15.75" thickBot="1" x14ac:dyDescent="0.3">
      <c r="A108" s="443" t="s">
        <v>577</v>
      </c>
      <c r="B108" s="444"/>
      <c r="C108" s="444"/>
      <c r="D108" s="444"/>
      <c r="E108" s="444"/>
      <c r="F108" s="445"/>
    </row>
    <row r="109" spans="1:6" s="377" customFormat="1" ht="45" x14ac:dyDescent="0.25">
      <c r="A109" s="314" t="s">
        <v>342</v>
      </c>
      <c r="B109" s="315" t="s">
        <v>343</v>
      </c>
      <c r="C109" s="315" t="s">
        <v>245</v>
      </c>
      <c r="D109" s="316" t="s">
        <v>565</v>
      </c>
      <c r="E109" s="317" t="s">
        <v>344</v>
      </c>
      <c r="F109" s="318" t="s">
        <v>345</v>
      </c>
    </row>
    <row r="110" spans="1:6" ht="30" x14ac:dyDescent="0.25">
      <c r="A110" s="319" t="s">
        <v>413</v>
      </c>
      <c r="B110" s="323" t="s">
        <v>414</v>
      </c>
      <c r="C110" s="323" t="s">
        <v>372</v>
      </c>
      <c r="D110" s="321">
        <v>120</v>
      </c>
      <c r="E110" s="322">
        <v>44672</v>
      </c>
      <c r="F110" s="338" t="s">
        <v>497</v>
      </c>
    </row>
    <row r="111" spans="1:6" ht="25.5" x14ac:dyDescent="0.25">
      <c r="A111" s="319" t="s">
        <v>413</v>
      </c>
      <c r="B111" s="323" t="s">
        <v>414</v>
      </c>
      <c r="C111" s="320" t="s">
        <v>379</v>
      </c>
      <c r="D111" s="321">
        <v>180</v>
      </c>
      <c r="E111" s="322">
        <v>44672</v>
      </c>
      <c r="F111" s="338" t="s">
        <v>500</v>
      </c>
    </row>
    <row r="112" spans="1:6" ht="25.5" x14ac:dyDescent="0.25">
      <c r="A112" s="319" t="s">
        <v>413</v>
      </c>
      <c r="B112" s="323" t="s">
        <v>414</v>
      </c>
      <c r="C112" s="320" t="s">
        <v>383</v>
      </c>
      <c r="D112" s="321">
        <v>180</v>
      </c>
      <c r="E112" s="322">
        <v>44672</v>
      </c>
      <c r="F112" s="338" t="s">
        <v>501</v>
      </c>
    </row>
    <row r="113" spans="1:6" ht="30" x14ac:dyDescent="0.25">
      <c r="A113" s="319" t="s">
        <v>483</v>
      </c>
      <c r="B113" s="323" t="s">
        <v>484</v>
      </c>
      <c r="C113" s="323" t="s">
        <v>128</v>
      </c>
      <c r="D113" s="321">
        <v>200</v>
      </c>
      <c r="E113" s="322">
        <v>44671</v>
      </c>
      <c r="F113" s="338" t="s">
        <v>502</v>
      </c>
    </row>
    <row r="114" spans="1:6" ht="25.5" x14ac:dyDescent="0.25">
      <c r="A114" s="319" t="s">
        <v>483</v>
      </c>
      <c r="B114" s="323" t="s">
        <v>484</v>
      </c>
      <c r="C114" s="320" t="s">
        <v>277</v>
      </c>
      <c r="D114" s="321">
        <v>240</v>
      </c>
      <c r="E114" s="322">
        <v>44671</v>
      </c>
      <c r="F114" s="338" t="s">
        <v>503</v>
      </c>
    </row>
    <row r="115" spans="1:6" ht="25.5" x14ac:dyDescent="0.25">
      <c r="A115" s="319" t="s">
        <v>483</v>
      </c>
      <c r="B115" s="323" t="s">
        <v>484</v>
      </c>
      <c r="C115" s="320" t="s">
        <v>246</v>
      </c>
      <c r="D115" s="321">
        <v>210</v>
      </c>
      <c r="E115" s="322">
        <v>44671</v>
      </c>
      <c r="F115" s="338" t="s">
        <v>504</v>
      </c>
    </row>
    <row r="116" spans="1:6" ht="25.5" x14ac:dyDescent="0.25">
      <c r="A116" s="319" t="s">
        <v>483</v>
      </c>
      <c r="B116" s="323" t="s">
        <v>484</v>
      </c>
      <c r="C116" s="320" t="s">
        <v>387</v>
      </c>
      <c r="D116" s="321">
        <v>220</v>
      </c>
      <c r="E116" s="322">
        <v>44671</v>
      </c>
      <c r="F116" s="338" t="s">
        <v>502</v>
      </c>
    </row>
    <row r="117" spans="1:6" ht="30" x14ac:dyDescent="0.25">
      <c r="A117" s="319" t="s">
        <v>483</v>
      </c>
      <c r="B117" s="323" t="s">
        <v>484</v>
      </c>
      <c r="C117" s="323" t="s">
        <v>372</v>
      </c>
      <c r="D117" s="321">
        <v>140</v>
      </c>
      <c r="E117" s="322">
        <v>44671</v>
      </c>
      <c r="F117" s="338" t="s">
        <v>505</v>
      </c>
    </row>
    <row r="118" spans="1:6" ht="30" x14ac:dyDescent="0.25">
      <c r="A118" s="319" t="s">
        <v>483</v>
      </c>
      <c r="B118" s="323" t="s">
        <v>484</v>
      </c>
      <c r="C118" s="323" t="s">
        <v>374</v>
      </c>
      <c r="D118" s="321">
        <v>330</v>
      </c>
      <c r="E118" s="322">
        <v>44671</v>
      </c>
      <c r="F118" s="338" t="s">
        <v>502</v>
      </c>
    </row>
    <row r="119" spans="1:6" ht="25.5" x14ac:dyDescent="0.25">
      <c r="A119" s="319" t="s">
        <v>483</v>
      </c>
      <c r="B119" s="323" t="s">
        <v>484</v>
      </c>
      <c r="C119" s="320" t="s">
        <v>395</v>
      </c>
      <c r="D119" s="321">
        <v>300</v>
      </c>
      <c r="E119" s="322">
        <v>44671</v>
      </c>
      <c r="F119" s="338" t="s">
        <v>506</v>
      </c>
    </row>
    <row r="120" spans="1:6" ht="25.5" x14ac:dyDescent="0.25">
      <c r="A120" s="319" t="s">
        <v>483</v>
      </c>
      <c r="B120" s="323" t="s">
        <v>484</v>
      </c>
      <c r="C120" s="320" t="s">
        <v>361</v>
      </c>
      <c r="D120" s="321">
        <v>180</v>
      </c>
      <c r="E120" s="322">
        <v>44671</v>
      </c>
      <c r="F120" s="338" t="s">
        <v>504</v>
      </c>
    </row>
    <row r="121" spans="1:6" x14ac:dyDescent="0.25">
      <c r="A121" s="319" t="s">
        <v>483</v>
      </c>
      <c r="B121" s="323" t="s">
        <v>484</v>
      </c>
      <c r="C121" s="320" t="s">
        <v>379</v>
      </c>
      <c r="D121" s="321">
        <v>200</v>
      </c>
      <c r="E121" s="322">
        <v>44671</v>
      </c>
      <c r="F121" s="338" t="s">
        <v>507</v>
      </c>
    </row>
    <row r="122" spans="1:6" ht="30" x14ac:dyDescent="0.25">
      <c r="A122" s="319" t="s">
        <v>483</v>
      </c>
      <c r="B122" s="323" t="s">
        <v>485</v>
      </c>
      <c r="C122" s="323" t="s">
        <v>128</v>
      </c>
      <c r="D122" s="321">
        <v>250</v>
      </c>
      <c r="E122" s="322">
        <v>44671</v>
      </c>
      <c r="F122" s="338" t="s">
        <v>508</v>
      </c>
    </row>
    <row r="123" spans="1:6" ht="30" x14ac:dyDescent="0.25">
      <c r="A123" s="319" t="s">
        <v>483</v>
      </c>
      <c r="B123" s="323" t="s">
        <v>485</v>
      </c>
      <c r="C123" s="323" t="s">
        <v>496</v>
      </c>
      <c r="D123" s="321">
        <v>250</v>
      </c>
      <c r="E123" s="322">
        <v>44671</v>
      </c>
      <c r="F123" s="338" t="s">
        <v>509</v>
      </c>
    </row>
    <row r="124" spans="1:6" ht="25.5" x14ac:dyDescent="0.25">
      <c r="A124" s="319" t="s">
        <v>483</v>
      </c>
      <c r="B124" s="323" t="s">
        <v>485</v>
      </c>
      <c r="C124" s="320" t="s">
        <v>277</v>
      </c>
      <c r="D124" s="321">
        <v>250</v>
      </c>
      <c r="E124" s="322">
        <v>44671</v>
      </c>
      <c r="F124" s="338" t="s">
        <v>510</v>
      </c>
    </row>
    <row r="125" spans="1:6" x14ac:dyDescent="0.25">
      <c r="A125" s="356"/>
      <c r="B125" s="368"/>
      <c r="C125" s="356"/>
      <c r="D125" s="357"/>
      <c r="E125" s="358"/>
      <c r="F125" s="359"/>
    </row>
    <row r="126" spans="1:6" x14ac:dyDescent="0.25">
      <c r="A126" s="333"/>
      <c r="B126" s="336"/>
      <c r="C126" s="333"/>
      <c r="D126" s="334"/>
      <c r="E126" s="335"/>
      <c r="F126" s="354"/>
    </row>
    <row r="127" spans="1:6" ht="15.75" thickBot="1" x14ac:dyDescent="0.3">
      <c r="A127" s="333"/>
      <c r="B127" s="336"/>
      <c r="C127" s="333"/>
      <c r="D127" s="334"/>
      <c r="E127" s="335"/>
      <c r="F127" s="354"/>
    </row>
    <row r="128" spans="1:6" ht="15.75" thickBot="1" x14ac:dyDescent="0.3">
      <c r="A128" s="443" t="s">
        <v>577</v>
      </c>
      <c r="B128" s="444"/>
      <c r="C128" s="444"/>
      <c r="D128" s="444"/>
      <c r="E128" s="444"/>
      <c r="F128" s="445"/>
    </row>
    <row r="129" spans="1:6" ht="45" x14ac:dyDescent="0.25">
      <c r="A129" s="314" t="s">
        <v>342</v>
      </c>
      <c r="B129" s="315" t="s">
        <v>343</v>
      </c>
      <c r="C129" s="315" t="s">
        <v>245</v>
      </c>
      <c r="D129" s="316" t="s">
        <v>565</v>
      </c>
      <c r="E129" s="317" t="s">
        <v>344</v>
      </c>
      <c r="F129" s="318" t="s">
        <v>345</v>
      </c>
    </row>
    <row r="130" spans="1:6" ht="25.5" x14ac:dyDescent="0.25">
      <c r="A130" s="319" t="s">
        <v>483</v>
      </c>
      <c r="B130" s="323" t="s">
        <v>485</v>
      </c>
      <c r="C130" s="320" t="s">
        <v>387</v>
      </c>
      <c r="D130" s="321">
        <v>250</v>
      </c>
      <c r="E130" s="322">
        <v>44671</v>
      </c>
      <c r="F130" s="338" t="s">
        <v>511</v>
      </c>
    </row>
    <row r="131" spans="1:6" ht="25.5" x14ac:dyDescent="0.25">
      <c r="A131" s="319" t="s">
        <v>483</v>
      </c>
      <c r="B131" s="323" t="s">
        <v>485</v>
      </c>
      <c r="C131" s="320" t="s">
        <v>361</v>
      </c>
      <c r="D131" s="321">
        <v>250</v>
      </c>
      <c r="E131" s="322">
        <v>44671</v>
      </c>
      <c r="F131" s="338" t="s">
        <v>512</v>
      </c>
    </row>
    <row r="132" spans="1:6" ht="30" x14ac:dyDescent="0.25">
      <c r="A132" s="319" t="s">
        <v>483</v>
      </c>
      <c r="B132" s="323" t="s">
        <v>486</v>
      </c>
      <c r="C132" s="320" t="s">
        <v>379</v>
      </c>
      <c r="D132" s="321">
        <v>200</v>
      </c>
      <c r="E132" s="322">
        <v>44671</v>
      </c>
      <c r="F132" s="338" t="s">
        <v>513</v>
      </c>
    </row>
    <row r="133" spans="1:6" ht="30" x14ac:dyDescent="0.25">
      <c r="A133" s="319" t="s">
        <v>407</v>
      </c>
      <c r="B133" s="323" t="s">
        <v>408</v>
      </c>
      <c r="C133" s="323" t="s">
        <v>374</v>
      </c>
      <c r="D133" s="321">
        <v>300</v>
      </c>
      <c r="E133" s="322">
        <v>44657</v>
      </c>
      <c r="F133" s="338" t="s">
        <v>409</v>
      </c>
    </row>
    <row r="134" spans="1:6" ht="30" x14ac:dyDescent="0.25">
      <c r="A134" s="319" t="s">
        <v>487</v>
      </c>
      <c r="B134" s="323" t="s">
        <v>488</v>
      </c>
      <c r="C134" s="323" t="s">
        <v>496</v>
      </c>
      <c r="D134" s="321">
        <v>400</v>
      </c>
      <c r="E134" s="322">
        <v>44671</v>
      </c>
      <c r="F134" s="338" t="s">
        <v>514</v>
      </c>
    </row>
    <row r="135" spans="1:6" ht="25.5" x14ac:dyDescent="0.25">
      <c r="A135" s="319" t="s">
        <v>487</v>
      </c>
      <c r="B135" s="323" t="s">
        <v>488</v>
      </c>
      <c r="C135" s="320" t="s">
        <v>392</v>
      </c>
      <c r="D135" s="321">
        <v>400</v>
      </c>
      <c r="E135" s="322">
        <v>44671</v>
      </c>
      <c r="F135" s="338" t="s">
        <v>502</v>
      </c>
    </row>
    <row r="136" spans="1:6" ht="25.5" x14ac:dyDescent="0.25">
      <c r="A136" s="319" t="s">
        <v>487</v>
      </c>
      <c r="B136" s="323" t="s">
        <v>488</v>
      </c>
      <c r="C136" s="320" t="s">
        <v>438</v>
      </c>
      <c r="D136" s="321">
        <v>220</v>
      </c>
      <c r="E136" s="322">
        <v>44671</v>
      </c>
      <c r="F136" s="338" t="s">
        <v>515</v>
      </c>
    </row>
    <row r="137" spans="1:6" ht="25.5" x14ac:dyDescent="0.25">
      <c r="A137" s="319" t="s">
        <v>487</v>
      </c>
      <c r="B137" s="323" t="s">
        <v>488</v>
      </c>
      <c r="C137" s="320" t="s">
        <v>466</v>
      </c>
      <c r="D137" s="321">
        <v>500</v>
      </c>
      <c r="E137" s="322">
        <v>44671</v>
      </c>
      <c r="F137" s="338" t="s">
        <v>502</v>
      </c>
    </row>
    <row r="138" spans="1:6" ht="30" x14ac:dyDescent="0.25">
      <c r="A138" s="319" t="s">
        <v>487</v>
      </c>
      <c r="B138" s="323" t="s">
        <v>488</v>
      </c>
      <c r="C138" s="323" t="s">
        <v>374</v>
      </c>
      <c r="D138" s="321">
        <v>350</v>
      </c>
      <c r="E138" s="322">
        <v>44671</v>
      </c>
      <c r="F138" s="338" t="s">
        <v>516</v>
      </c>
    </row>
    <row r="139" spans="1:6" ht="30" x14ac:dyDescent="0.25">
      <c r="A139" s="376" t="s">
        <v>385</v>
      </c>
      <c r="B139" s="323" t="s">
        <v>386</v>
      </c>
      <c r="C139" s="320" t="s">
        <v>387</v>
      </c>
      <c r="D139" s="321">
        <v>280</v>
      </c>
      <c r="E139" s="322">
        <v>44671</v>
      </c>
      <c r="F139" s="338" t="s">
        <v>512</v>
      </c>
    </row>
    <row r="140" spans="1:6" ht="30" x14ac:dyDescent="0.25">
      <c r="A140" s="376" t="s">
        <v>385</v>
      </c>
      <c r="B140" s="323" t="s">
        <v>386</v>
      </c>
      <c r="C140" s="323" t="s">
        <v>372</v>
      </c>
      <c r="D140" s="321">
        <v>150</v>
      </c>
      <c r="E140" s="322">
        <v>44671</v>
      </c>
      <c r="F140" s="338" t="s">
        <v>517</v>
      </c>
    </row>
    <row r="141" spans="1:6" ht="30" x14ac:dyDescent="0.25">
      <c r="A141" s="376" t="s">
        <v>385</v>
      </c>
      <c r="B141" s="323" t="s">
        <v>352</v>
      </c>
      <c r="C141" s="323" t="s">
        <v>128</v>
      </c>
      <c r="D141" s="321">
        <v>200</v>
      </c>
      <c r="E141" s="322">
        <v>44657</v>
      </c>
      <c r="F141" s="338" t="s">
        <v>401</v>
      </c>
    </row>
    <row r="142" spans="1:6" ht="30" x14ac:dyDescent="0.25">
      <c r="A142" s="376" t="s">
        <v>385</v>
      </c>
      <c r="B142" s="323" t="s">
        <v>352</v>
      </c>
      <c r="C142" s="320" t="s">
        <v>392</v>
      </c>
      <c r="D142" s="321">
        <v>350</v>
      </c>
      <c r="E142" s="322">
        <v>44657</v>
      </c>
      <c r="F142" s="338" t="s">
        <v>401</v>
      </c>
    </row>
    <row r="143" spans="1:6" ht="30" x14ac:dyDescent="0.25">
      <c r="A143" s="376" t="s">
        <v>385</v>
      </c>
      <c r="B143" s="323" t="s">
        <v>352</v>
      </c>
      <c r="C143" s="323" t="s">
        <v>291</v>
      </c>
      <c r="D143" s="321">
        <v>140</v>
      </c>
      <c r="E143" s="322">
        <v>44657</v>
      </c>
      <c r="F143" s="338" t="s">
        <v>402</v>
      </c>
    </row>
    <row r="144" spans="1:6" ht="30" x14ac:dyDescent="0.25">
      <c r="A144" s="376" t="s">
        <v>385</v>
      </c>
      <c r="B144" s="323" t="s">
        <v>352</v>
      </c>
      <c r="C144" s="323" t="s">
        <v>372</v>
      </c>
      <c r="D144" s="321">
        <v>120</v>
      </c>
      <c r="E144" s="322">
        <v>44657</v>
      </c>
      <c r="F144" s="338" t="s">
        <v>403</v>
      </c>
    </row>
    <row r="145" spans="1:6" x14ac:dyDescent="0.25">
      <c r="A145" s="368"/>
      <c r="B145" s="368"/>
      <c r="C145" s="368"/>
      <c r="D145" s="357"/>
      <c r="E145" s="358"/>
      <c r="F145" s="359"/>
    </row>
    <row r="146" spans="1:6" ht="15.75" thickBot="1" x14ac:dyDescent="0.3">
      <c r="A146" s="364"/>
      <c r="B146" s="364"/>
      <c r="C146" s="364"/>
      <c r="D146" s="365"/>
      <c r="E146" s="366"/>
      <c r="F146" s="367"/>
    </row>
    <row r="147" spans="1:6" ht="15.75" thickBot="1" x14ac:dyDescent="0.3">
      <c r="A147" s="443" t="s">
        <v>577</v>
      </c>
      <c r="B147" s="444"/>
      <c r="C147" s="444"/>
      <c r="D147" s="444"/>
      <c r="E147" s="444"/>
      <c r="F147" s="445"/>
    </row>
    <row r="148" spans="1:6" ht="45" x14ac:dyDescent="0.25">
      <c r="A148" s="314" t="s">
        <v>342</v>
      </c>
      <c r="B148" s="315" t="s">
        <v>343</v>
      </c>
      <c r="C148" s="315" t="s">
        <v>245</v>
      </c>
      <c r="D148" s="316" t="s">
        <v>565</v>
      </c>
      <c r="E148" s="317" t="s">
        <v>344</v>
      </c>
      <c r="F148" s="318" t="s">
        <v>345</v>
      </c>
    </row>
    <row r="149" spans="1:6" ht="30" x14ac:dyDescent="0.25">
      <c r="A149" s="376" t="s">
        <v>385</v>
      </c>
      <c r="B149" s="323" t="s">
        <v>352</v>
      </c>
      <c r="C149" s="320" t="s">
        <v>121</v>
      </c>
      <c r="D149" s="321">
        <v>180</v>
      </c>
      <c r="E149" s="322">
        <v>44657</v>
      </c>
      <c r="F149" s="338" t="s">
        <v>403</v>
      </c>
    </row>
    <row r="150" spans="1:6" ht="30" x14ac:dyDescent="0.25">
      <c r="A150" s="376" t="s">
        <v>385</v>
      </c>
      <c r="B150" s="323" t="s">
        <v>352</v>
      </c>
      <c r="C150" s="323" t="s">
        <v>374</v>
      </c>
      <c r="D150" s="321">
        <v>350</v>
      </c>
      <c r="E150" s="322">
        <v>44657</v>
      </c>
      <c r="F150" s="338" t="s">
        <v>401</v>
      </c>
    </row>
    <row r="151" spans="1:6" ht="30" x14ac:dyDescent="0.25">
      <c r="A151" s="376" t="s">
        <v>385</v>
      </c>
      <c r="B151" s="323" t="s">
        <v>352</v>
      </c>
      <c r="C151" s="320" t="s">
        <v>379</v>
      </c>
      <c r="D151" s="321">
        <v>180</v>
      </c>
      <c r="E151" s="322">
        <v>44657</v>
      </c>
      <c r="F151" s="338" t="s">
        <v>404</v>
      </c>
    </row>
    <row r="152" spans="1:6" ht="30" x14ac:dyDescent="0.25">
      <c r="A152" s="376" t="s">
        <v>385</v>
      </c>
      <c r="B152" s="323" t="s">
        <v>489</v>
      </c>
      <c r="C152" s="323" t="s">
        <v>128</v>
      </c>
      <c r="D152" s="321">
        <v>200</v>
      </c>
      <c r="E152" s="322">
        <v>44671</v>
      </c>
      <c r="F152" s="338" t="s">
        <v>518</v>
      </c>
    </row>
    <row r="153" spans="1:6" ht="30" x14ac:dyDescent="0.25">
      <c r="A153" s="376" t="s">
        <v>385</v>
      </c>
      <c r="B153" s="323" t="s">
        <v>489</v>
      </c>
      <c r="C153" s="320" t="s">
        <v>277</v>
      </c>
      <c r="D153" s="321">
        <v>280</v>
      </c>
      <c r="E153" s="322">
        <v>44671</v>
      </c>
      <c r="F153" s="338" t="s">
        <v>519</v>
      </c>
    </row>
    <row r="154" spans="1:6" ht="30" x14ac:dyDescent="0.25">
      <c r="A154" s="376" t="s">
        <v>385</v>
      </c>
      <c r="B154" s="323" t="s">
        <v>489</v>
      </c>
      <c r="C154" s="320" t="s">
        <v>392</v>
      </c>
      <c r="D154" s="321">
        <v>375</v>
      </c>
      <c r="E154" s="322">
        <v>44671</v>
      </c>
      <c r="F154" s="338" t="s">
        <v>520</v>
      </c>
    </row>
    <row r="155" spans="1:6" ht="30" x14ac:dyDescent="0.25">
      <c r="A155" s="376" t="s">
        <v>385</v>
      </c>
      <c r="B155" s="323" t="s">
        <v>489</v>
      </c>
      <c r="C155" s="320" t="s">
        <v>387</v>
      </c>
      <c r="D155" s="321">
        <v>200</v>
      </c>
      <c r="E155" s="322">
        <v>44671</v>
      </c>
      <c r="F155" s="338" t="s">
        <v>519</v>
      </c>
    </row>
    <row r="156" spans="1:6" ht="30" x14ac:dyDescent="0.25">
      <c r="A156" s="376" t="s">
        <v>385</v>
      </c>
      <c r="B156" s="323" t="s">
        <v>489</v>
      </c>
      <c r="C156" s="323" t="s">
        <v>291</v>
      </c>
      <c r="D156" s="321">
        <v>250</v>
      </c>
      <c r="E156" s="322">
        <v>44671</v>
      </c>
      <c r="F156" s="338" t="s">
        <v>521</v>
      </c>
    </row>
    <row r="157" spans="1:6" ht="30" x14ac:dyDescent="0.25">
      <c r="A157" s="376" t="s">
        <v>385</v>
      </c>
      <c r="B157" s="323" t="s">
        <v>489</v>
      </c>
      <c r="C157" s="323" t="s">
        <v>372</v>
      </c>
      <c r="D157" s="321">
        <v>170</v>
      </c>
      <c r="E157" s="322">
        <v>44671</v>
      </c>
      <c r="F157" s="338" t="s">
        <v>522</v>
      </c>
    </row>
    <row r="158" spans="1:6" ht="30" x14ac:dyDescent="0.25">
      <c r="A158" s="376" t="s">
        <v>385</v>
      </c>
      <c r="B158" s="323" t="s">
        <v>489</v>
      </c>
      <c r="C158" s="323" t="s">
        <v>466</v>
      </c>
      <c r="D158" s="321">
        <v>250</v>
      </c>
      <c r="E158" s="322">
        <v>44671</v>
      </c>
      <c r="F158" s="338" t="s">
        <v>523</v>
      </c>
    </row>
    <row r="159" spans="1:6" ht="30" x14ac:dyDescent="0.25">
      <c r="A159" s="376" t="s">
        <v>385</v>
      </c>
      <c r="B159" s="323" t="s">
        <v>489</v>
      </c>
      <c r="C159" s="323" t="s">
        <v>374</v>
      </c>
      <c r="D159" s="321">
        <v>380</v>
      </c>
      <c r="E159" s="322">
        <v>44671</v>
      </c>
      <c r="F159" s="338" t="s">
        <v>524</v>
      </c>
    </row>
    <row r="160" spans="1:6" ht="30" x14ac:dyDescent="0.25">
      <c r="A160" s="376" t="s">
        <v>385</v>
      </c>
      <c r="B160" s="323" t="s">
        <v>489</v>
      </c>
      <c r="C160" s="320" t="s">
        <v>379</v>
      </c>
      <c r="D160" s="321">
        <v>200</v>
      </c>
      <c r="E160" s="322">
        <v>44671</v>
      </c>
      <c r="F160" s="338" t="s">
        <v>525</v>
      </c>
    </row>
    <row r="161" spans="1:6" ht="30" x14ac:dyDescent="0.25">
      <c r="A161" s="376" t="s">
        <v>385</v>
      </c>
      <c r="B161" s="323" t="s">
        <v>490</v>
      </c>
      <c r="C161" s="323" t="s">
        <v>128</v>
      </c>
      <c r="D161" s="321">
        <v>200</v>
      </c>
      <c r="E161" s="322">
        <v>44671</v>
      </c>
      <c r="F161" s="338" t="s">
        <v>526</v>
      </c>
    </row>
    <row r="162" spans="1:6" ht="30" x14ac:dyDescent="0.25">
      <c r="A162" s="376" t="s">
        <v>385</v>
      </c>
      <c r="B162" s="323" t="s">
        <v>490</v>
      </c>
      <c r="C162" s="320" t="s">
        <v>277</v>
      </c>
      <c r="D162" s="321">
        <v>200</v>
      </c>
      <c r="E162" s="322">
        <v>44671</v>
      </c>
      <c r="F162" s="338" t="s">
        <v>527</v>
      </c>
    </row>
    <row r="163" spans="1:6" x14ac:dyDescent="0.25">
      <c r="A163" s="368"/>
      <c r="B163" s="368"/>
      <c r="C163" s="368"/>
      <c r="D163" s="357"/>
      <c r="E163" s="358"/>
      <c r="F163" s="359"/>
    </row>
    <row r="164" spans="1:6" ht="15.75" thickBot="1" x14ac:dyDescent="0.3">
      <c r="A164" s="364"/>
      <c r="B164" s="364"/>
      <c r="C164" s="364"/>
      <c r="D164" s="365"/>
      <c r="E164" s="366"/>
      <c r="F164" s="367"/>
    </row>
    <row r="165" spans="1:6" ht="15.75" thickBot="1" x14ac:dyDescent="0.3">
      <c r="A165" s="443" t="s">
        <v>577</v>
      </c>
      <c r="B165" s="444"/>
      <c r="C165" s="444"/>
      <c r="D165" s="444"/>
      <c r="E165" s="444"/>
      <c r="F165" s="445"/>
    </row>
    <row r="166" spans="1:6" ht="45" x14ac:dyDescent="0.25">
      <c r="A166" s="314" t="s">
        <v>342</v>
      </c>
      <c r="B166" s="315" t="s">
        <v>343</v>
      </c>
      <c r="C166" s="315" t="s">
        <v>245</v>
      </c>
      <c r="D166" s="316" t="s">
        <v>565</v>
      </c>
      <c r="E166" s="317" t="s">
        <v>344</v>
      </c>
      <c r="F166" s="318" t="s">
        <v>345</v>
      </c>
    </row>
    <row r="167" spans="1:6" ht="30" x14ac:dyDescent="0.25">
      <c r="A167" s="376" t="s">
        <v>385</v>
      </c>
      <c r="B167" s="323" t="s">
        <v>490</v>
      </c>
      <c r="C167" s="320" t="s">
        <v>392</v>
      </c>
      <c r="D167" s="321">
        <v>320</v>
      </c>
      <c r="E167" s="322">
        <v>44671</v>
      </c>
      <c r="F167" s="338" t="s">
        <v>528</v>
      </c>
    </row>
    <row r="168" spans="1:6" ht="30" x14ac:dyDescent="0.25">
      <c r="A168" s="376" t="s">
        <v>385</v>
      </c>
      <c r="B168" s="323" t="s">
        <v>490</v>
      </c>
      <c r="C168" s="320" t="s">
        <v>387</v>
      </c>
      <c r="D168" s="321">
        <v>200</v>
      </c>
      <c r="E168" s="322">
        <v>44671</v>
      </c>
      <c r="F168" s="338" t="s">
        <v>529</v>
      </c>
    </row>
    <row r="169" spans="1:6" ht="30" x14ac:dyDescent="0.25">
      <c r="A169" s="376" t="s">
        <v>385</v>
      </c>
      <c r="B169" s="323" t="s">
        <v>490</v>
      </c>
      <c r="C169" s="323" t="s">
        <v>374</v>
      </c>
      <c r="D169" s="321">
        <v>320</v>
      </c>
      <c r="E169" s="322">
        <v>44671</v>
      </c>
      <c r="F169" s="338" t="s">
        <v>528</v>
      </c>
    </row>
    <row r="170" spans="1:6" ht="30" x14ac:dyDescent="0.25">
      <c r="A170" s="376" t="s">
        <v>385</v>
      </c>
      <c r="B170" s="323" t="s">
        <v>490</v>
      </c>
      <c r="C170" s="320" t="s">
        <v>379</v>
      </c>
      <c r="D170" s="321">
        <v>180</v>
      </c>
      <c r="E170" s="322">
        <v>44671</v>
      </c>
      <c r="F170" s="338" t="s">
        <v>530</v>
      </c>
    </row>
    <row r="171" spans="1:6" ht="30" x14ac:dyDescent="0.25">
      <c r="A171" s="376" t="s">
        <v>385</v>
      </c>
      <c r="B171" s="323" t="s">
        <v>490</v>
      </c>
      <c r="C171" s="320" t="s">
        <v>470</v>
      </c>
      <c r="D171" s="321">
        <v>200</v>
      </c>
      <c r="E171" s="322">
        <v>44671</v>
      </c>
      <c r="F171" s="338" t="s">
        <v>527</v>
      </c>
    </row>
    <row r="172" spans="1:6" ht="30" x14ac:dyDescent="0.25">
      <c r="A172" s="376" t="s">
        <v>380</v>
      </c>
      <c r="B172" s="323" t="s">
        <v>491</v>
      </c>
      <c r="C172" s="320" t="s">
        <v>387</v>
      </c>
      <c r="D172" s="321">
        <v>130</v>
      </c>
      <c r="E172" s="322">
        <v>44672</v>
      </c>
      <c r="F172" s="338" t="s">
        <v>531</v>
      </c>
    </row>
    <row r="173" spans="1:6" ht="30" x14ac:dyDescent="0.25">
      <c r="A173" s="319" t="s">
        <v>380</v>
      </c>
      <c r="B173" s="323" t="s">
        <v>491</v>
      </c>
      <c r="C173" s="323" t="s">
        <v>372</v>
      </c>
      <c r="D173" s="321">
        <v>130</v>
      </c>
      <c r="E173" s="322">
        <v>44672</v>
      </c>
      <c r="F173" s="338" t="s">
        <v>531</v>
      </c>
    </row>
    <row r="174" spans="1:6" ht="30" x14ac:dyDescent="0.25">
      <c r="A174" s="319" t="s">
        <v>380</v>
      </c>
      <c r="B174" s="323" t="s">
        <v>491</v>
      </c>
      <c r="C174" s="323" t="s">
        <v>374</v>
      </c>
      <c r="D174" s="321">
        <v>350</v>
      </c>
      <c r="E174" s="322">
        <v>44672</v>
      </c>
      <c r="F174" s="338" t="s">
        <v>532</v>
      </c>
    </row>
    <row r="175" spans="1:6" ht="30" x14ac:dyDescent="0.25">
      <c r="A175" s="319" t="s">
        <v>380</v>
      </c>
      <c r="B175" s="323" t="s">
        <v>381</v>
      </c>
      <c r="C175" s="323" t="s">
        <v>128</v>
      </c>
      <c r="D175" s="321">
        <v>200</v>
      </c>
      <c r="E175" s="322">
        <v>44658</v>
      </c>
      <c r="F175" s="338" t="s">
        <v>382</v>
      </c>
    </row>
    <row r="176" spans="1:6" ht="30" x14ac:dyDescent="0.25">
      <c r="A176" s="319" t="s">
        <v>380</v>
      </c>
      <c r="B176" s="323" t="s">
        <v>381</v>
      </c>
      <c r="C176" s="323" t="s">
        <v>372</v>
      </c>
      <c r="D176" s="321">
        <v>130</v>
      </c>
      <c r="E176" s="322">
        <v>44658</v>
      </c>
      <c r="F176" s="338" t="s">
        <v>382</v>
      </c>
    </row>
    <row r="177" spans="1:6" ht="30" x14ac:dyDescent="0.25">
      <c r="A177" s="319" t="s">
        <v>380</v>
      </c>
      <c r="B177" s="323" t="s">
        <v>381</v>
      </c>
      <c r="C177" s="320" t="s">
        <v>383</v>
      </c>
      <c r="D177" s="321">
        <v>180</v>
      </c>
      <c r="E177" s="322">
        <v>44658</v>
      </c>
      <c r="F177" s="338" t="s">
        <v>384</v>
      </c>
    </row>
    <row r="178" spans="1:6" ht="30" x14ac:dyDescent="0.25">
      <c r="A178" s="319" t="s">
        <v>380</v>
      </c>
      <c r="B178" s="323" t="s">
        <v>492</v>
      </c>
      <c r="C178" s="323" t="s">
        <v>372</v>
      </c>
      <c r="D178" s="321">
        <v>140</v>
      </c>
      <c r="E178" s="322">
        <v>44672</v>
      </c>
      <c r="F178" s="338" t="s">
        <v>533</v>
      </c>
    </row>
    <row r="179" spans="1:6" x14ac:dyDescent="0.25">
      <c r="A179" s="319" t="s">
        <v>380</v>
      </c>
      <c r="B179" s="323" t="s">
        <v>492</v>
      </c>
      <c r="C179" s="320" t="s">
        <v>379</v>
      </c>
      <c r="D179" s="321">
        <v>200</v>
      </c>
      <c r="E179" s="322">
        <v>44672</v>
      </c>
      <c r="F179" s="338" t="s">
        <v>534</v>
      </c>
    </row>
    <row r="180" spans="1:6" ht="30" x14ac:dyDescent="0.25">
      <c r="A180" s="319" t="s">
        <v>380</v>
      </c>
      <c r="B180" s="323" t="s">
        <v>405</v>
      </c>
      <c r="C180" s="323" t="s">
        <v>372</v>
      </c>
      <c r="D180" s="321">
        <v>140</v>
      </c>
      <c r="E180" s="322">
        <v>44672</v>
      </c>
      <c r="F180" s="338" t="s">
        <v>406</v>
      </c>
    </row>
    <row r="181" spans="1:6" x14ac:dyDescent="0.25">
      <c r="A181" s="319" t="s">
        <v>380</v>
      </c>
      <c r="B181" s="320" t="s">
        <v>493</v>
      </c>
      <c r="C181" s="320" t="s">
        <v>379</v>
      </c>
      <c r="D181" s="321">
        <v>200</v>
      </c>
      <c r="E181" s="322">
        <v>44672</v>
      </c>
      <c r="F181" s="338" t="s">
        <v>536</v>
      </c>
    </row>
    <row r="182" spans="1:6" x14ac:dyDescent="0.25">
      <c r="A182" s="333"/>
      <c r="B182" s="336"/>
      <c r="C182" s="336"/>
      <c r="D182" s="334"/>
      <c r="E182" s="335"/>
      <c r="F182" s="354"/>
    </row>
    <row r="183" spans="1:6" ht="15.75" thickBot="1" x14ac:dyDescent="0.3">
      <c r="A183" s="363"/>
      <c r="B183" s="364"/>
      <c r="C183" s="364"/>
      <c r="D183" s="365"/>
      <c r="E183" s="366"/>
      <c r="F183" s="367"/>
    </row>
    <row r="184" spans="1:6" ht="15.75" thickBot="1" x14ac:dyDescent="0.3">
      <c r="A184" s="443" t="s">
        <v>577</v>
      </c>
      <c r="B184" s="444"/>
      <c r="C184" s="444"/>
      <c r="D184" s="444"/>
      <c r="E184" s="444"/>
      <c r="F184" s="445"/>
    </row>
    <row r="185" spans="1:6" ht="45" x14ac:dyDescent="0.25">
      <c r="A185" s="314" t="s">
        <v>342</v>
      </c>
      <c r="B185" s="315" t="s">
        <v>343</v>
      </c>
      <c r="C185" s="315" t="s">
        <v>245</v>
      </c>
      <c r="D185" s="316" t="s">
        <v>565</v>
      </c>
      <c r="E185" s="317" t="s">
        <v>344</v>
      </c>
      <c r="F185" s="318" t="s">
        <v>345</v>
      </c>
    </row>
    <row r="186" spans="1:6" ht="30" x14ac:dyDescent="0.25">
      <c r="A186" s="319" t="s">
        <v>380</v>
      </c>
      <c r="B186" s="323" t="s">
        <v>405</v>
      </c>
      <c r="C186" s="320" t="s">
        <v>383</v>
      </c>
      <c r="D186" s="321">
        <v>180</v>
      </c>
      <c r="E186" s="322">
        <v>44672</v>
      </c>
      <c r="F186" s="338" t="s">
        <v>535</v>
      </c>
    </row>
    <row r="187" spans="1:6" ht="25.5" x14ac:dyDescent="0.25">
      <c r="A187" s="319" t="s">
        <v>415</v>
      </c>
      <c r="B187" s="320" t="s">
        <v>416</v>
      </c>
      <c r="C187" s="320" t="s">
        <v>392</v>
      </c>
      <c r="D187" s="321">
        <v>200</v>
      </c>
      <c r="E187" s="322">
        <v>44657</v>
      </c>
      <c r="F187" s="338" t="s">
        <v>417</v>
      </c>
    </row>
    <row r="188" spans="1:6" ht="30" x14ac:dyDescent="0.25">
      <c r="A188" s="319" t="s">
        <v>415</v>
      </c>
      <c r="B188" s="320" t="s">
        <v>416</v>
      </c>
      <c r="C188" s="323" t="s">
        <v>374</v>
      </c>
      <c r="D188" s="321">
        <v>200</v>
      </c>
      <c r="E188" s="322">
        <v>44657</v>
      </c>
      <c r="F188" s="338" t="s">
        <v>418</v>
      </c>
    </row>
    <row r="189" spans="1:6" ht="30" x14ac:dyDescent="0.25">
      <c r="A189" s="319" t="s">
        <v>494</v>
      </c>
      <c r="B189" s="323" t="s">
        <v>561</v>
      </c>
      <c r="C189" s="323" t="s">
        <v>128</v>
      </c>
      <c r="D189" s="321">
        <v>200</v>
      </c>
      <c r="E189" s="322">
        <v>44672</v>
      </c>
      <c r="F189" s="338" t="s">
        <v>514</v>
      </c>
    </row>
    <row r="190" spans="1:6" ht="30" x14ac:dyDescent="0.25">
      <c r="A190" s="319" t="s">
        <v>494</v>
      </c>
      <c r="B190" s="323" t="s">
        <v>561</v>
      </c>
      <c r="C190" s="320" t="s">
        <v>277</v>
      </c>
      <c r="D190" s="321">
        <v>240</v>
      </c>
      <c r="E190" s="322">
        <v>44672</v>
      </c>
      <c r="F190" s="338" t="s">
        <v>514</v>
      </c>
    </row>
    <row r="191" spans="1:6" ht="30" x14ac:dyDescent="0.25">
      <c r="A191" s="319" t="s">
        <v>494</v>
      </c>
      <c r="B191" s="323" t="s">
        <v>561</v>
      </c>
      <c r="C191" s="320" t="s">
        <v>387</v>
      </c>
      <c r="D191" s="321">
        <v>220</v>
      </c>
      <c r="E191" s="322">
        <v>44672</v>
      </c>
      <c r="F191" s="338" t="s">
        <v>537</v>
      </c>
    </row>
    <row r="192" spans="1:6" ht="30" x14ac:dyDescent="0.25">
      <c r="A192" s="319" t="s">
        <v>494</v>
      </c>
      <c r="B192" s="323" t="s">
        <v>561</v>
      </c>
      <c r="C192" s="323" t="s">
        <v>291</v>
      </c>
      <c r="D192" s="321">
        <v>180</v>
      </c>
      <c r="E192" s="322">
        <v>44672</v>
      </c>
      <c r="F192" s="338" t="s">
        <v>538</v>
      </c>
    </row>
    <row r="193" spans="1:6" ht="30" x14ac:dyDescent="0.25">
      <c r="A193" s="319" t="s">
        <v>494</v>
      </c>
      <c r="B193" s="323" t="s">
        <v>561</v>
      </c>
      <c r="C193" s="323" t="s">
        <v>372</v>
      </c>
      <c r="D193" s="321">
        <v>140</v>
      </c>
      <c r="E193" s="322">
        <v>44672</v>
      </c>
      <c r="F193" s="338" t="s">
        <v>514</v>
      </c>
    </row>
    <row r="194" spans="1:6" ht="30" x14ac:dyDescent="0.25">
      <c r="A194" s="319" t="s">
        <v>494</v>
      </c>
      <c r="B194" s="323" t="s">
        <v>561</v>
      </c>
      <c r="C194" s="323" t="s">
        <v>374</v>
      </c>
      <c r="D194" s="321">
        <v>360</v>
      </c>
      <c r="E194" s="322">
        <v>44672</v>
      </c>
      <c r="F194" s="338" t="s">
        <v>539</v>
      </c>
    </row>
    <row r="195" spans="1:6" ht="30" x14ac:dyDescent="0.25">
      <c r="A195" s="319" t="s">
        <v>494</v>
      </c>
      <c r="B195" s="323" t="s">
        <v>561</v>
      </c>
      <c r="C195" s="320" t="s">
        <v>379</v>
      </c>
      <c r="D195" s="321">
        <v>180</v>
      </c>
      <c r="E195" s="322">
        <v>44672</v>
      </c>
      <c r="F195" s="338" t="s">
        <v>540</v>
      </c>
    </row>
    <row r="196" spans="1:6" ht="30" x14ac:dyDescent="0.25">
      <c r="A196" s="319" t="s">
        <v>494</v>
      </c>
      <c r="B196" s="323" t="s">
        <v>561</v>
      </c>
      <c r="C196" s="320" t="s">
        <v>383</v>
      </c>
      <c r="D196" s="321">
        <v>180</v>
      </c>
      <c r="E196" s="322">
        <v>44672</v>
      </c>
      <c r="F196" s="338" t="s">
        <v>541</v>
      </c>
    </row>
    <row r="197" spans="1:6" ht="30" x14ac:dyDescent="0.25">
      <c r="A197" s="319" t="s">
        <v>494</v>
      </c>
      <c r="B197" s="323" t="s">
        <v>561</v>
      </c>
      <c r="C197" s="320" t="s">
        <v>470</v>
      </c>
      <c r="D197" s="321">
        <v>360</v>
      </c>
      <c r="E197" s="322">
        <v>44672</v>
      </c>
      <c r="F197" s="338" t="s">
        <v>538</v>
      </c>
    </row>
    <row r="198" spans="1:6" ht="30.75" thickBot="1" x14ac:dyDescent="0.3">
      <c r="A198" s="319" t="s">
        <v>494</v>
      </c>
      <c r="B198" s="320" t="s">
        <v>495</v>
      </c>
      <c r="C198" s="323" t="s">
        <v>372</v>
      </c>
      <c r="D198" s="321">
        <v>140</v>
      </c>
      <c r="E198" s="322">
        <v>44672</v>
      </c>
      <c r="F198" s="338" t="s">
        <v>542</v>
      </c>
    </row>
    <row r="199" spans="1:6" ht="15.75" thickBot="1" x14ac:dyDescent="0.3">
      <c r="A199" s="440" t="s">
        <v>457</v>
      </c>
      <c r="B199" s="441"/>
      <c r="C199" s="441"/>
      <c r="D199" s="441"/>
      <c r="E199" s="441"/>
      <c r="F199" s="442"/>
    </row>
    <row r="200" spans="1:6" ht="15.75" thickBot="1" x14ac:dyDescent="0.3">
      <c r="A200" s="437" t="s">
        <v>566</v>
      </c>
      <c r="B200" s="438"/>
      <c r="C200" s="438"/>
      <c r="D200" s="438"/>
      <c r="E200" s="438"/>
      <c r="F200" s="439"/>
    </row>
    <row r="201" spans="1:6" x14ac:dyDescent="0.25">
      <c r="A201" s="369"/>
      <c r="B201" s="369"/>
      <c r="C201" s="369"/>
      <c r="D201" s="370"/>
      <c r="E201" s="371"/>
      <c r="F201" s="369"/>
    </row>
    <row r="202" spans="1:6" ht="15.75" thickBot="1" x14ac:dyDescent="0.3">
      <c r="A202" s="333"/>
      <c r="B202" s="333"/>
      <c r="C202" s="333"/>
      <c r="D202" s="334"/>
      <c r="E202" s="335"/>
      <c r="F202" s="336"/>
    </row>
    <row r="203" spans="1:6" ht="15.75" thickBot="1" x14ac:dyDescent="0.3">
      <c r="A203" s="443" t="s">
        <v>578</v>
      </c>
      <c r="B203" s="444"/>
      <c r="C203" s="444"/>
      <c r="D203" s="444"/>
      <c r="E203" s="444"/>
      <c r="F203" s="445"/>
    </row>
    <row r="204" spans="1:6" ht="45" x14ac:dyDescent="0.25">
      <c r="A204" s="314" t="s">
        <v>342</v>
      </c>
      <c r="B204" s="315" t="s">
        <v>343</v>
      </c>
      <c r="C204" s="315" t="s">
        <v>245</v>
      </c>
      <c r="D204" s="316" t="s">
        <v>565</v>
      </c>
      <c r="E204" s="317" t="s">
        <v>344</v>
      </c>
      <c r="F204" s="318" t="s">
        <v>345</v>
      </c>
    </row>
    <row r="205" spans="1:6" ht="25.5" x14ac:dyDescent="0.25">
      <c r="A205" s="319" t="s">
        <v>543</v>
      </c>
      <c r="B205" s="323" t="s">
        <v>544</v>
      </c>
      <c r="C205" s="320" t="s">
        <v>438</v>
      </c>
      <c r="D205" s="321">
        <v>140</v>
      </c>
      <c r="E205" s="322">
        <v>44677</v>
      </c>
      <c r="F205" s="338" t="s">
        <v>550</v>
      </c>
    </row>
    <row r="206" spans="1:6" ht="38.25" x14ac:dyDescent="0.25">
      <c r="A206" s="319" t="s">
        <v>421</v>
      </c>
      <c r="B206" s="323" t="s">
        <v>422</v>
      </c>
      <c r="C206" s="323" t="s">
        <v>291</v>
      </c>
      <c r="D206" s="321">
        <v>180</v>
      </c>
      <c r="E206" s="322">
        <v>44656</v>
      </c>
      <c r="F206" s="338" t="s">
        <v>423</v>
      </c>
    </row>
    <row r="207" spans="1:6" ht="38.25" x14ac:dyDescent="0.25">
      <c r="A207" s="319" t="s">
        <v>421</v>
      </c>
      <c r="B207" s="323" t="s">
        <v>422</v>
      </c>
      <c r="C207" s="323" t="s">
        <v>372</v>
      </c>
      <c r="D207" s="321">
        <v>150</v>
      </c>
      <c r="E207" s="322">
        <v>44656</v>
      </c>
      <c r="F207" s="338" t="s">
        <v>423</v>
      </c>
    </row>
    <row r="208" spans="1:6" x14ac:dyDescent="0.25">
      <c r="A208" s="372"/>
      <c r="B208" s="360"/>
      <c r="C208" s="360"/>
      <c r="D208" s="361"/>
      <c r="E208" s="362"/>
      <c r="F208" s="373"/>
    </row>
    <row r="209" spans="1:6" ht="38.25" x14ac:dyDescent="0.25">
      <c r="A209" s="319" t="s">
        <v>421</v>
      </c>
      <c r="B209" s="323" t="s">
        <v>428</v>
      </c>
      <c r="C209" s="323" t="s">
        <v>291</v>
      </c>
      <c r="D209" s="321">
        <v>180</v>
      </c>
      <c r="E209" s="322">
        <v>44656</v>
      </c>
      <c r="F209" s="338" t="s">
        <v>429</v>
      </c>
    </row>
    <row r="210" spans="1:6" ht="38.25" x14ac:dyDescent="0.25">
      <c r="A210" s="319" t="s">
        <v>421</v>
      </c>
      <c r="B210" s="323" t="s">
        <v>428</v>
      </c>
      <c r="C210" s="323" t="s">
        <v>372</v>
      </c>
      <c r="D210" s="321">
        <v>150</v>
      </c>
      <c r="E210" s="322">
        <v>44677</v>
      </c>
      <c r="F210" s="338" t="s">
        <v>551</v>
      </c>
    </row>
    <row r="211" spans="1:6" ht="38.25" x14ac:dyDescent="0.25">
      <c r="A211" s="319" t="s">
        <v>421</v>
      </c>
      <c r="B211" s="323" t="s">
        <v>434</v>
      </c>
      <c r="C211" s="323" t="s">
        <v>291</v>
      </c>
      <c r="D211" s="321">
        <v>180</v>
      </c>
      <c r="E211" s="322">
        <v>44656</v>
      </c>
      <c r="F211" s="338" t="s">
        <v>435</v>
      </c>
    </row>
    <row r="212" spans="1:6" ht="38.25" x14ac:dyDescent="0.25">
      <c r="A212" s="319" t="s">
        <v>421</v>
      </c>
      <c r="B212" s="323" t="s">
        <v>434</v>
      </c>
      <c r="C212" s="323" t="s">
        <v>372</v>
      </c>
      <c r="D212" s="321">
        <v>140</v>
      </c>
      <c r="E212" s="322">
        <v>44677</v>
      </c>
      <c r="F212" s="338" t="s">
        <v>552</v>
      </c>
    </row>
    <row r="213" spans="1:6" ht="38.25" x14ac:dyDescent="0.25">
      <c r="A213" s="319" t="s">
        <v>430</v>
      </c>
      <c r="B213" s="323" t="s">
        <v>431</v>
      </c>
      <c r="C213" s="323" t="s">
        <v>291</v>
      </c>
      <c r="D213" s="321">
        <v>180</v>
      </c>
      <c r="E213" s="322">
        <v>44656</v>
      </c>
      <c r="F213" s="338" t="s">
        <v>432</v>
      </c>
    </row>
    <row r="214" spans="1:6" ht="30" x14ac:dyDescent="0.25">
      <c r="A214" s="319" t="s">
        <v>430</v>
      </c>
      <c r="B214" s="323" t="s">
        <v>431</v>
      </c>
      <c r="C214" s="323" t="s">
        <v>372</v>
      </c>
      <c r="D214" s="321">
        <v>140</v>
      </c>
      <c r="E214" s="322">
        <v>44656</v>
      </c>
      <c r="F214" s="338" t="s">
        <v>433</v>
      </c>
    </row>
    <row r="215" spans="1:6" ht="45" x14ac:dyDescent="0.25">
      <c r="A215" s="319" t="s">
        <v>545</v>
      </c>
      <c r="B215" s="323" t="s">
        <v>546</v>
      </c>
      <c r="C215" s="320" t="s">
        <v>438</v>
      </c>
      <c r="D215" s="321">
        <v>150</v>
      </c>
      <c r="E215" s="322">
        <v>44677</v>
      </c>
      <c r="F215" s="338" t="s">
        <v>553</v>
      </c>
    </row>
    <row r="216" spans="1:6" ht="38.25" x14ac:dyDescent="0.25">
      <c r="A216" s="319" t="s">
        <v>545</v>
      </c>
      <c r="B216" s="323" t="s">
        <v>547</v>
      </c>
      <c r="C216" s="323" t="s">
        <v>372</v>
      </c>
      <c r="D216" s="321">
        <v>150</v>
      </c>
      <c r="E216" s="322">
        <v>44677</v>
      </c>
      <c r="F216" s="338" t="s">
        <v>554</v>
      </c>
    </row>
    <row r="217" spans="1:6" x14ac:dyDescent="0.25">
      <c r="A217" s="356"/>
      <c r="B217" s="368"/>
      <c r="C217" s="356"/>
      <c r="D217" s="357"/>
      <c r="E217" s="358"/>
      <c r="F217" s="359"/>
    </row>
    <row r="218" spans="1:6" ht="15.75" thickBot="1" x14ac:dyDescent="0.3">
      <c r="A218" s="363"/>
      <c r="B218" s="364"/>
      <c r="C218" s="363"/>
      <c r="D218" s="365"/>
      <c r="E218" s="366"/>
      <c r="F218" s="367"/>
    </row>
    <row r="219" spans="1:6" ht="15.75" thickBot="1" x14ac:dyDescent="0.3">
      <c r="A219" s="443" t="s">
        <v>579</v>
      </c>
      <c r="B219" s="444"/>
      <c r="C219" s="444"/>
      <c r="D219" s="444"/>
      <c r="E219" s="444"/>
      <c r="F219" s="445"/>
    </row>
    <row r="220" spans="1:6" ht="45" x14ac:dyDescent="0.25">
      <c r="A220" s="314" t="s">
        <v>342</v>
      </c>
      <c r="B220" s="315" t="s">
        <v>343</v>
      </c>
      <c r="C220" s="315" t="s">
        <v>245</v>
      </c>
      <c r="D220" s="316" t="s">
        <v>565</v>
      </c>
      <c r="E220" s="317" t="s">
        <v>344</v>
      </c>
      <c r="F220" s="318" t="s">
        <v>345</v>
      </c>
    </row>
    <row r="221" spans="1:6" ht="45" x14ac:dyDescent="0.25">
      <c r="A221" s="372" t="s">
        <v>424</v>
      </c>
      <c r="B221" s="360" t="s">
        <v>546</v>
      </c>
      <c r="C221" s="375" t="s">
        <v>438</v>
      </c>
      <c r="D221" s="361">
        <v>150</v>
      </c>
      <c r="E221" s="362">
        <v>44677</v>
      </c>
      <c r="F221" s="373" t="s">
        <v>555</v>
      </c>
    </row>
    <row r="222" spans="1:6" ht="30" x14ac:dyDescent="0.25">
      <c r="A222" s="372" t="s">
        <v>424</v>
      </c>
      <c r="B222" s="360" t="s">
        <v>548</v>
      </c>
      <c r="C222" s="360" t="s">
        <v>372</v>
      </c>
      <c r="D222" s="361">
        <v>150</v>
      </c>
      <c r="E222" s="362">
        <v>44677</v>
      </c>
      <c r="F222" s="373" t="s">
        <v>556</v>
      </c>
    </row>
    <row r="223" spans="1:6" x14ac:dyDescent="0.25">
      <c r="A223" s="372"/>
      <c r="B223" s="360"/>
      <c r="C223" s="360"/>
      <c r="D223" s="361"/>
      <c r="E223" s="362"/>
      <c r="F223" s="373"/>
    </row>
    <row r="224" spans="1:6" ht="30" x14ac:dyDescent="0.25">
      <c r="A224" s="372" t="s">
        <v>424</v>
      </c>
      <c r="B224" s="360" t="s">
        <v>425</v>
      </c>
      <c r="C224" s="360" t="s">
        <v>291</v>
      </c>
      <c r="D224" s="361">
        <v>180</v>
      </c>
      <c r="E224" s="362">
        <v>44655</v>
      </c>
      <c r="F224" s="373" t="s">
        <v>426</v>
      </c>
    </row>
    <row r="225" spans="1:6" ht="30" x14ac:dyDescent="0.25">
      <c r="A225" s="372" t="s">
        <v>424</v>
      </c>
      <c r="B225" s="360" t="s">
        <v>425</v>
      </c>
      <c r="C225" s="360" t="s">
        <v>372</v>
      </c>
      <c r="D225" s="361">
        <v>140</v>
      </c>
      <c r="E225" s="362">
        <v>44655</v>
      </c>
      <c r="F225" s="373" t="s">
        <v>426</v>
      </c>
    </row>
    <row r="226" spans="1:6" ht="45" x14ac:dyDescent="0.25">
      <c r="A226" s="372" t="s">
        <v>424</v>
      </c>
      <c r="B226" s="360" t="s">
        <v>549</v>
      </c>
      <c r="C226" s="360" t="s">
        <v>291</v>
      </c>
      <c r="D226" s="361">
        <v>180</v>
      </c>
      <c r="E226" s="362">
        <v>44655</v>
      </c>
      <c r="F226" s="373" t="s">
        <v>427</v>
      </c>
    </row>
    <row r="227" spans="1:6" ht="15.75" thickBot="1" x14ac:dyDescent="0.3">
      <c r="A227" s="440" t="s">
        <v>457</v>
      </c>
      <c r="B227" s="441"/>
      <c r="C227" s="441"/>
      <c r="D227" s="441"/>
      <c r="E227" s="441"/>
      <c r="F227" s="442"/>
    </row>
    <row r="228" spans="1:6" ht="15.75" thickBot="1" x14ac:dyDescent="0.3">
      <c r="A228" s="437" t="s">
        <v>566</v>
      </c>
      <c r="B228" s="438"/>
      <c r="C228" s="438"/>
      <c r="D228" s="438"/>
      <c r="E228" s="438"/>
      <c r="F228" s="439"/>
    </row>
    <row r="230" spans="1:6" ht="15.75" thickBot="1" x14ac:dyDescent="0.3"/>
    <row r="231" spans="1:6" ht="15.75" thickBot="1" x14ac:dyDescent="0.3">
      <c r="A231" s="443" t="s">
        <v>580</v>
      </c>
      <c r="B231" s="444"/>
      <c r="C231" s="444"/>
      <c r="D231" s="444"/>
      <c r="E231" s="444"/>
      <c r="F231" s="445"/>
    </row>
    <row r="232" spans="1:6" ht="45" x14ac:dyDescent="0.25">
      <c r="A232" s="314" t="s">
        <v>342</v>
      </c>
      <c r="B232" s="315" t="s">
        <v>343</v>
      </c>
      <c r="C232" s="315" t="s">
        <v>245</v>
      </c>
      <c r="D232" s="316" t="s">
        <v>565</v>
      </c>
      <c r="E232" s="317" t="s">
        <v>344</v>
      </c>
      <c r="F232" s="318" t="s">
        <v>345</v>
      </c>
    </row>
    <row r="233" spans="1:6" ht="38.25" x14ac:dyDescent="0.25">
      <c r="A233" s="319" t="s">
        <v>436</v>
      </c>
      <c r="B233" s="323" t="s">
        <v>437</v>
      </c>
      <c r="C233" s="320" t="s">
        <v>438</v>
      </c>
      <c r="D233" s="321">
        <v>160</v>
      </c>
      <c r="E233" s="322">
        <v>44677</v>
      </c>
      <c r="F233" s="338" t="s">
        <v>559</v>
      </c>
    </row>
    <row r="234" spans="1:6" ht="38.25" x14ac:dyDescent="0.25">
      <c r="A234" s="319" t="s">
        <v>436</v>
      </c>
      <c r="B234" s="323" t="s">
        <v>437</v>
      </c>
      <c r="C234" s="320" t="s">
        <v>438</v>
      </c>
      <c r="D234" s="321">
        <v>130</v>
      </c>
      <c r="E234" s="322">
        <v>44655</v>
      </c>
      <c r="F234" s="338" t="s">
        <v>439</v>
      </c>
    </row>
    <row r="235" spans="1:6" ht="30" x14ac:dyDescent="0.25">
      <c r="A235" s="319" t="s">
        <v>436</v>
      </c>
      <c r="B235" s="323" t="s">
        <v>437</v>
      </c>
      <c r="C235" s="320" t="s">
        <v>438</v>
      </c>
      <c r="D235" s="321">
        <v>130</v>
      </c>
      <c r="E235" s="322">
        <v>44655</v>
      </c>
      <c r="F235" s="338"/>
    </row>
    <row r="236" spans="1:6" x14ac:dyDescent="0.25">
      <c r="A236" s="356"/>
      <c r="B236" s="368"/>
      <c r="C236" s="356"/>
      <c r="D236" s="357"/>
      <c r="E236" s="358"/>
      <c r="F236" s="359"/>
    </row>
    <row r="237" spans="1:6" ht="15.75" thickBot="1" x14ac:dyDescent="0.3">
      <c r="A237" s="363"/>
      <c r="B237" s="364"/>
      <c r="C237" s="363"/>
      <c r="D237" s="365"/>
      <c r="E237" s="366"/>
      <c r="F237" s="367"/>
    </row>
    <row r="238" spans="1:6" ht="15.75" thickBot="1" x14ac:dyDescent="0.3">
      <c r="A238" s="443" t="s">
        <v>592</v>
      </c>
      <c r="B238" s="444"/>
      <c r="C238" s="444"/>
      <c r="D238" s="444"/>
      <c r="E238" s="444"/>
      <c r="F238" s="445"/>
    </row>
    <row r="239" spans="1:6" ht="45" x14ac:dyDescent="0.25">
      <c r="A239" s="314" t="s">
        <v>342</v>
      </c>
      <c r="B239" s="315" t="s">
        <v>343</v>
      </c>
      <c r="C239" s="315" t="s">
        <v>245</v>
      </c>
      <c r="D239" s="316" t="s">
        <v>565</v>
      </c>
      <c r="E239" s="317" t="s">
        <v>344</v>
      </c>
      <c r="F239" s="318" t="s">
        <v>345</v>
      </c>
    </row>
    <row r="240" spans="1:6" ht="38.25" x14ac:dyDescent="0.25">
      <c r="A240" s="372" t="s">
        <v>436</v>
      </c>
      <c r="B240" s="360" t="s">
        <v>437</v>
      </c>
      <c r="C240" s="360" t="s">
        <v>291</v>
      </c>
      <c r="D240" s="361">
        <v>180</v>
      </c>
      <c r="E240" s="362">
        <v>44655</v>
      </c>
      <c r="F240" s="373" t="s">
        <v>439</v>
      </c>
    </row>
    <row r="241" spans="1:6" ht="30" x14ac:dyDescent="0.25">
      <c r="A241" s="372" t="s">
        <v>436</v>
      </c>
      <c r="B241" s="360" t="s">
        <v>437</v>
      </c>
      <c r="C241" s="360" t="s">
        <v>291</v>
      </c>
      <c r="D241" s="361">
        <v>180</v>
      </c>
      <c r="E241" s="362">
        <v>44655</v>
      </c>
      <c r="F241" s="373"/>
    </row>
    <row r="242" spans="1:6" ht="38.25" x14ac:dyDescent="0.25">
      <c r="A242" s="372" t="s">
        <v>436</v>
      </c>
      <c r="B242" s="360" t="s">
        <v>437</v>
      </c>
      <c r="C242" s="360" t="s">
        <v>372</v>
      </c>
      <c r="D242" s="361">
        <v>140</v>
      </c>
      <c r="E242" s="362">
        <v>44677</v>
      </c>
      <c r="F242" s="373" t="s">
        <v>560</v>
      </c>
    </row>
    <row r="243" spans="1:6" ht="38.25" x14ac:dyDescent="0.25">
      <c r="A243" s="372" t="s">
        <v>436</v>
      </c>
      <c r="B243" s="360" t="s">
        <v>437</v>
      </c>
      <c r="C243" s="360" t="s">
        <v>372</v>
      </c>
      <c r="D243" s="361">
        <v>130</v>
      </c>
      <c r="E243" s="362">
        <v>44655</v>
      </c>
      <c r="F243" s="373" t="s">
        <v>439</v>
      </c>
    </row>
    <row r="244" spans="1:6" ht="30" x14ac:dyDescent="0.25">
      <c r="A244" s="372" t="s">
        <v>436</v>
      </c>
      <c r="B244" s="360" t="s">
        <v>437</v>
      </c>
      <c r="C244" s="360" t="s">
        <v>372</v>
      </c>
      <c r="D244" s="361">
        <v>130</v>
      </c>
      <c r="E244" s="362">
        <v>44655</v>
      </c>
      <c r="F244" s="373"/>
    </row>
    <row r="245" spans="1:6" ht="30.75" thickBot="1" x14ac:dyDescent="0.3">
      <c r="A245" s="372" t="s">
        <v>557</v>
      </c>
      <c r="B245" s="360" t="s">
        <v>558</v>
      </c>
      <c r="C245" s="360" t="s">
        <v>372</v>
      </c>
      <c r="D245" s="361">
        <v>120</v>
      </c>
      <c r="E245" s="362">
        <v>44676</v>
      </c>
      <c r="F245" s="373"/>
    </row>
    <row r="246" spans="1:6" ht="15.75" thickBot="1" x14ac:dyDescent="0.3">
      <c r="A246" s="440" t="s">
        <v>457</v>
      </c>
      <c r="B246" s="441"/>
      <c r="C246" s="441"/>
      <c r="D246" s="441"/>
      <c r="E246" s="441"/>
      <c r="F246" s="442"/>
    </row>
    <row r="247" spans="1:6" ht="15.75" thickBot="1" x14ac:dyDescent="0.3">
      <c r="A247" s="437" t="s">
        <v>566</v>
      </c>
      <c r="B247" s="438"/>
      <c r="C247" s="438"/>
      <c r="D247" s="438"/>
      <c r="E247" s="438"/>
      <c r="F247" s="439"/>
    </row>
  </sheetData>
  <mergeCells count="29">
    <mergeCell ref="A219:F219"/>
    <mergeCell ref="A238:F238"/>
    <mergeCell ref="A72:F72"/>
    <mergeCell ref="A108:F108"/>
    <mergeCell ref="A128:F128"/>
    <mergeCell ref="A147:F147"/>
    <mergeCell ref="A165:F165"/>
    <mergeCell ref="A184:F184"/>
    <mergeCell ref="A91:F91"/>
    <mergeCell ref="A203:F203"/>
    <mergeCell ref="A78:F78"/>
    <mergeCell ref="A200:F200"/>
    <mergeCell ref="A228:F228"/>
    <mergeCell ref="A247:F247"/>
    <mergeCell ref="A246:F246"/>
    <mergeCell ref="A231:F231"/>
    <mergeCell ref="A227:F227"/>
    <mergeCell ref="A1:F1"/>
    <mergeCell ref="A15:F15"/>
    <mergeCell ref="A61:F61"/>
    <mergeCell ref="A81:F81"/>
    <mergeCell ref="A24:F24"/>
    <mergeCell ref="A58:F58"/>
    <mergeCell ref="A11:F11"/>
    <mergeCell ref="A77:F77"/>
    <mergeCell ref="A199:F199"/>
    <mergeCell ref="A12:F12"/>
    <mergeCell ref="A57:F57"/>
    <mergeCell ref="A49:F49"/>
  </mergeCells>
  <hyperlinks>
    <hyperlink ref="A12:F12" r:id="rId1" display="Esta información esta disponible en formato interactivo power bi" xr:uid="{D49663BF-EF6B-47A7-A881-9C914C69D863}"/>
    <hyperlink ref="A78:F78" r:id="rId2" display="Esta información esta disponible en formato interactivo power bi" xr:uid="{2FA2C850-54D1-4440-BB46-73F9A700F2B6}"/>
    <hyperlink ref="A200:F200" r:id="rId3" display="Esta información esta disponible en formato interactivo power bi" xr:uid="{571205B2-32AC-4E2D-A17E-79C0DA54C3B7}"/>
    <hyperlink ref="A228:F228" r:id="rId4" display="Esta información esta disponible en formato interactivo power bi" xr:uid="{05922413-7B79-4CDC-8B1F-FC0374368D91}"/>
    <hyperlink ref="A247:F247" r:id="rId5" display="Esta información esta disponible en formato interactivo power bi" xr:uid="{BFC2CA82-F21D-472B-9666-6907CFF31D90}"/>
    <hyperlink ref="A58:F58" r:id="rId6" display="Esta información esta disponible en formato interactivo power bi" xr:uid="{E17A66F9-DA20-49A2-93B2-9984A662655D}"/>
  </hyperlinks>
  <pageMargins left="0.7" right="0.7" top="0.75" bottom="0.75" header="0.3" footer="0.3"/>
  <pageSetup orientation="landscape"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3BC76-F86D-4D49-BFB0-188E56D6F497}">
  <dimension ref="A1:N61"/>
  <sheetViews>
    <sheetView zoomScaleNormal="100" workbookViewId="0">
      <selection sqref="A1:N1"/>
    </sheetView>
  </sheetViews>
  <sheetFormatPr baseColWidth="10" defaultRowHeight="15" x14ac:dyDescent="0.25"/>
  <cols>
    <col min="1" max="13" width="8.42578125" customWidth="1"/>
    <col min="14" max="14" width="10.140625" customWidth="1"/>
  </cols>
  <sheetData>
    <row r="1" spans="1:14" x14ac:dyDescent="0.25">
      <c r="A1" s="446" t="s">
        <v>581</v>
      </c>
      <c r="B1" s="447"/>
      <c r="C1" s="447"/>
      <c r="D1" s="447"/>
      <c r="E1" s="447"/>
      <c r="F1" s="447"/>
      <c r="G1" s="447"/>
      <c r="H1" s="447"/>
      <c r="I1" s="447"/>
      <c r="J1" s="447"/>
      <c r="K1" s="447"/>
      <c r="L1" s="447"/>
      <c r="M1" s="447"/>
      <c r="N1" s="447"/>
    </row>
    <row r="2" spans="1:14" x14ac:dyDescent="0.25">
      <c r="A2" s="446" t="s">
        <v>322</v>
      </c>
      <c r="B2" s="447"/>
      <c r="C2" s="447"/>
      <c r="D2" s="447"/>
      <c r="E2" s="447"/>
      <c r="F2" s="447"/>
      <c r="G2" s="447"/>
      <c r="H2" s="447"/>
      <c r="I2" s="447"/>
      <c r="J2" s="447"/>
      <c r="K2" s="447"/>
      <c r="L2" s="447"/>
      <c r="M2" s="447"/>
      <c r="N2" s="447"/>
    </row>
    <row r="3" spans="1:14" x14ac:dyDescent="0.25">
      <c r="A3" s="446" t="s">
        <v>323</v>
      </c>
      <c r="B3" s="447"/>
      <c r="C3" s="447"/>
      <c r="D3" s="447"/>
      <c r="E3" s="447"/>
      <c r="F3" s="447"/>
      <c r="G3" s="447"/>
      <c r="H3" s="447"/>
      <c r="I3" s="447"/>
      <c r="J3" s="447"/>
      <c r="K3" s="447"/>
      <c r="L3" s="447"/>
      <c r="M3" s="447"/>
      <c r="N3" s="447"/>
    </row>
    <row r="4" spans="1:14" x14ac:dyDescent="0.25">
      <c r="A4" s="306" t="s">
        <v>324</v>
      </c>
      <c r="B4" s="306" t="s">
        <v>325</v>
      </c>
      <c r="C4" s="306" t="s">
        <v>326</v>
      </c>
      <c r="D4" s="306" t="s">
        <v>327</v>
      </c>
      <c r="E4" s="306" t="s">
        <v>328</v>
      </c>
      <c r="F4" s="306" t="s">
        <v>329</v>
      </c>
      <c r="G4" s="306" t="s">
        <v>330</v>
      </c>
      <c r="H4" s="306" t="s">
        <v>331</v>
      </c>
      <c r="I4" s="306" t="s">
        <v>332</v>
      </c>
      <c r="J4" s="306" t="s">
        <v>333</v>
      </c>
      <c r="K4" s="306" t="s">
        <v>334</v>
      </c>
      <c r="L4" s="306" t="s">
        <v>335</v>
      </c>
      <c r="M4" s="306" t="s">
        <v>336</v>
      </c>
      <c r="N4" s="306" t="s">
        <v>337</v>
      </c>
    </row>
    <row r="5" spans="1:14" x14ac:dyDescent="0.25">
      <c r="A5" s="307">
        <v>2018</v>
      </c>
      <c r="B5" s="312">
        <v>14500</v>
      </c>
      <c r="C5" s="312">
        <v>18000</v>
      </c>
      <c r="D5" s="312">
        <v>16000</v>
      </c>
      <c r="E5" s="312">
        <v>16000</v>
      </c>
      <c r="F5" s="312">
        <v>15000</v>
      </c>
      <c r="G5" s="312">
        <v>14000</v>
      </c>
      <c r="H5" s="312">
        <v>14500</v>
      </c>
      <c r="I5" s="312">
        <v>15000</v>
      </c>
      <c r="J5" s="312">
        <v>13500</v>
      </c>
      <c r="K5" s="312">
        <v>12000</v>
      </c>
      <c r="L5" s="312">
        <v>11000</v>
      </c>
      <c r="M5" s="312">
        <v>10000</v>
      </c>
      <c r="N5" s="312">
        <f>AVERAGE(B5:M5)</f>
        <v>14125</v>
      </c>
    </row>
    <row r="6" spans="1:14" x14ac:dyDescent="0.25">
      <c r="A6" s="307">
        <v>2019</v>
      </c>
      <c r="B6" s="312">
        <v>10500</v>
      </c>
      <c r="C6" s="312">
        <v>10000</v>
      </c>
      <c r="D6" s="312">
        <v>12000</v>
      </c>
      <c r="E6" s="312">
        <v>11000</v>
      </c>
      <c r="F6" s="312">
        <v>11000</v>
      </c>
      <c r="G6" s="312">
        <v>10500</v>
      </c>
      <c r="H6" s="312">
        <v>11000</v>
      </c>
      <c r="I6" s="312">
        <v>10000</v>
      </c>
      <c r="J6" s="312">
        <v>10000</v>
      </c>
      <c r="K6" s="312">
        <v>10000</v>
      </c>
      <c r="L6" s="312">
        <v>10000</v>
      </c>
      <c r="M6" s="312">
        <v>10000</v>
      </c>
      <c r="N6" s="312">
        <f t="shared" ref="N6:N9" si="0">AVERAGE(B6:M6)</f>
        <v>10500</v>
      </c>
    </row>
    <row r="7" spans="1:14" x14ac:dyDescent="0.25">
      <c r="A7" s="307">
        <v>2020</v>
      </c>
      <c r="B7" s="312">
        <v>10000</v>
      </c>
      <c r="C7" s="312">
        <v>9500</v>
      </c>
      <c r="D7" s="312">
        <v>9500</v>
      </c>
      <c r="E7" s="312">
        <v>9500</v>
      </c>
      <c r="F7" s="312">
        <v>10000</v>
      </c>
      <c r="G7" s="312">
        <v>10000</v>
      </c>
      <c r="H7" s="312">
        <v>9000</v>
      </c>
      <c r="I7" s="312">
        <v>11500</v>
      </c>
      <c r="J7" s="312">
        <v>11500</v>
      </c>
      <c r="K7" s="312">
        <v>11000</v>
      </c>
      <c r="L7" s="312">
        <v>10000</v>
      </c>
      <c r="M7" s="312">
        <v>10000</v>
      </c>
      <c r="N7" s="312">
        <f t="shared" si="0"/>
        <v>10125</v>
      </c>
    </row>
    <row r="8" spans="1:14" x14ac:dyDescent="0.25">
      <c r="A8" s="308">
        <v>2021</v>
      </c>
      <c r="B8" s="313">
        <v>9500</v>
      </c>
      <c r="C8" s="313">
        <v>9500</v>
      </c>
      <c r="D8" s="313">
        <v>10000</v>
      </c>
      <c r="E8" s="313">
        <v>10000</v>
      </c>
      <c r="F8" s="313">
        <v>10000</v>
      </c>
      <c r="G8" s="313">
        <v>10000</v>
      </c>
      <c r="H8" s="313">
        <v>10000</v>
      </c>
      <c r="I8" s="313">
        <v>12000</v>
      </c>
      <c r="J8" s="313">
        <v>12000</v>
      </c>
      <c r="K8" s="313">
        <v>12000</v>
      </c>
      <c r="L8" s="313">
        <v>12500</v>
      </c>
      <c r="M8" s="313">
        <v>12000</v>
      </c>
      <c r="N8" s="312">
        <f t="shared" si="0"/>
        <v>10791.666666666666</v>
      </c>
    </row>
    <row r="9" spans="1:14" x14ac:dyDescent="0.25">
      <c r="A9" s="308">
        <v>2022</v>
      </c>
      <c r="B9" s="313">
        <v>12000</v>
      </c>
      <c r="C9" s="313">
        <v>12000</v>
      </c>
      <c r="D9" s="313">
        <v>12000</v>
      </c>
      <c r="E9" s="313">
        <v>11000</v>
      </c>
      <c r="F9" s="313">
        <v>12000</v>
      </c>
      <c r="G9" s="313">
        <v>12000</v>
      </c>
      <c r="H9" s="313">
        <v>12500</v>
      </c>
      <c r="I9" s="313">
        <v>12000</v>
      </c>
      <c r="J9" s="313"/>
      <c r="K9" s="313"/>
      <c r="L9" s="313"/>
      <c r="M9" s="313"/>
      <c r="N9" s="312">
        <f t="shared" si="0"/>
        <v>11937.5</v>
      </c>
    </row>
    <row r="10" spans="1:14" x14ac:dyDescent="0.25">
      <c r="A10" s="448" t="s">
        <v>338</v>
      </c>
      <c r="B10" s="449" t="s">
        <v>339</v>
      </c>
      <c r="C10" s="449" t="s">
        <v>339</v>
      </c>
      <c r="D10" s="449" t="s">
        <v>339</v>
      </c>
      <c r="E10" s="449" t="s">
        <v>339</v>
      </c>
      <c r="F10" s="449" t="s">
        <v>339</v>
      </c>
      <c r="G10" s="449" t="s">
        <v>339</v>
      </c>
      <c r="H10" s="449" t="s">
        <v>339</v>
      </c>
      <c r="I10" s="449" t="s">
        <v>339</v>
      </c>
      <c r="J10" s="449" t="s">
        <v>339</v>
      </c>
      <c r="K10" s="449" t="s">
        <v>339</v>
      </c>
      <c r="L10" s="449" t="s">
        <v>339</v>
      </c>
      <c r="M10" s="449" t="s">
        <v>339</v>
      </c>
      <c r="N10" s="450" t="s">
        <v>339</v>
      </c>
    </row>
    <row r="11" spans="1:14" s="242" customFormat="1" x14ac:dyDescent="0.25">
      <c r="A11" s="331"/>
      <c r="B11" s="332"/>
      <c r="C11" s="332"/>
      <c r="D11" s="332"/>
      <c r="E11" s="332"/>
      <c r="F11" s="332"/>
      <c r="G11" s="332"/>
      <c r="H11" s="332"/>
      <c r="I11" s="332"/>
      <c r="J11" s="332"/>
      <c r="K11" s="332"/>
      <c r="L11" s="332"/>
      <c r="M11" s="332"/>
      <c r="N11" s="332"/>
    </row>
    <row r="12" spans="1:14" s="242" customFormat="1" x14ac:dyDescent="0.25">
      <c r="A12" s="331"/>
      <c r="B12" s="332"/>
      <c r="C12" s="332"/>
      <c r="D12" s="332"/>
      <c r="E12" s="332"/>
      <c r="F12" s="332"/>
      <c r="G12" s="332"/>
      <c r="H12" s="332"/>
      <c r="I12" s="332"/>
      <c r="J12" s="332"/>
      <c r="K12" s="332"/>
      <c r="L12" s="332"/>
      <c r="M12" s="332"/>
      <c r="N12" s="332"/>
    </row>
    <row r="13" spans="1:14" s="242" customFormat="1" x14ac:dyDescent="0.25">
      <c r="A13" s="331"/>
      <c r="B13" s="332"/>
      <c r="C13" s="332"/>
      <c r="D13" s="332"/>
      <c r="E13" s="332"/>
      <c r="F13" s="332"/>
      <c r="G13" s="332"/>
      <c r="H13" s="332"/>
      <c r="I13" s="332"/>
      <c r="J13" s="332"/>
      <c r="K13" s="332"/>
      <c r="L13" s="332"/>
      <c r="M13" s="332"/>
      <c r="N13" s="332"/>
    </row>
    <row r="14" spans="1:14" s="242" customFormat="1" x14ac:dyDescent="0.25">
      <c r="A14" s="331"/>
      <c r="B14" s="332"/>
      <c r="C14" s="332"/>
      <c r="D14" s="332"/>
      <c r="E14" s="332"/>
      <c r="F14" s="332"/>
      <c r="G14" s="332"/>
      <c r="H14" s="332"/>
      <c r="I14" s="332"/>
      <c r="J14" s="332"/>
      <c r="K14" s="332"/>
      <c r="L14" s="332"/>
      <c r="M14" s="332"/>
      <c r="N14" s="332"/>
    </row>
    <row r="15" spans="1:14" x14ac:dyDescent="0.25">
      <c r="A15" s="309"/>
      <c r="B15" s="310"/>
      <c r="C15" s="310"/>
      <c r="D15" s="310"/>
      <c r="E15" s="310"/>
      <c r="F15" s="310"/>
      <c r="G15" s="310"/>
      <c r="H15" s="310"/>
      <c r="I15" s="310"/>
      <c r="J15" s="310"/>
      <c r="K15" s="310"/>
      <c r="L15" s="310"/>
      <c r="M15" s="310"/>
      <c r="N15" s="310"/>
    </row>
    <row r="16" spans="1:14" x14ac:dyDescent="0.25">
      <c r="A16" s="309"/>
      <c r="B16" s="310"/>
      <c r="C16" s="310"/>
      <c r="D16" s="310"/>
      <c r="E16" s="310"/>
      <c r="F16" s="310"/>
      <c r="G16" s="310"/>
      <c r="H16" s="310"/>
      <c r="I16" s="310"/>
      <c r="J16" s="310"/>
      <c r="K16" s="310"/>
      <c r="L16" s="310"/>
      <c r="M16" s="310"/>
      <c r="N16" s="310"/>
    </row>
    <row r="17" spans="1:14" x14ac:dyDescent="0.25">
      <c r="A17" s="311"/>
      <c r="B17" s="311"/>
      <c r="C17" s="311"/>
      <c r="D17" s="311"/>
      <c r="E17" s="311"/>
      <c r="F17" s="311"/>
      <c r="G17" s="311"/>
      <c r="H17" s="311"/>
      <c r="I17" s="311"/>
      <c r="J17" s="311"/>
      <c r="K17" s="311"/>
      <c r="L17" s="311"/>
      <c r="M17" s="311"/>
      <c r="N17" s="311"/>
    </row>
    <row r="18" spans="1:14" x14ac:dyDescent="0.25">
      <c r="A18" s="446" t="s">
        <v>582</v>
      </c>
      <c r="B18" s="446"/>
      <c r="C18" s="446"/>
      <c r="D18" s="446"/>
      <c r="E18" s="446"/>
      <c r="F18" s="446"/>
      <c r="G18" s="446"/>
      <c r="H18" s="446"/>
      <c r="I18" s="446"/>
      <c r="J18" s="446"/>
      <c r="K18" s="446"/>
      <c r="L18" s="446"/>
      <c r="M18" s="446"/>
      <c r="N18" s="446"/>
    </row>
    <row r="19" spans="1:14" x14ac:dyDescent="0.25">
      <c r="A19" s="446" t="s">
        <v>322</v>
      </c>
      <c r="B19" s="446"/>
      <c r="C19" s="446"/>
      <c r="D19" s="446"/>
      <c r="E19" s="446"/>
      <c r="F19" s="446"/>
      <c r="G19" s="446"/>
      <c r="H19" s="446"/>
      <c r="I19" s="446"/>
      <c r="J19" s="446"/>
      <c r="K19" s="446"/>
      <c r="L19" s="446"/>
      <c r="M19" s="446"/>
      <c r="N19" s="446"/>
    </row>
    <row r="20" spans="1:14" x14ac:dyDescent="0.25">
      <c r="A20" s="446" t="s">
        <v>323</v>
      </c>
      <c r="B20" s="446"/>
      <c r="C20" s="446"/>
      <c r="D20" s="446"/>
      <c r="E20" s="446"/>
      <c r="F20" s="446"/>
      <c r="G20" s="446"/>
      <c r="H20" s="446"/>
      <c r="I20" s="446"/>
      <c r="J20" s="446"/>
      <c r="K20" s="446"/>
      <c r="L20" s="446"/>
      <c r="M20" s="446"/>
      <c r="N20" s="446"/>
    </row>
    <row r="21" spans="1:14" x14ac:dyDescent="0.25">
      <c r="A21" s="306" t="s">
        <v>324</v>
      </c>
      <c r="B21" s="306" t="s">
        <v>325</v>
      </c>
      <c r="C21" s="306" t="s">
        <v>326</v>
      </c>
      <c r="D21" s="306" t="s">
        <v>327</v>
      </c>
      <c r="E21" s="306" t="s">
        <v>328</v>
      </c>
      <c r="F21" s="306" t="s">
        <v>329</v>
      </c>
      <c r="G21" s="306" t="s">
        <v>330</v>
      </c>
      <c r="H21" s="306" t="s">
        <v>331</v>
      </c>
      <c r="I21" s="306" t="s">
        <v>332</v>
      </c>
      <c r="J21" s="306" t="s">
        <v>333</v>
      </c>
      <c r="K21" s="306" t="s">
        <v>334</v>
      </c>
      <c r="L21" s="306" t="s">
        <v>335</v>
      </c>
      <c r="M21" s="306" t="s">
        <v>336</v>
      </c>
      <c r="N21" s="306" t="s">
        <v>337</v>
      </c>
    </row>
    <row r="22" spans="1:14" x14ac:dyDescent="0.25">
      <c r="A22" s="307">
        <v>2018</v>
      </c>
      <c r="B22" s="312">
        <v>22500</v>
      </c>
      <c r="C22" s="312">
        <v>24000</v>
      </c>
      <c r="D22" s="312">
        <v>22500</v>
      </c>
      <c r="E22" s="312">
        <v>22000</v>
      </c>
      <c r="F22" s="312">
        <v>22500</v>
      </c>
      <c r="G22" s="312">
        <v>22000</v>
      </c>
      <c r="H22" s="312">
        <v>22000</v>
      </c>
      <c r="I22" s="312">
        <v>21000</v>
      </c>
      <c r="J22" s="312">
        <v>19500</v>
      </c>
      <c r="K22" s="312">
        <v>18000</v>
      </c>
      <c r="L22" s="312">
        <v>17000</v>
      </c>
      <c r="M22" s="312">
        <v>15000</v>
      </c>
      <c r="N22" s="312">
        <f>AVERAGE(B22:M22)</f>
        <v>20666.666666666668</v>
      </c>
    </row>
    <row r="23" spans="1:14" x14ac:dyDescent="0.25">
      <c r="A23" s="307">
        <v>2019</v>
      </c>
      <c r="B23" s="312">
        <v>16000</v>
      </c>
      <c r="C23" s="312">
        <v>14000</v>
      </c>
      <c r="D23" s="312">
        <v>15000</v>
      </c>
      <c r="E23" s="312">
        <v>14750</v>
      </c>
      <c r="F23" s="312">
        <v>14750</v>
      </c>
      <c r="G23" s="312">
        <v>14000</v>
      </c>
      <c r="H23" s="312">
        <v>14000</v>
      </c>
      <c r="I23" s="312">
        <v>14000</v>
      </c>
      <c r="J23" s="312">
        <v>14000</v>
      </c>
      <c r="K23" s="312">
        <v>14000</v>
      </c>
      <c r="L23" s="312">
        <v>14000</v>
      </c>
      <c r="M23" s="312">
        <v>14000</v>
      </c>
      <c r="N23" s="312">
        <f t="shared" ref="N23:N26" si="1">AVERAGE(B23:M23)</f>
        <v>14375</v>
      </c>
    </row>
    <row r="24" spans="1:14" x14ac:dyDescent="0.25">
      <c r="A24" s="307">
        <v>2020</v>
      </c>
      <c r="B24" s="312">
        <v>14000</v>
      </c>
      <c r="C24" s="312">
        <v>13500</v>
      </c>
      <c r="D24" s="312">
        <v>13500</v>
      </c>
      <c r="E24" s="312">
        <v>14000</v>
      </c>
      <c r="F24" s="312">
        <v>14000</v>
      </c>
      <c r="G24" s="312">
        <v>14000</v>
      </c>
      <c r="H24" s="312">
        <v>13000</v>
      </c>
      <c r="I24" s="312">
        <v>15000</v>
      </c>
      <c r="J24" s="312">
        <v>15500</v>
      </c>
      <c r="K24" s="312">
        <v>15000</v>
      </c>
      <c r="L24" s="312">
        <v>15000</v>
      </c>
      <c r="M24" s="312">
        <v>16000</v>
      </c>
      <c r="N24" s="312">
        <f t="shared" si="1"/>
        <v>14375</v>
      </c>
    </row>
    <row r="25" spans="1:14" x14ac:dyDescent="0.25">
      <c r="A25" s="308">
        <v>2021</v>
      </c>
      <c r="B25" s="313">
        <v>13000</v>
      </c>
      <c r="C25" s="313">
        <v>14000</v>
      </c>
      <c r="D25" s="313">
        <v>16000</v>
      </c>
      <c r="E25" s="313">
        <v>16000</v>
      </c>
      <c r="F25" s="313">
        <v>16000</v>
      </c>
      <c r="G25" s="313">
        <v>15500</v>
      </c>
      <c r="H25" s="313">
        <v>16000</v>
      </c>
      <c r="I25" s="313">
        <v>17500</v>
      </c>
      <c r="J25" s="313">
        <v>19000</v>
      </c>
      <c r="K25" s="313">
        <v>17500</v>
      </c>
      <c r="L25" s="313">
        <v>17000</v>
      </c>
      <c r="M25" s="313">
        <v>17500</v>
      </c>
      <c r="N25" s="312">
        <f t="shared" si="1"/>
        <v>16250</v>
      </c>
    </row>
    <row r="26" spans="1:14" x14ac:dyDescent="0.25">
      <c r="A26" s="308">
        <v>2022</v>
      </c>
      <c r="B26" s="313">
        <v>19000</v>
      </c>
      <c r="C26" s="313">
        <v>17500</v>
      </c>
      <c r="D26" s="313">
        <v>17000</v>
      </c>
      <c r="E26" s="313">
        <v>17000</v>
      </c>
      <c r="F26" s="313">
        <v>17500</v>
      </c>
      <c r="G26" s="313">
        <v>17500</v>
      </c>
      <c r="H26" s="313">
        <v>18000</v>
      </c>
      <c r="I26" s="313">
        <v>17500</v>
      </c>
      <c r="J26" s="313"/>
      <c r="K26" s="313"/>
      <c r="L26" s="313"/>
      <c r="M26" s="313"/>
      <c r="N26" s="312">
        <f t="shared" si="1"/>
        <v>17625</v>
      </c>
    </row>
    <row r="27" spans="1:14" x14ac:dyDescent="0.25">
      <c r="A27" s="451" t="s">
        <v>340</v>
      </c>
      <c r="B27" s="452" t="s">
        <v>339</v>
      </c>
      <c r="C27" s="452" t="s">
        <v>339</v>
      </c>
      <c r="D27" s="452" t="s">
        <v>339</v>
      </c>
      <c r="E27" s="452" t="s">
        <v>339</v>
      </c>
      <c r="F27" s="452" t="s">
        <v>339</v>
      </c>
      <c r="G27" s="452" t="s">
        <v>339</v>
      </c>
      <c r="H27" s="452" t="s">
        <v>339</v>
      </c>
      <c r="I27" s="452" t="s">
        <v>339</v>
      </c>
      <c r="J27" s="452" t="s">
        <v>339</v>
      </c>
      <c r="K27" s="452" t="s">
        <v>339</v>
      </c>
      <c r="L27" s="452" t="s">
        <v>339</v>
      </c>
      <c r="M27" s="452" t="s">
        <v>339</v>
      </c>
      <c r="N27" s="453" t="s">
        <v>339</v>
      </c>
    </row>
    <row r="28" spans="1:14" s="242" customFormat="1" x14ac:dyDescent="0.25">
      <c r="A28" s="331"/>
      <c r="B28" s="332"/>
      <c r="C28" s="332"/>
      <c r="D28" s="332"/>
      <c r="E28" s="332"/>
      <c r="F28" s="332"/>
      <c r="G28" s="332"/>
      <c r="H28" s="332"/>
      <c r="I28" s="332"/>
      <c r="J28" s="332"/>
      <c r="K28" s="332"/>
      <c r="L28" s="332"/>
      <c r="M28" s="332"/>
      <c r="N28" s="332"/>
    </row>
    <row r="29" spans="1:14" s="242" customFormat="1" x14ac:dyDescent="0.25">
      <c r="A29" s="331"/>
      <c r="B29" s="332"/>
      <c r="C29" s="332"/>
      <c r="D29" s="332"/>
      <c r="E29" s="332"/>
      <c r="F29" s="332"/>
      <c r="G29" s="332"/>
      <c r="H29" s="332"/>
      <c r="I29" s="332"/>
      <c r="J29" s="332"/>
      <c r="K29" s="332"/>
      <c r="L29" s="332"/>
      <c r="M29" s="332"/>
      <c r="N29" s="332"/>
    </row>
    <row r="30" spans="1:14" s="242" customFormat="1" x14ac:dyDescent="0.25">
      <c r="A30" s="331"/>
      <c r="B30" s="332"/>
      <c r="C30" s="332"/>
      <c r="D30" s="332"/>
      <c r="E30" s="332"/>
      <c r="F30" s="332"/>
      <c r="G30" s="332"/>
      <c r="H30" s="332"/>
      <c r="I30" s="332"/>
      <c r="J30" s="332"/>
      <c r="K30" s="332"/>
      <c r="L30" s="332"/>
      <c r="M30" s="332"/>
      <c r="N30" s="332"/>
    </row>
    <row r="31" spans="1:14" s="242" customFormat="1" x14ac:dyDescent="0.25">
      <c r="A31" s="331"/>
      <c r="B31" s="332"/>
      <c r="C31" s="332"/>
      <c r="D31" s="332"/>
      <c r="E31" s="332"/>
      <c r="F31" s="332"/>
      <c r="G31" s="332"/>
      <c r="H31" s="332"/>
      <c r="I31" s="332"/>
      <c r="J31" s="332"/>
      <c r="K31" s="332"/>
      <c r="L31" s="332"/>
      <c r="M31" s="332"/>
      <c r="N31" s="332"/>
    </row>
    <row r="32" spans="1:14" x14ac:dyDescent="0.25">
      <c r="A32" s="309"/>
      <c r="B32" s="310"/>
      <c r="C32" s="310"/>
      <c r="D32" s="310"/>
      <c r="E32" s="310"/>
      <c r="F32" s="310"/>
      <c r="G32" s="310"/>
      <c r="H32" s="310"/>
      <c r="I32" s="310"/>
      <c r="J32" s="310"/>
      <c r="K32" s="310"/>
      <c r="L32" s="310"/>
      <c r="M32" s="310"/>
      <c r="N32" s="310"/>
    </row>
    <row r="33" spans="1:14" x14ac:dyDescent="0.25">
      <c r="A33" s="309"/>
      <c r="B33" s="310"/>
      <c r="C33" s="310"/>
      <c r="D33" s="310"/>
      <c r="E33" s="310"/>
      <c r="F33" s="310"/>
      <c r="G33" s="310"/>
      <c r="H33" s="310"/>
      <c r="I33" s="310"/>
      <c r="J33" s="310"/>
      <c r="K33" s="310"/>
      <c r="L33" s="310"/>
      <c r="M33" s="310"/>
      <c r="N33" s="310"/>
    </row>
    <row r="34" spans="1:14" x14ac:dyDescent="0.25">
      <c r="A34" s="454"/>
      <c r="B34" s="454"/>
      <c r="C34" s="454"/>
      <c r="D34" s="454"/>
      <c r="E34" s="454"/>
      <c r="F34" s="454"/>
      <c r="G34" s="454"/>
      <c r="H34" s="454"/>
      <c r="I34" s="454"/>
      <c r="J34" s="454"/>
      <c r="K34" s="454"/>
      <c r="L34" s="454"/>
      <c r="M34" s="454"/>
      <c r="N34" s="454"/>
    </row>
    <row r="35" spans="1:14" x14ac:dyDescent="0.25">
      <c r="A35" s="446" t="s">
        <v>583</v>
      </c>
      <c r="B35" s="446"/>
      <c r="C35" s="446"/>
      <c r="D35" s="446"/>
      <c r="E35" s="446"/>
      <c r="F35" s="446"/>
      <c r="G35" s="446"/>
      <c r="H35" s="446"/>
      <c r="I35" s="446"/>
      <c r="J35" s="446"/>
      <c r="K35" s="446"/>
      <c r="L35" s="446"/>
      <c r="M35" s="446"/>
      <c r="N35" s="446"/>
    </row>
    <row r="36" spans="1:14" x14ac:dyDescent="0.25">
      <c r="A36" s="446" t="s">
        <v>322</v>
      </c>
      <c r="B36" s="446"/>
      <c r="C36" s="446"/>
      <c r="D36" s="446"/>
      <c r="E36" s="446"/>
      <c r="F36" s="446"/>
      <c r="G36" s="446"/>
      <c r="H36" s="446"/>
      <c r="I36" s="446"/>
      <c r="J36" s="446"/>
      <c r="K36" s="446"/>
      <c r="L36" s="446"/>
      <c r="M36" s="446"/>
      <c r="N36" s="446"/>
    </row>
    <row r="37" spans="1:14" x14ac:dyDescent="0.25">
      <c r="A37" s="446" t="s">
        <v>323</v>
      </c>
      <c r="B37" s="446"/>
      <c r="C37" s="446"/>
      <c r="D37" s="446"/>
      <c r="E37" s="446"/>
      <c r="F37" s="446"/>
      <c r="G37" s="446"/>
      <c r="H37" s="446"/>
      <c r="I37" s="446"/>
      <c r="J37" s="446"/>
      <c r="K37" s="446"/>
      <c r="L37" s="446"/>
      <c r="M37" s="446"/>
      <c r="N37" s="446"/>
    </row>
    <row r="38" spans="1:14" x14ac:dyDescent="0.25">
      <c r="A38" s="306" t="s">
        <v>324</v>
      </c>
      <c r="B38" s="306" t="s">
        <v>325</v>
      </c>
      <c r="C38" s="306" t="s">
        <v>326</v>
      </c>
      <c r="D38" s="306" t="s">
        <v>327</v>
      </c>
      <c r="E38" s="306" t="s">
        <v>328</v>
      </c>
      <c r="F38" s="306" t="s">
        <v>329</v>
      </c>
      <c r="G38" s="306" t="s">
        <v>330</v>
      </c>
      <c r="H38" s="306" t="s">
        <v>331</v>
      </c>
      <c r="I38" s="306" t="s">
        <v>332</v>
      </c>
      <c r="J38" s="306" t="s">
        <v>333</v>
      </c>
      <c r="K38" s="306" t="s">
        <v>334</v>
      </c>
      <c r="L38" s="306" t="s">
        <v>335</v>
      </c>
      <c r="M38" s="306" t="s">
        <v>336</v>
      </c>
      <c r="N38" s="306" t="s">
        <v>337</v>
      </c>
    </row>
    <row r="39" spans="1:14" x14ac:dyDescent="0.25">
      <c r="A39" s="307">
        <v>2018</v>
      </c>
      <c r="B39" s="312">
        <v>14000</v>
      </c>
      <c r="C39" s="312">
        <v>15000</v>
      </c>
      <c r="D39" s="312">
        <v>13000</v>
      </c>
      <c r="E39" s="312">
        <v>13000</v>
      </c>
      <c r="F39" s="312">
        <v>13000</v>
      </c>
      <c r="G39" s="312">
        <v>13000</v>
      </c>
      <c r="H39" s="312">
        <v>13000</v>
      </c>
      <c r="I39" s="312">
        <v>11000</v>
      </c>
      <c r="J39" s="312">
        <v>9000</v>
      </c>
      <c r="K39" s="312">
        <v>8500</v>
      </c>
      <c r="L39" s="312">
        <v>8500</v>
      </c>
      <c r="M39" s="312">
        <v>7500</v>
      </c>
      <c r="N39" s="312">
        <f>AVERAGE(B39:M39)</f>
        <v>11541.666666666666</v>
      </c>
    </row>
    <row r="40" spans="1:14" x14ac:dyDescent="0.25">
      <c r="A40" s="307">
        <v>2019</v>
      </c>
      <c r="B40" s="312">
        <v>8000</v>
      </c>
      <c r="C40" s="312">
        <v>7500</v>
      </c>
      <c r="D40" s="312">
        <v>9000</v>
      </c>
      <c r="E40" s="312">
        <v>8000</v>
      </c>
      <c r="F40" s="312">
        <v>8000</v>
      </c>
      <c r="G40" s="312">
        <v>8500</v>
      </c>
      <c r="H40" s="312">
        <v>8500</v>
      </c>
      <c r="I40" s="312">
        <v>8500</v>
      </c>
      <c r="J40" s="312">
        <v>8000</v>
      </c>
      <c r="K40" s="312">
        <v>8500</v>
      </c>
      <c r="L40" s="312">
        <v>8000</v>
      </c>
      <c r="M40" s="312">
        <v>8000</v>
      </c>
      <c r="N40" s="312">
        <f t="shared" ref="N40:N43" si="2">AVERAGE(B40:M40)</f>
        <v>8208.3333333333339</v>
      </c>
    </row>
    <row r="41" spans="1:14" x14ac:dyDescent="0.25">
      <c r="A41" s="307">
        <v>2020</v>
      </c>
      <c r="B41" s="312">
        <v>7500</v>
      </c>
      <c r="C41" s="312">
        <v>8000</v>
      </c>
      <c r="D41" s="312">
        <v>8000</v>
      </c>
      <c r="E41" s="312">
        <v>8500</v>
      </c>
      <c r="F41" s="312">
        <v>8000</v>
      </c>
      <c r="G41" s="312">
        <v>8000</v>
      </c>
      <c r="H41" s="312">
        <v>8500</v>
      </c>
      <c r="I41" s="312">
        <v>8500</v>
      </c>
      <c r="J41" s="312">
        <v>9000</v>
      </c>
      <c r="K41" s="312">
        <v>9500</v>
      </c>
      <c r="L41" s="312">
        <v>9000</v>
      </c>
      <c r="M41" s="312">
        <v>9000</v>
      </c>
      <c r="N41" s="312">
        <f t="shared" si="2"/>
        <v>8458.3333333333339</v>
      </c>
    </row>
    <row r="42" spans="1:14" x14ac:dyDescent="0.25">
      <c r="A42" s="308">
        <v>2021</v>
      </c>
      <c r="B42" s="313">
        <v>9000</v>
      </c>
      <c r="C42" s="313">
        <v>9000</v>
      </c>
      <c r="D42" s="313">
        <v>8000</v>
      </c>
      <c r="E42" s="313">
        <v>8000</v>
      </c>
      <c r="F42" s="313">
        <v>9000</v>
      </c>
      <c r="G42" s="313">
        <v>9500</v>
      </c>
      <c r="H42" s="313">
        <v>10000</v>
      </c>
      <c r="I42" s="313">
        <v>10500</v>
      </c>
      <c r="J42" s="313">
        <v>12000</v>
      </c>
      <c r="K42" s="313">
        <v>11000</v>
      </c>
      <c r="L42" s="313">
        <v>18000</v>
      </c>
      <c r="M42" s="313">
        <v>16500</v>
      </c>
      <c r="N42" s="312">
        <f t="shared" si="2"/>
        <v>10875</v>
      </c>
    </row>
    <row r="43" spans="1:14" x14ac:dyDescent="0.25">
      <c r="A43" s="308">
        <v>2022</v>
      </c>
      <c r="B43" s="313">
        <v>16000</v>
      </c>
      <c r="C43" s="313">
        <v>14000</v>
      </c>
      <c r="D43" s="313">
        <v>11000</v>
      </c>
      <c r="E43" s="313">
        <v>10000</v>
      </c>
      <c r="F43" s="313">
        <v>11000</v>
      </c>
      <c r="G43" s="313">
        <v>11000</v>
      </c>
      <c r="H43" s="313">
        <v>11000</v>
      </c>
      <c r="I43" s="313">
        <v>10500</v>
      </c>
      <c r="J43" s="313"/>
      <c r="K43" s="313"/>
      <c r="L43" s="313"/>
      <c r="M43" s="313"/>
      <c r="N43" s="312">
        <f t="shared" si="2"/>
        <v>11812.5</v>
      </c>
    </row>
    <row r="44" spans="1:14" x14ac:dyDescent="0.25">
      <c r="A44" s="451" t="s">
        <v>340</v>
      </c>
      <c r="B44" s="452" t="s">
        <v>339</v>
      </c>
      <c r="C44" s="452" t="s">
        <v>339</v>
      </c>
      <c r="D44" s="452" t="s">
        <v>339</v>
      </c>
      <c r="E44" s="452" t="s">
        <v>339</v>
      </c>
      <c r="F44" s="452" t="s">
        <v>339</v>
      </c>
      <c r="G44" s="452" t="s">
        <v>339</v>
      </c>
      <c r="H44" s="452" t="s">
        <v>339</v>
      </c>
      <c r="I44" s="452" t="s">
        <v>339</v>
      </c>
      <c r="J44" s="452" t="s">
        <v>339</v>
      </c>
      <c r="K44" s="452" t="s">
        <v>339</v>
      </c>
      <c r="L44" s="452" t="s">
        <v>339</v>
      </c>
      <c r="M44" s="452" t="s">
        <v>339</v>
      </c>
      <c r="N44" s="453" t="s">
        <v>339</v>
      </c>
    </row>
    <row r="45" spans="1:14" s="242" customFormat="1" x14ac:dyDescent="0.25">
      <c r="A45" s="331"/>
      <c r="B45" s="332"/>
      <c r="C45" s="332"/>
      <c r="D45" s="332"/>
      <c r="E45" s="332"/>
      <c r="F45" s="332"/>
      <c r="G45" s="332"/>
      <c r="H45" s="332"/>
      <c r="I45" s="332"/>
      <c r="J45" s="332"/>
      <c r="K45" s="332"/>
      <c r="L45" s="332"/>
      <c r="M45" s="332"/>
      <c r="N45" s="332"/>
    </row>
    <row r="46" spans="1:14" s="242" customFormat="1" x14ac:dyDescent="0.25">
      <c r="A46" s="331"/>
      <c r="B46" s="332"/>
      <c r="C46" s="332"/>
      <c r="D46" s="332"/>
      <c r="E46" s="332"/>
      <c r="F46" s="332"/>
      <c r="G46" s="332"/>
      <c r="H46" s="332"/>
      <c r="I46" s="332"/>
      <c r="J46" s="332"/>
      <c r="K46" s="332"/>
      <c r="L46" s="332"/>
      <c r="M46" s="332"/>
      <c r="N46" s="332"/>
    </row>
    <row r="47" spans="1:14" s="242" customFormat="1" x14ac:dyDescent="0.25">
      <c r="A47" s="331"/>
      <c r="B47" s="332"/>
      <c r="C47" s="332"/>
      <c r="D47" s="332"/>
      <c r="E47" s="332"/>
      <c r="F47" s="332"/>
      <c r="G47" s="332"/>
      <c r="H47" s="332"/>
      <c r="I47" s="332"/>
      <c r="J47" s="332"/>
      <c r="K47" s="332"/>
      <c r="L47" s="332"/>
      <c r="M47" s="332"/>
      <c r="N47" s="332"/>
    </row>
    <row r="48" spans="1:14" s="242" customFormat="1" x14ac:dyDescent="0.25">
      <c r="A48" s="331"/>
      <c r="B48" s="332"/>
      <c r="C48" s="332"/>
      <c r="D48" s="332"/>
      <c r="E48" s="332"/>
      <c r="F48" s="332"/>
      <c r="G48" s="332"/>
      <c r="H48" s="332"/>
      <c r="I48" s="332"/>
      <c r="J48" s="332"/>
      <c r="K48" s="332"/>
      <c r="L48" s="332"/>
      <c r="M48" s="332"/>
      <c r="N48" s="332"/>
    </row>
    <row r="49" spans="1:14" x14ac:dyDescent="0.25">
      <c r="A49" s="309"/>
      <c r="B49" s="310"/>
      <c r="C49" s="310"/>
      <c r="D49" s="310"/>
      <c r="E49" s="310"/>
      <c r="F49" s="310"/>
      <c r="G49" s="310"/>
      <c r="H49" s="310"/>
      <c r="I49" s="310"/>
      <c r="J49" s="310"/>
      <c r="K49" s="310"/>
      <c r="L49" s="310"/>
      <c r="M49" s="310"/>
      <c r="N49" s="310"/>
    </row>
    <row r="50" spans="1:14" x14ac:dyDescent="0.25">
      <c r="A50" s="309"/>
      <c r="B50" s="310"/>
      <c r="C50" s="310"/>
      <c r="D50" s="310"/>
      <c r="E50" s="310"/>
      <c r="F50" s="310"/>
      <c r="G50" s="310"/>
      <c r="H50" s="310"/>
      <c r="I50" s="310"/>
      <c r="J50" s="310"/>
      <c r="K50" s="310"/>
      <c r="L50" s="310"/>
      <c r="M50" s="310"/>
      <c r="N50" s="310"/>
    </row>
    <row r="51" spans="1:14" x14ac:dyDescent="0.25">
      <c r="A51" s="311"/>
      <c r="B51" s="311"/>
      <c r="C51" s="311"/>
      <c r="D51" s="311"/>
      <c r="E51" s="311"/>
      <c r="F51" s="311"/>
      <c r="G51" s="311"/>
      <c r="H51" s="311"/>
      <c r="I51" s="311"/>
      <c r="J51" s="311"/>
      <c r="K51" s="311"/>
      <c r="L51" s="311"/>
      <c r="M51" s="311"/>
      <c r="N51" s="311"/>
    </row>
    <row r="52" spans="1:14" x14ac:dyDescent="0.25">
      <c r="A52" s="446" t="s">
        <v>584</v>
      </c>
      <c r="B52" s="446"/>
      <c r="C52" s="446"/>
      <c r="D52" s="446"/>
      <c r="E52" s="446"/>
      <c r="F52" s="446"/>
      <c r="G52" s="446"/>
      <c r="H52" s="446"/>
      <c r="I52" s="446"/>
      <c r="J52" s="446"/>
      <c r="K52" s="446"/>
      <c r="L52" s="446"/>
      <c r="M52" s="446"/>
      <c r="N52" s="446"/>
    </row>
    <row r="53" spans="1:14" x14ac:dyDescent="0.25">
      <c r="A53" s="446" t="s">
        <v>322</v>
      </c>
      <c r="B53" s="446"/>
      <c r="C53" s="446"/>
      <c r="D53" s="446"/>
      <c r="E53" s="446"/>
      <c r="F53" s="446"/>
      <c r="G53" s="446"/>
      <c r="H53" s="446"/>
      <c r="I53" s="446"/>
      <c r="J53" s="446"/>
      <c r="K53" s="446"/>
      <c r="L53" s="446"/>
      <c r="M53" s="446"/>
      <c r="N53" s="446"/>
    </row>
    <row r="54" spans="1:14" x14ac:dyDescent="0.25">
      <c r="A54" s="446" t="s">
        <v>323</v>
      </c>
      <c r="B54" s="446"/>
      <c r="C54" s="446"/>
      <c r="D54" s="446"/>
      <c r="E54" s="446"/>
      <c r="F54" s="446"/>
      <c r="G54" s="446"/>
      <c r="H54" s="446"/>
      <c r="I54" s="446"/>
      <c r="J54" s="446"/>
      <c r="K54" s="446"/>
      <c r="L54" s="446"/>
      <c r="M54" s="446"/>
      <c r="N54" s="446"/>
    </row>
    <row r="55" spans="1:14" x14ac:dyDescent="0.25">
      <c r="A55" s="306" t="s">
        <v>324</v>
      </c>
      <c r="B55" s="306" t="s">
        <v>325</v>
      </c>
      <c r="C55" s="306" t="s">
        <v>326</v>
      </c>
      <c r="D55" s="306" t="s">
        <v>327</v>
      </c>
      <c r="E55" s="306" t="s">
        <v>328</v>
      </c>
      <c r="F55" s="306" t="s">
        <v>329</v>
      </c>
      <c r="G55" s="306" t="s">
        <v>330</v>
      </c>
      <c r="H55" s="306" t="s">
        <v>331</v>
      </c>
      <c r="I55" s="306" t="s">
        <v>332</v>
      </c>
      <c r="J55" s="306" t="s">
        <v>333</v>
      </c>
      <c r="K55" s="306" t="s">
        <v>334</v>
      </c>
      <c r="L55" s="306" t="s">
        <v>335</v>
      </c>
      <c r="M55" s="306" t="s">
        <v>336</v>
      </c>
      <c r="N55" s="306" t="s">
        <v>337</v>
      </c>
    </row>
    <row r="56" spans="1:14" x14ac:dyDescent="0.25">
      <c r="A56" s="307">
        <v>2018</v>
      </c>
      <c r="B56" s="312">
        <v>18000</v>
      </c>
      <c r="C56" s="312">
        <v>18500</v>
      </c>
      <c r="D56" s="312">
        <v>20000</v>
      </c>
      <c r="E56" s="312">
        <v>20000</v>
      </c>
      <c r="F56" s="312">
        <v>19000</v>
      </c>
      <c r="G56" s="312">
        <v>18000</v>
      </c>
      <c r="H56" s="312">
        <v>17500</v>
      </c>
      <c r="I56" s="312">
        <v>17500</v>
      </c>
      <c r="J56" s="312">
        <v>13000</v>
      </c>
      <c r="K56" s="312">
        <v>14000</v>
      </c>
      <c r="L56" s="312">
        <v>14000</v>
      </c>
      <c r="M56" s="312">
        <v>12500</v>
      </c>
      <c r="N56" s="312">
        <f>AVERAGE(B56:M56)</f>
        <v>16833.333333333332</v>
      </c>
    </row>
    <row r="57" spans="1:14" x14ac:dyDescent="0.25">
      <c r="A57" s="307">
        <v>2019</v>
      </c>
      <c r="B57" s="312">
        <v>13000</v>
      </c>
      <c r="C57" s="312">
        <v>12000</v>
      </c>
      <c r="D57" s="312">
        <v>12500</v>
      </c>
      <c r="E57" s="312">
        <v>12000</v>
      </c>
      <c r="F57" s="312">
        <v>12000</v>
      </c>
      <c r="G57" s="312">
        <v>12000</v>
      </c>
      <c r="H57" s="312">
        <v>11500</v>
      </c>
      <c r="I57" s="312">
        <v>11500</v>
      </c>
      <c r="J57" s="312">
        <v>9000</v>
      </c>
      <c r="K57" s="312">
        <v>12000</v>
      </c>
      <c r="L57" s="312">
        <v>11000</v>
      </c>
      <c r="M57" s="312">
        <v>11000</v>
      </c>
      <c r="N57" s="312">
        <f t="shared" ref="N57:N60" si="3">AVERAGE(B57:M57)</f>
        <v>11625</v>
      </c>
    </row>
    <row r="58" spans="1:14" x14ac:dyDescent="0.25">
      <c r="A58" s="307">
        <v>2020</v>
      </c>
      <c r="B58" s="312">
        <v>10000</v>
      </c>
      <c r="C58" s="312">
        <v>12000</v>
      </c>
      <c r="D58" s="312">
        <v>12000</v>
      </c>
      <c r="E58" s="312">
        <v>12500</v>
      </c>
      <c r="F58" s="312">
        <v>12500</v>
      </c>
      <c r="G58" s="312">
        <v>12000</v>
      </c>
      <c r="H58" s="312">
        <v>12000</v>
      </c>
      <c r="I58" s="312">
        <v>16000</v>
      </c>
      <c r="J58" s="312">
        <v>16000</v>
      </c>
      <c r="K58" s="312">
        <v>14000</v>
      </c>
      <c r="L58" s="312">
        <v>15000</v>
      </c>
      <c r="M58" s="312">
        <v>19000</v>
      </c>
      <c r="N58" s="312">
        <f t="shared" si="3"/>
        <v>13583.333333333334</v>
      </c>
    </row>
    <row r="59" spans="1:14" x14ac:dyDescent="0.25">
      <c r="A59" s="308">
        <v>2021</v>
      </c>
      <c r="B59" s="313">
        <v>14500</v>
      </c>
      <c r="C59" s="313">
        <v>16000</v>
      </c>
      <c r="D59" s="313">
        <v>16000</v>
      </c>
      <c r="E59" s="313">
        <v>16000</v>
      </c>
      <c r="F59" s="313">
        <v>19000</v>
      </c>
      <c r="G59" s="313">
        <v>19000</v>
      </c>
      <c r="H59" s="313">
        <v>19000</v>
      </c>
      <c r="I59" s="313">
        <v>19000</v>
      </c>
      <c r="J59" s="313">
        <v>18000</v>
      </c>
      <c r="K59" s="313">
        <v>20000</v>
      </c>
      <c r="L59" s="313">
        <v>24000</v>
      </c>
      <c r="M59" s="313">
        <v>24000</v>
      </c>
      <c r="N59" s="312">
        <f t="shared" si="3"/>
        <v>18708.333333333332</v>
      </c>
    </row>
    <row r="60" spans="1:14" x14ac:dyDescent="0.25">
      <c r="A60" s="308">
        <v>2022</v>
      </c>
      <c r="B60" s="313">
        <v>24000</v>
      </c>
      <c r="C60" s="313">
        <v>24000</v>
      </c>
      <c r="D60" s="313">
        <v>23000</v>
      </c>
      <c r="E60" s="313">
        <v>23000</v>
      </c>
      <c r="F60" s="313">
        <v>22000</v>
      </c>
      <c r="G60" s="313">
        <v>22000</v>
      </c>
      <c r="H60" s="313">
        <v>25000</v>
      </c>
      <c r="I60" s="313">
        <v>24500</v>
      </c>
      <c r="J60" s="313"/>
      <c r="K60" s="313"/>
      <c r="L60" s="313"/>
      <c r="M60" s="313"/>
      <c r="N60" s="312">
        <f t="shared" si="3"/>
        <v>23437.5</v>
      </c>
    </row>
    <row r="61" spans="1:14" x14ac:dyDescent="0.25">
      <c r="A61" s="455" t="s">
        <v>341</v>
      </c>
      <c r="B61" s="456" t="s">
        <v>339</v>
      </c>
      <c r="C61" s="456" t="s">
        <v>339</v>
      </c>
      <c r="D61" s="456" t="s">
        <v>339</v>
      </c>
      <c r="E61" s="456" t="s">
        <v>339</v>
      </c>
      <c r="F61" s="456" t="s">
        <v>339</v>
      </c>
      <c r="G61" s="456" t="s">
        <v>339</v>
      </c>
      <c r="H61" s="456" t="s">
        <v>339</v>
      </c>
      <c r="I61" s="456" t="s">
        <v>339</v>
      </c>
      <c r="J61" s="456" t="s">
        <v>339</v>
      </c>
      <c r="K61" s="456" t="s">
        <v>339</v>
      </c>
      <c r="L61" s="456" t="s">
        <v>339</v>
      </c>
      <c r="M61" s="456" t="s">
        <v>339</v>
      </c>
      <c r="N61" s="456" t="s">
        <v>339</v>
      </c>
    </row>
  </sheetData>
  <mergeCells count="17">
    <mergeCell ref="A44:N44"/>
    <mergeCell ref="A52:N52"/>
    <mergeCell ref="A53:N53"/>
    <mergeCell ref="A54:N54"/>
    <mergeCell ref="A61:N61"/>
    <mergeCell ref="A37:N37"/>
    <mergeCell ref="A1:N1"/>
    <mergeCell ref="A2:N2"/>
    <mergeCell ref="A3:N3"/>
    <mergeCell ref="A10:N10"/>
    <mergeCell ref="A18:N18"/>
    <mergeCell ref="A19:N19"/>
    <mergeCell ref="A20:N20"/>
    <mergeCell ref="A27:N27"/>
    <mergeCell ref="A34:N34"/>
    <mergeCell ref="A35:N35"/>
    <mergeCell ref="A36:N36"/>
  </mergeCells>
  <pageMargins left="0.7" right="0.7" top="0.75" bottom="0.75" header="0.3" footer="0.3"/>
  <pageSetup orientation="landscape" r:id="rId1"/>
  <ignoredErrors>
    <ignoredError sqref="N22 N5:N9 N23:N26 N39:N43 N56:N60"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36"/>
  <sheetViews>
    <sheetView zoomScale="80" zoomScaleNormal="80" workbookViewId="0">
      <selection sqref="A1:M1"/>
    </sheetView>
  </sheetViews>
  <sheetFormatPr baseColWidth="10" defaultColWidth="11.42578125" defaultRowHeight="15" x14ac:dyDescent="0.25"/>
  <cols>
    <col min="1" max="1" width="12.28515625" customWidth="1"/>
    <col min="2" max="3" width="9.85546875" bestFit="1" customWidth="1"/>
    <col min="4" max="4" width="9.28515625" bestFit="1" customWidth="1"/>
    <col min="5" max="5" width="8.140625" bestFit="1" customWidth="1"/>
    <col min="6" max="6" width="10" bestFit="1" customWidth="1"/>
    <col min="7" max="7" width="12" bestFit="1" customWidth="1"/>
    <col min="8" max="8" width="7.42578125" bestFit="1" customWidth="1"/>
    <col min="9" max="9" width="7.140625" bestFit="1" customWidth="1"/>
    <col min="10" max="10" width="9.28515625" bestFit="1" customWidth="1"/>
    <col min="11" max="12" width="9.85546875" bestFit="1" customWidth="1"/>
    <col min="13" max="13" width="9.28515625" bestFit="1" customWidth="1"/>
  </cols>
  <sheetData>
    <row r="1" spans="1:14" x14ac:dyDescent="0.25">
      <c r="A1" s="462" t="s">
        <v>599</v>
      </c>
      <c r="B1" s="462"/>
      <c r="C1" s="462"/>
      <c r="D1" s="462"/>
      <c r="E1" s="462"/>
      <c r="F1" s="462"/>
      <c r="G1" s="462"/>
      <c r="H1" s="462"/>
      <c r="I1" s="462"/>
      <c r="J1" s="462"/>
      <c r="K1" s="462"/>
      <c r="L1" s="462"/>
      <c r="M1" s="462"/>
    </row>
    <row r="2" spans="1:14" x14ac:dyDescent="0.25">
      <c r="A2" s="460" t="s">
        <v>239</v>
      </c>
      <c r="B2" s="460" t="s">
        <v>240</v>
      </c>
      <c r="C2" s="460"/>
      <c r="D2" s="461" t="s">
        <v>610</v>
      </c>
      <c r="E2" s="460" t="s">
        <v>241</v>
      </c>
      <c r="F2" s="460"/>
      <c r="G2" s="461" t="s">
        <v>610</v>
      </c>
      <c r="H2" s="460" t="s">
        <v>242</v>
      </c>
      <c r="I2" s="460"/>
      <c r="J2" s="461" t="s">
        <v>610</v>
      </c>
      <c r="K2" s="460" t="s">
        <v>207</v>
      </c>
      <c r="L2" s="460"/>
      <c r="M2" s="461" t="s">
        <v>610</v>
      </c>
    </row>
    <row r="3" spans="1:14" x14ac:dyDescent="0.25">
      <c r="A3" s="460"/>
      <c r="B3" s="379">
        <v>2021</v>
      </c>
      <c r="C3" s="146">
        <v>2022</v>
      </c>
      <c r="D3" s="461"/>
      <c r="E3" s="379">
        <v>2021</v>
      </c>
      <c r="F3" s="146">
        <v>2022</v>
      </c>
      <c r="G3" s="461"/>
      <c r="H3" s="379">
        <v>2021</v>
      </c>
      <c r="I3" s="146">
        <v>2022</v>
      </c>
      <c r="J3" s="461"/>
      <c r="K3" s="146">
        <v>2020</v>
      </c>
      <c r="L3" s="146">
        <v>2021</v>
      </c>
      <c r="M3" s="461"/>
    </row>
    <row r="4" spans="1:14" x14ac:dyDescent="0.25">
      <c r="A4" s="146" t="s">
        <v>214</v>
      </c>
      <c r="B4" s="184"/>
      <c r="C4" s="184"/>
      <c r="D4" s="185"/>
      <c r="E4" s="186"/>
      <c r="F4" s="186">
        <v>6.923</v>
      </c>
      <c r="G4" s="187"/>
      <c r="H4" s="184"/>
      <c r="I4" s="184"/>
      <c r="J4" s="185"/>
      <c r="K4" s="188">
        <f>B4+E4+H4</f>
        <v>0</v>
      </c>
      <c r="L4" s="188">
        <f>C4+F4+I4</f>
        <v>6.923</v>
      </c>
      <c r="M4" s="187"/>
    </row>
    <row r="5" spans="1:14" x14ac:dyDescent="0.25">
      <c r="A5" s="146" t="s">
        <v>215</v>
      </c>
      <c r="B5" s="184"/>
      <c r="C5" s="184"/>
      <c r="D5" s="185"/>
      <c r="E5" s="186"/>
      <c r="F5" s="186"/>
      <c r="G5" s="187"/>
      <c r="H5" s="184"/>
      <c r="I5" s="184"/>
      <c r="J5" s="185"/>
      <c r="K5" s="188">
        <f t="shared" ref="K5:K16" si="0">B5+E5+H5</f>
        <v>0</v>
      </c>
      <c r="L5" s="188">
        <f t="shared" ref="L5:L17" si="1">C5+F5+I5</f>
        <v>0</v>
      </c>
      <c r="M5" s="187"/>
    </row>
    <row r="6" spans="1:14" x14ac:dyDescent="0.25">
      <c r="A6" s="146" t="s">
        <v>216</v>
      </c>
      <c r="B6" s="186">
        <v>99.45</v>
      </c>
      <c r="C6" s="186">
        <v>21.36</v>
      </c>
      <c r="D6" s="189">
        <f t="shared" ref="D6:D14" si="2">C6/B6-1</f>
        <v>-0.78521870286576168</v>
      </c>
      <c r="E6" s="186">
        <v>9.3940000000000001</v>
      </c>
      <c r="F6" s="186">
        <v>16.46</v>
      </c>
      <c r="G6" s="187">
        <f t="shared" ref="G6:G17" si="3">F6/E6-1</f>
        <v>0.7521822439855228</v>
      </c>
      <c r="H6" s="186"/>
      <c r="I6" s="186"/>
      <c r="J6" s="190"/>
      <c r="K6" s="188">
        <f t="shared" si="0"/>
        <v>108.84400000000001</v>
      </c>
      <c r="L6" s="188">
        <f t="shared" si="1"/>
        <v>37.82</v>
      </c>
      <c r="M6" s="187">
        <f t="shared" ref="M6:M17" si="4">L6/K6-1</f>
        <v>-0.65253022674653627</v>
      </c>
    </row>
    <row r="7" spans="1:14" x14ac:dyDescent="0.25">
      <c r="A7" s="146" t="s">
        <v>217</v>
      </c>
      <c r="B7" s="186">
        <v>68816.739000000001</v>
      </c>
      <c r="C7" s="186">
        <v>41402.750999999997</v>
      </c>
      <c r="D7" s="189">
        <f t="shared" si="2"/>
        <v>-0.39836220661371358</v>
      </c>
      <c r="E7" s="186">
        <v>22855.514999999999</v>
      </c>
      <c r="F7" s="186">
        <v>14208.344999999999</v>
      </c>
      <c r="G7" s="187">
        <f t="shared" si="3"/>
        <v>-0.37834063244691707</v>
      </c>
      <c r="H7" s="186"/>
      <c r="I7" s="186"/>
      <c r="J7" s="190"/>
      <c r="K7" s="188">
        <f t="shared" si="0"/>
        <v>91672.254000000001</v>
      </c>
      <c r="L7" s="188">
        <f t="shared" si="1"/>
        <v>55611.095999999998</v>
      </c>
      <c r="M7" s="187">
        <f t="shared" si="4"/>
        <v>-0.39337047390587776</v>
      </c>
    </row>
    <row r="8" spans="1:14" x14ac:dyDescent="0.25">
      <c r="A8" s="146" t="s">
        <v>218</v>
      </c>
      <c r="B8" s="186">
        <v>28301.289000000001</v>
      </c>
      <c r="C8" s="186">
        <v>18024.266</v>
      </c>
      <c r="D8" s="189">
        <f t="shared" si="2"/>
        <v>-0.36312914934722584</v>
      </c>
      <c r="E8" s="186">
        <v>388.05099999999999</v>
      </c>
      <c r="F8" s="186">
        <v>633.83799999999997</v>
      </c>
      <c r="G8" s="187">
        <f t="shared" si="3"/>
        <v>0.63338839482439169</v>
      </c>
      <c r="H8" s="186">
        <v>2206.2109999999998</v>
      </c>
      <c r="I8" s="186">
        <v>900.8</v>
      </c>
      <c r="J8" s="187">
        <f>I8/H8-1</f>
        <v>-0.59169816486274429</v>
      </c>
      <c r="K8" s="188">
        <f t="shared" si="0"/>
        <v>30895.550999999999</v>
      </c>
      <c r="L8" s="188">
        <f t="shared" si="1"/>
        <v>19558.903999999999</v>
      </c>
      <c r="M8" s="187">
        <f t="shared" si="4"/>
        <v>-0.366934611394372</v>
      </c>
    </row>
    <row r="9" spans="1:14" x14ac:dyDescent="0.25">
      <c r="A9" s="146" t="s">
        <v>219</v>
      </c>
      <c r="B9" s="186">
        <v>89762.387000000002</v>
      </c>
      <c r="C9" s="186">
        <v>88719.278000000006</v>
      </c>
      <c r="D9" s="189">
        <f t="shared" si="2"/>
        <v>-1.1620780539180586E-2</v>
      </c>
      <c r="E9" s="186">
        <v>7104.7120000000004</v>
      </c>
      <c r="F9" s="186">
        <v>7069.0860000000002</v>
      </c>
      <c r="G9" s="187">
        <f t="shared" si="3"/>
        <v>-5.0144185999376756E-3</v>
      </c>
      <c r="H9" s="186">
        <v>31207.537</v>
      </c>
      <c r="I9" s="186">
        <v>7013.1390000000001</v>
      </c>
      <c r="J9" s="187">
        <f t="shared" ref="J9:J17" si="5">I9/H9-1</f>
        <v>-0.77527419097508399</v>
      </c>
      <c r="K9" s="188">
        <f t="shared" si="0"/>
        <v>128074.636</v>
      </c>
      <c r="L9" s="188">
        <f t="shared" si="1"/>
        <v>102801.503</v>
      </c>
      <c r="M9" s="187">
        <f t="shared" si="4"/>
        <v>-0.19733128892125062</v>
      </c>
    </row>
    <row r="10" spans="1:14" x14ac:dyDescent="0.25">
      <c r="A10" s="147" t="s">
        <v>295</v>
      </c>
      <c r="B10" s="186">
        <v>389190.67099999997</v>
      </c>
      <c r="C10" s="186">
        <v>387739.962</v>
      </c>
      <c r="D10" s="189">
        <f t="shared" si="2"/>
        <v>-3.727501988350479E-3</v>
      </c>
      <c r="E10" s="186">
        <v>34543.222999999998</v>
      </c>
      <c r="F10" s="186">
        <v>25018.638999999999</v>
      </c>
      <c r="G10" s="187">
        <f t="shared" si="3"/>
        <v>-0.27572945350235556</v>
      </c>
      <c r="H10" s="186">
        <v>18600.508999999998</v>
      </c>
      <c r="I10" s="186">
        <v>7348.9030000000002</v>
      </c>
      <c r="J10" s="187">
        <f t="shared" si="5"/>
        <v>-0.6049085000845944</v>
      </c>
      <c r="K10" s="188">
        <f t="shared" si="0"/>
        <v>442334.40299999999</v>
      </c>
      <c r="L10" s="188">
        <f t="shared" si="1"/>
        <v>420107.50400000002</v>
      </c>
      <c r="M10" s="187">
        <f t="shared" si="4"/>
        <v>-5.0249084966606072E-2</v>
      </c>
    </row>
    <row r="11" spans="1:14" x14ac:dyDescent="0.25">
      <c r="A11" s="146" t="s">
        <v>221</v>
      </c>
      <c r="B11" s="186">
        <v>508788.636</v>
      </c>
      <c r="C11" s="186">
        <v>495490.86499999999</v>
      </c>
      <c r="D11" s="189">
        <f t="shared" si="2"/>
        <v>-2.6136139958912175E-2</v>
      </c>
      <c r="E11" s="186">
        <v>100544.579</v>
      </c>
      <c r="F11" s="186">
        <v>125859.788</v>
      </c>
      <c r="G11" s="187">
        <f t="shared" si="3"/>
        <v>0.25178094385377059</v>
      </c>
      <c r="H11" s="186">
        <v>14044.012000000001</v>
      </c>
      <c r="I11" s="186">
        <v>3035</v>
      </c>
      <c r="J11" s="187">
        <f t="shared" si="5"/>
        <v>-0.78389366229536117</v>
      </c>
      <c r="K11" s="188">
        <f t="shared" si="0"/>
        <v>623377.22699999996</v>
      </c>
      <c r="L11" s="188">
        <f t="shared" si="1"/>
        <v>624385.65299999993</v>
      </c>
      <c r="M11" s="187">
        <f t="shared" si="4"/>
        <v>1.6176818085784639E-3</v>
      </c>
      <c r="N11" s="222"/>
    </row>
    <row r="12" spans="1:14" x14ac:dyDescent="0.25">
      <c r="A12" s="146" t="s">
        <v>222</v>
      </c>
      <c r="B12" s="186">
        <v>3537.78</v>
      </c>
      <c r="C12" s="186">
        <v>3827.0610000000001</v>
      </c>
      <c r="D12" s="189">
        <f t="shared" si="2"/>
        <v>8.1769075521937573E-2</v>
      </c>
      <c r="E12" s="186">
        <v>21683.562000000002</v>
      </c>
      <c r="F12" s="186">
        <v>17686.093000000001</v>
      </c>
      <c r="G12" s="187">
        <f t="shared" si="3"/>
        <v>-0.18435481218445571</v>
      </c>
      <c r="H12" s="186">
        <v>828.60500000000002</v>
      </c>
      <c r="I12" s="186">
        <v>0</v>
      </c>
      <c r="J12" s="187"/>
      <c r="K12" s="188">
        <f t="shared" si="0"/>
        <v>26049.947</v>
      </c>
      <c r="L12" s="188">
        <f t="shared" si="1"/>
        <v>21513.154000000002</v>
      </c>
      <c r="M12" s="187">
        <f t="shared" si="4"/>
        <v>-0.17415747525321257</v>
      </c>
      <c r="N12" s="222"/>
    </row>
    <row r="13" spans="1:14" x14ac:dyDescent="0.25">
      <c r="A13" s="146" t="s">
        <v>223</v>
      </c>
      <c r="B13" s="186">
        <v>699.60500000000002</v>
      </c>
      <c r="C13" s="186">
        <v>249.42500000000001</v>
      </c>
      <c r="D13" s="189">
        <f t="shared" si="2"/>
        <v>-0.64347739081338751</v>
      </c>
      <c r="E13" s="186">
        <v>317.75400000000002</v>
      </c>
      <c r="F13" s="186">
        <v>82.876000000000005</v>
      </c>
      <c r="G13" s="187">
        <f t="shared" si="3"/>
        <v>-0.7391818828401846</v>
      </c>
      <c r="H13" s="186">
        <v>6</v>
      </c>
      <c r="I13" s="186">
        <v>0</v>
      </c>
      <c r="J13" s="187"/>
      <c r="K13" s="188">
        <f t="shared" si="0"/>
        <v>1023.359</v>
      </c>
      <c r="L13" s="188">
        <f t="shared" si="1"/>
        <v>332.30100000000004</v>
      </c>
      <c r="M13" s="187">
        <f t="shared" si="4"/>
        <v>-0.67528404010713738</v>
      </c>
      <c r="N13" s="100"/>
    </row>
    <row r="14" spans="1:14" x14ac:dyDescent="0.25">
      <c r="A14" s="146" t="s">
        <v>224</v>
      </c>
      <c r="B14" s="186">
        <v>129.35</v>
      </c>
      <c r="C14" s="186">
        <v>6.99</v>
      </c>
      <c r="D14" s="189">
        <f t="shared" si="2"/>
        <v>-0.9459605720912253</v>
      </c>
      <c r="E14" s="191">
        <v>0.2</v>
      </c>
      <c r="F14" s="191">
        <v>2.2799999999999998</v>
      </c>
      <c r="G14" s="187"/>
      <c r="H14" s="186"/>
      <c r="I14" s="186"/>
      <c r="J14" s="187"/>
      <c r="K14" s="188">
        <f t="shared" si="0"/>
        <v>129.54999999999998</v>
      </c>
      <c r="L14" s="188">
        <f t="shared" si="1"/>
        <v>9.27</v>
      </c>
      <c r="M14" s="187">
        <f t="shared" si="4"/>
        <v>-0.92844461597838668</v>
      </c>
      <c r="N14" s="222"/>
    </row>
    <row r="15" spans="1:14" s="31" customFormat="1" x14ac:dyDescent="0.25">
      <c r="A15" s="147" t="s">
        <v>243</v>
      </c>
      <c r="B15" s="186"/>
      <c r="C15" s="186"/>
      <c r="D15" s="189"/>
      <c r="E15" s="186"/>
      <c r="F15" s="186"/>
      <c r="G15" s="187"/>
      <c r="H15" s="186"/>
      <c r="I15" s="186"/>
      <c r="J15" s="187"/>
      <c r="K15" s="188">
        <f t="shared" si="0"/>
        <v>0</v>
      </c>
      <c r="L15" s="188">
        <f t="shared" si="1"/>
        <v>0</v>
      </c>
      <c r="M15" s="187"/>
    </row>
    <row r="16" spans="1:14" x14ac:dyDescent="0.25">
      <c r="A16" s="146" t="s">
        <v>225</v>
      </c>
      <c r="B16" s="186">
        <v>31.946000000000002</v>
      </c>
      <c r="C16" s="186">
        <v>4.25</v>
      </c>
      <c r="D16" s="189"/>
      <c r="E16" s="186">
        <v>0.97</v>
      </c>
      <c r="F16" s="186">
        <v>1.603</v>
      </c>
      <c r="G16" s="187">
        <f t="shared" si="3"/>
        <v>0.65257731958762899</v>
      </c>
      <c r="H16" s="186"/>
      <c r="I16" s="186"/>
      <c r="J16" s="187"/>
      <c r="K16" s="188">
        <f t="shared" si="0"/>
        <v>32.916000000000004</v>
      </c>
      <c r="L16" s="188">
        <f t="shared" si="1"/>
        <v>5.8529999999999998</v>
      </c>
      <c r="M16" s="187">
        <f t="shared" si="4"/>
        <v>-0.82218374043018594</v>
      </c>
    </row>
    <row r="17" spans="1:13" x14ac:dyDescent="0.25">
      <c r="A17" s="148" t="s">
        <v>207</v>
      </c>
      <c r="B17" s="188">
        <f>SUM(B4:B16)</f>
        <v>1089357.8530000001</v>
      </c>
      <c r="C17" s="188">
        <f>SUM(C4:C16)</f>
        <v>1035486.208</v>
      </c>
      <c r="D17" s="192">
        <f>C17/B17-1</f>
        <v>-4.9452661356084393E-2</v>
      </c>
      <c r="E17" s="193">
        <f>SUM(E4:E16)</f>
        <v>187447.96</v>
      </c>
      <c r="F17" s="193">
        <f>SUM(F4:F16)</f>
        <v>190585.93099999998</v>
      </c>
      <c r="G17" s="187">
        <f t="shared" si="3"/>
        <v>1.674049160097546E-2</v>
      </c>
      <c r="H17" s="188">
        <f>SUM(H4:H16)</f>
        <v>66892.873999999996</v>
      </c>
      <c r="I17" s="188">
        <f>SUM(I4:I16)</f>
        <v>18297.842000000001</v>
      </c>
      <c r="J17" s="187">
        <f t="shared" si="5"/>
        <v>-0.72646051954652147</v>
      </c>
      <c r="K17" s="188">
        <f>SUM(K4:K16)</f>
        <v>1343698.6869999999</v>
      </c>
      <c r="L17" s="188">
        <f t="shared" si="1"/>
        <v>1244369.9809999999</v>
      </c>
      <c r="M17" s="187">
        <f t="shared" si="4"/>
        <v>-7.3921859834339521E-2</v>
      </c>
    </row>
    <row r="18" spans="1:13" x14ac:dyDescent="0.25">
      <c r="A18" s="457" t="s">
        <v>244</v>
      </c>
      <c r="B18" s="458"/>
      <c r="C18" s="458"/>
      <c r="D18" s="458"/>
      <c r="E18" s="458"/>
      <c r="F18" s="458"/>
      <c r="G18" s="458"/>
      <c r="H18" s="458"/>
      <c r="I18" s="458"/>
      <c r="J18" s="458"/>
      <c r="K18" s="458"/>
      <c r="L18" s="458"/>
      <c r="M18" s="459"/>
    </row>
    <row r="19" spans="1:13" x14ac:dyDescent="0.25">
      <c r="A19" s="31"/>
      <c r="B19" s="30"/>
      <c r="C19" s="30"/>
      <c r="D19" s="31"/>
      <c r="E19" s="31"/>
      <c r="F19" s="31"/>
      <c r="G19" s="31"/>
      <c r="H19" s="31"/>
      <c r="I19" s="31"/>
      <c r="J19" s="31"/>
      <c r="K19" s="31"/>
      <c r="L19" s="31"/>
      <c r="M19" s="31"/>
    </row>
    <row r="20" spans="1:13" s="31" customFormat="1" x14ac:dyDescent="0.25">
      <c r="B20" s="30"/>
      <c r="C20" s="30"/>
      <c r="L20" s="100"/>
    </row>
    <row r="24" spans="1:13" x14ac:dyDescent="0.25">
      <c r="A24" s="31"/>
      <c r="B24" s="31"/>
      <c r="C24" s="31"/>
      <c r="D24" s="31"/>
      <c r="E24" s="31"/>
      <c r="F24" s="31"/>
      <c r="G24" s="109"/>
      <c r="H24" s="31"/>
      <c r="I24" s="31"/>
      <c r="J24" s="31"/>
      <c r="K24" s="31"/>
      <c r="L24" s="31"/>
      <c r="M24" s="31"/>
    </row>
    <row r="25" spans="1:13" x14ac:dyDescent="0.25">
      <c r="A25" s="31"/>
      <c r="B25" s="31"/>
      <c r="C25" s="31"/>
      <c r="D25" s="31"/>
      <c r="E25" s="31"/>
      <c r="F25" s="31"/>
      <c r="G25" s="109"/>
      <c r="H25" s="31"/>
      <c r="I25" s="31"/>
      <c r="J25" s="31"/>
      <c r="K25" s="31"/>
      <c r="L25" s="31"/>
      <c r="M25" s="31"/>
    </row>
    <row r="26" spans="1:13" x14ac:dyDescent="0.25">
      <c r="A26" s="31"/>
      <c r="B26" s="31"/>
      <c r="C26" s="31"/>
      <c r="D26" s="31"/>
      <c r="E26" s="31"/>
      <c r="F26" s="31"/>
      <c r="G26" s="109"/>
      <c r="H26" s="31"/>
      <c r="I26" s="31"/>
      <c r="J26" s="31"/>
      <c r="K26" s="31"/>
      <c r="L26" s="31"/>
      <c r="M26" s="31"/>
    </row>
    <row r="27" spans="1:13" x14ac:dyDescent="0.25">
      <c r="A27" s="31"/>
      <c r="B27" s="31"/>
      <c r="C27" s="31"/>
      <c r="D27" s="31"/>
      <c r="E27" s="31"/>
      <c r="F27" s="31"/>
      <c r="G27" s="109"/>
      <c r="H27" s="31"/>
      <c r="I27" s="31"/>
      <c r="J27" s="31"/>
      <c r="K27" s="31"/>
      <c r="L27" s="31"/>
      <c r="M27" s="31"/>
    </row>
    <row r="28" spans="1:13" x14ac:dyDescent="0.25">
      <c r="A28" s="31"/>
      <c r="B28" s="31"/>
      <c r="C28" s="31"/>
      <c r="D28" s="31"/>
      <c r="E28" s="31"/>
      <c r="F28" s="31"/>
      <c r="G28" s="109"/>
      <c r="H28" s="31"/>
      <c r="I28" s="31"/>
      <c r="J28" s="31"/>
      <c r="K28" s="31"/>
      <c r="L28" s="31"/>
      <c r="M28" s="31"/>
    </row>
    <row r="29" spans="1:13" x14ac:dyDescent="0.25">
      <c r="A29" s="31"/>
      <c r="B29" s="31"/>
      <c r="C29" s="31"/>
      <c r="D29" s="31"/>
      <c r="E29" s="31"/>
      <c r="F29" s="31"/>
      <c r="G29" s="109"/>
      <c r="H29" s="31"/>
      <c r="I29" s="31"/>
      <c r="J29" s="31"/>
      <c r="K29" s="31"/>
      <c r="L29" s="31"/>
      <c r="M29" s="31"/>
    </row>
    <row r="30" spans="1:13" x14ac:dyDescent="0.25">
      <c r="A30" s="31"/>
      <c r="B30" s="31"/>
      <c r="C30" s="31"/>
      <c r="D30" s="31"/>
      <c r="E30" s="31"/>
      <c r="F30" s="31"/>
      <c r="G30" s="109"/>
      <c r="H30" s="31"/>
      <c r="I30" s="31"/>
      <c r="J30" s="31"/>
      <c r="K30" s="31"/>
      <c r="L30" s="31"/>
      <c r="M30" s="31"/>
    </row>
    <row r="31" spans="1:13" x14ac:dyDescent="0.25">
      <c r="A31" s="31"/>
      <c r="B31" s="31"/>
      <c r="C31" s="31"/>
      <c r="D31" s="31"/>
      <c r="E31" s="31"/>
      <c r="F31" s="31"/>
      <c r="G31" s="109"/>
      <c r="H31" s="31"/>
      <c r="I31" s="31"/>
      <c r="J31" s="31"/>
      <c r="K31" s="31"/>
      <c r="L31" s="31"/>
      <c r="M31" s="31"/>
    </row>
    <row r="32" spans="1:13" x14ac:dyDescent="0.25">
      <c r="A32" s="31"/>
      <c r="B32" s="31"/>
      <c r="C32" s="31"/>
      <c r="D32" s="31"/>
      <c r="E32" s="31"/>
      <c r="F32" s="31"/>
      <c r="G32" s="109"/>
      <c r="H32" s="31"/>
      <c r="I32" s="31"/>
      <c r="J32" s="31"/>
      <c r="K32" s="31"/>
      <c r="L32" s="31"/>
      <c r="M32" s="31"/>
    </row>
    <row r="33" spans="7:7" x14ac:dyDescent="0.25">
      <c r="G33" s="109"/>
    </row>
    <row r="34" spans="7:7" x14ac:dyDescent="0.25">
      <c r="G34" s="109"/>
    </row>
    <row r="35" spans="7:7" x14ac:dyDescent="0.25">
      <c r="G35" s="109"/>
    </row>
    <row r="36" spans="7:7" x14ac:dyDescent="0.25">
      <c r="G36" s="96"/>
    </row>
  </sheetData>
  <mergeCells count="11">
    <mergeCell ref="A18:M18"/>
    <mergeCell ref="A2:A3"/>
    <mergeCell ref="M2:M3"/>
    <mergeCell ref="A1:M1"/>
    <mergeCell ref="B2:C2"/>
    <mergeCell ref="E2:F2"/>
    <mergeCell ref="H2:I2"/>
    <mergeCell ref="K2:L2"/>
    <mergeCell ref="D2:D3"/>
    <mergeCell ref="G2:G3"/>
    <mergeCell ref="J2:J3"/>
  </mergeCells>
  <phoneticPr fontId="59" type="noConversion"/>
  <pageMargins left="0.7" right="0.7" top="0.75" bottom="0.75" header="0.3" footer="0.3"/>
  <pageSetup scale="98" fitToHeight="0" orientation="landscape" r:id="rId1"/>
  <ignoredErrors>
    <ignoredError sqref="C17 I17 F17" formulaRange="1"/>
    <ignoredError sqref="G17 J17 D17" formula="1"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EB8E-073F-4727-8CA2-CDA37AA3A420}">
  <sheetPr>
    <pageSetUpPr fitToPage="1"/>
  </sheetPr>
  <dimension ref="A1:O22"/>
  <sheetViews>
    <sheetView zoomScaleNormal="100" workbookViewId="0">
      <selection sqref="A1:L1"/>
    </sheetView>
  </sheetViews>
  <sheetFormatPr baseColWidth="10" defaultColWidth="11.42578125" defaultRowHeight="15" x14ac:dyDescent="0.25"/>
  <cols>
    <col min="1" max="1" width="19.7109375" style="31" bestFit="1" customWidth="1"/>
    <col min="2" max="3" width="9.140625" style="31" customWidth="1"/>
    <col min="4" max="4" width="7.5703125" style="31" customWidth="1"/>
    <col min="5" max="5" width="9.140625" style="31" customWidth="1"/>
    <col min="6" max="7" width="7.5703125" style="31" customWidth="1"/>
    <col min="8" max="9" width="9.140625" style="31" bestFit="1" customWidth="1"/>
    <col min="10" max="10" width="7.5703125" style="31" bestFit="1" customWidth="1"/>
    <col min="11" max="12" width="9.140625" style="31" bestFit="1" customWidth="1"/>
    <col min="13" max="13" width="7.5703125" style="31" bestFit="1" customWidth="1"/>
    <col min="14" max="15" width="7.42578125" style="31" bestFit="1" customWidth="1"/>
    <col min="16" max="16" width="11.42578125" style="31"/>
    <col min="17" max="17" width="12.7109375" style="31" bestFit="1" customWidth="1"/>
    <col min="18" max="18" width="7.5703125" style="31" bestFit="1" customWidth="1"/>
    <col min="19" max="20" width="9.140625" style="31" bestFit="1" customWidth="1"/>
    <col min="21" max="21" width="7.5703125" style="31" bestFit="1" customWidth="1"/>
    <col min="22" max="22" width="9.140625" style="31" bestFit="1" customWidth="1"/>
    <col min="23" max="24" width="7.5703125" style="31" bestFit="1" customWidth="1"/>
    <col min="25" max="26" width="9.140625" style="31" bestFit="1" customWidth="1"/>
    <col min="27" max="27" width="7.5703125" style="31" bestFit="1" customWidth="1"/>
    <col min="28" max="28" width="9.140625" style="31" bestFit="1" customWidth="1"/>
    <col min="29" max="16384" width="11.42578125" style="31"/>
  </cols>
  <sheetData>
    <row r="1" spans="1:12" x14ac:dyDescent="0.25">
      <c r="A1" s="463" t="s">
        <v>585</v>
      </c>
      <c r="B1" s="463"/>
      <c r="C1" s="463"/>
      <c r="D1" s="463"/>
      <c r="E1" s="463"/>
      <c r="F1" s="463"/>
      <c r="G1" s="463"/>
      <c r="H1" s="463"/>
      <c r="I1" s="463"/>
      <c r="J1" s="463"/>
      <c r="K1" s="463"/>
      <c r="L1" s="463"/>
    </row>
    <row r="2" spans="1:12" x14ac:dyDescent="0.25">
      <c r="A2" s="466" t="s">
        <v>293</v>
      </c>
      <c r="B2" s="464" t="s">
        <v>274</v>
      </c>
      <c r="C2" s="464"/>
      <c r="D2" s="464"/>
      <c r="E2" s="464"/>
      <c r="F2" s="464"/>
      <c r="G2" s="464"/>
      <c r="H2" s="464"/>
      <c r="I2" s="464"/>
      <c r="J2" s="464"/>
      <c r="K2" s="464"/>
      <c r="L2" s="464"/>
    </row>
    <row r="3" spans="1:12" x14ac:dyDescent="0.25">
      <c r="A3" s="466"/>
      <c r="B3" s="179">
        <v>2012</v>
      </c>
      <c r="C3" s="179">
        <v>2013</v>
      </c>
      <c r="D3" s="179">
        <v>2014</v>
      </c>
      <c r="E3" s="179">
        <v>2015</v>
      </c>
      <c r="F3" s="380">
        <v>2016</v>
      </c>
      <c r="G3" s="380">
        <v>2017</v>
      </c>
      <c r="H3" s="380">
        <v>2018</v>
      </c>
      <c r="I3" s="380">
        <v>2019</v>
      </c>
      <c r="J3" s="380">
        <v>2020</v>
      </c>
      <c r="K3" s="380">
        <v>2021</v>
      </c>
      <c r="L3" s="180">
        <v>2022</v>
      </c>
    </row>
    <row r="4" spans="1:12" x14ac:dyDescent="0.25">
      <c r="A4" s="111" t="s">
        <v>128</v>
      </c>
      <c r="B4" s="155">
        <v>338735.69400000002</v>
      </c>
      <c r="C4" s="155">
        <v>371599.26400000002</v>
      </c>
      <c r="D4" s="155">
        <v>299541.43</v>
      </c>
      <c r="E4" s="155">
        <v>382942.91899999999</v>
      </c>
      <c r="F4" s="155">
        <v>277133.39299999998</v>
      </c>
      <c r="G4" s="155">
        <v>228733.307</v>
      </c>
      <c r="H4" s="155">
        <v>302226.57799999998</v>
      </c>
      <c r="I4" s="155">
        <v>358482.89199999999</v>
      </c>
      <c r="J4" s="155">
        <v>271975.64299999998</v>
      </c>
      <c r="K4" s="156">
        <v>356471.14500000002</v>
      </c>
      <c r="L4" s="156">
        <v>340922.31800000003</v>
      </c>
    </row>
    <row r="5" spans="1:12" x14ac:dyDescent="0.25">
      <c r="A5" s="111" t="s">
        <v>124</v>
      </c>
      <c r="B5" s="155">
        <v>136956.77299999999</v>
      </c>
      <c r="C5" s="155">
        <v>159909.79</v>
      </c>
      <c r="D5" s="155">
        <v>117792.588</v>
      </c>
      <c r="E5" s="155">
        <v>147379.98300000001</v>
      </c>
      <c r="F5" s="155">
        <v>121299.899</v>
      </c>
      <c r="G5" s="155">
        <v>123127.952</v>
      </c>
      <c r="H5" s="155">
        <v>146741.81599999999</v>
      </c>
      <c r="I5" s="155">
        <v>148118.51699999999</v>
      </c>
      <c r="J5" s="155">
        <v>129387.04300000001</v>
      </c>
      <c r="K5" s="156">
        <v>145152.685</v>
      </c>
      <c r="L5" s="156">
        <v>141061.37100000001</v>
      </c>
    </row>
    <row r="6" spans="1:12" x14ac:dyDescent="0.25">
      <c r="A6" s="111" t="s">
        <v>131</v>
      </c>
      <c r="B6" s="155">
        <v>121080.89599999999</v>
      </c>
      <c r="C6" s="155">
        <v>128407.243</v>
      </c>
      <c r="D6" s="155">
        <v>99494.642999999996</v>
      </c>
      <c r="E6" s="155">
        <v>138831.554</v>
      </c>
      <c r="F6" s="155">
        <v>107050.094</v>
      </c>
      <c r="G6" s="155">
        <v>107248.80499999999</v>
      </c>
      <c r="H6" s="155">
        <v>132493.28700000001</v>
      </c>
      <c r="I6" s="155">
        <v>121262.86500000001</v>
      </c>
      <c r="J6" s="155">
        <v>102890.82799999999</v>
      </c>
      <c r="K6" s="156">
        <v>129761.22500000001</v>
      </c>
      <c r="L6" s="156">
        <v>123222.61</v>
      </c>
    </row>
    <row r="7" spans="1:12" x14ac:dyDescent="0.25">
      <c r="A7" s="111" t="s">
        <v>119</v>
      </c>
      <c r="B7" s="155">
        <v>94618.622000000003</v>
      </c>
      <c r="C7" s="155">
        <v>93834.361999999994</v>
      </c>
      <c r="D7" s="155">
        <v>58133.726000000002</v>
      </c>
      <c r="E7" s="155">
        <v>92442.466</v>
      </c>
      <c r="F7" s="155">
        <v>81945.692999999999</v>
      </c>
      <c r="G7" s="155">
        <v>74308.028000000006</v>
      </c>
      <c r="H7" s="155">
        <v>101364.386</v>
      </c>
      <c r="I7" s="155">
        <v>91269.048999999999</v>
      </c>
      <c r="J7" s="155">
        <v>80426.101999999999</v>
      </c>
      <c r="K7" s="156">
        <v>103267.196</v>
      </c>
      <c r="L7" s="156">
        <v>104103.156</v>
      </c>
    </row>
    <row r="8" spans="1:12" x14ac:dyDescent="0.25">
      <c r="A8" s="111" t="s">
        <v>129</v>
      </c>
      <c r="B8" s="155">
        <v>85138.429000000004</v>
      </c>
      <c r="C8" s="155">
        <v>95861.706000000006</v>
      </c>
      <c r="D8" s="155">
        <v>62244.786</v>
      </c>
      <c r="E8" s="155">
        <v>95987.126999999993</v>
      </c>
      <c r="F8" s="155">
        <v>61201.010999999999</v>
      </c>
      <c r="G8" s="155">
        <v>53860.764000000003</v>
      </c>
      <c r="H8" s="155">
        <v>77502.972999999998</v>
      </c>
      <c r="I8" s="155">
        <v>88681.398000000001</v>
      </c>
      <c r="J8" s="155">
        <v>67269.255999999994</v>
      </c>
      <c r="K8" s="156">
        <v>89299.183999999994</v>
      </c>
      <c r="L8" s="156">
        <v>88431.267999999996</v>
      </c>
    </row>
    <row r="9" spans="1:12" x14ac:dyDescent="0.25">
      <c r="A9" s="111" t="s">
        <v>133</v>
      </c>
      <c r="B9" s="155">
        <v>68454.87</v>
      </c>
      <c r="C9" s="155">
        <v>79059.006999999998</v>
      </c>
      <c r="D9" s="155">
        <v>66476.902000000002</v>
      </c>
      <c r="E9" s="155">
        <v>74723.073000000004</v>
      </c>
      <c r="F9" s="155">
        <v>59201.275000000001</v>
      </c>
      <c r="G9" s="155">
        <v>63642.875</v>
      </c>
      <c r="H9" s="155">
        <v>72922.379000000001</v>
      </c>
      <c r="I9" s="155">
        <v>63888.031000000003</v>
      </c>
      <c r="J9" s="155">
        <v>51358.394</v>
      </c>
      <c r="K9" s="156">
        <v>58624.139000000003</v>
      </c>
      <c r="L9" s="156">
        <v>61230.065000000002</v>
      </c>
    </row>
    <row r="10" spans="1:12" x14ac:dyDescent="0.25">
      <c r="A10" s="111" t="s">
        <v>121</v>
      </c>
      <c r="B10" s="155">
        <v>21042.874</v>
      </c>
      <c r="C10" s="155">
        <v>17084.405999999999</v>
      </c>
      <c r="D10" s="155">
        <v>23724.564999999999</v>
      </c>
      <c r="E10" s="155">
        <v>16345.252</v>
      </c>
      <c r="F10" s="155">
        <v>19151.685000000001</v>
      </c>
      <c r="G10" s="155">
        <v>25946.812000000002</v>
      </c>
      <c r="H10" s="155">
        <v>54897.921000000002</v>
      </c>
      <c r="I10" s="155">
        <v>39563.391000000003</v>
      </c>
      <c r="J10" s="155">
        <v>46031.659</v>
      </c>
      <c r="K10" s="156">
        <v>54754.248</v>
      </c>
      <c r="L10" s="156">
        <v>31495.200000000001</v>
      </c>
    </row>
    <row r="11" spans="1:12" x14ac:dyDescent="0.25">
      <c r="A11" s="111" t="s">
        <v>246</v>
      </c>
      <c r="B11" s="155">
        <v>12589.758</v>
      </c>
      <c r="C11" s="155">
        <v>13524.266</v>
      </c>
      <c r="D11" s="155">
        <v>12305.128000000001</v>
      </c>
      <c r="E11" s="155">
        <v>19028.348999999998</v>
      </c>
      <c r="F11" s="155">
        <v>13645.607</v>
      </c>
      <c r="G11" s="155">
        <v>18144.418000000001</v>
      </c>
      <c r="H11" s="155">
        <v>21937.399000000001</v>
      </c>
      <c r="I11" s="155">
        <v>22583.955000000002</v>
      </c>
      <c r="J11" s="155">
        <v>19012.752</v>
      </c>
      <c r="K11" s="156">
        <v>29262.522000000001</v>
      </c>
      <c r="L11" s="156">
        <v>25691.383000000002</v>
      </c>
    </row>
    <row r="12" spans="1:12" x14ac:dyDescent="0.25">
      <c r="A12" s="111" t="s">
        <v>132</v>
      </c>
      <c r="B12" s="155">
        <v>23823.706999999999</v>
      </c>
      <c r="C12" s="155">
        <v>26160.901999999998</v>
      </c>
      <c r="D12" s="155">
        <v>19884.831999999999</v>
      </c>
      <c r="E12" s="155">
        <v>25596.091</v>
      </c>
      <c r="F12" s="155">
        <v>26134.602999999999</v>
      </c>
      <c r="G12" s="155">
        <v>23719.378000000001</v>
      </c>
      <c r="H12" s="155">
        <v>26661.965</v>
      </c>
      <c r="I12" s="155">
        <v>25858.561000000002</v>
      </c>
      <c r="J12" s="155">
        <v>21013.623</v>
      </c>
      <c r="K12" s="156">
        <v>24935.200000000001</v>
      </c>
      <c r="L12" s="156">
        <v>26946.832999999999</v>
      </c>
    </row>
    <row r="13" spans="1:12" x14ac:dyDescent="0.25">
      <c r="A13" s="111" t="s">
        <v>247</v>
      </c>
      <c r="B13" s="155">
        <v>28842.839</v>
      </c>
      <c r="C13" s="155">
        <v>18310.151999999998</v>
      </c>
      <c r="D13" s="155">
        <v>15716.58</v>
      </c>
      <c r="E13" s="155">
        <v>19821.627</v>
      </c>
      <c r="F13" s="155">
        <v>24033.350999999999</v>
      </c>
      <c r="G13" s="155">
        <v>20375.241000000002</v>
      </c>
      <c r="H13" s="155">
        <v>35512.849000000002</v>
      </c>
      <c r="I13" s="155">
        <v>33883.722999999998</v>
      </c>
      <c r="J13" s="155">
        <v>26794.792000000001</v>
      </c>
      <c r="K13" s="156">
        <v>19941.007000000001</v>
      </c>
      <c r="L13" s="156">
        <v>15946.671</v>
      </c>
    </row>
    <row r="14" spans="1:12" x14ac:dyDescent="0.25">
      <c r="A14" s="111" t="s">
        <v>291</v>
      </c>
      <c r="B14" s="155">
        <v>33589.83</v>
      </c>
      <c r="C14" s="155">
        <v>17614.305</v>
      </c>
      <c r="D14" s="155">
        <v>16874.953000000001</v>
      </c>
      <c r="E14" s="155">
        <v>15420.183999999999</v>
      </c>
      <c r="F14" s="155">
        <v>15326.906000000001</v>
      </c>
      <c r="G14" s="155">
        <v>18395.760999999999</v>
      </c>
      <c r="H14" s="155">
        <v>18654.705000000002</v>
      </c>
      <c r="I14" s="155">
        <v>16367.661</v>
      </c>
      <c r="J14" s="155">
        <v>21472.255000000001</v>
      </c>
      <c r="K14" s="156">
        <v>15278.168</v>
      </c>
      <c r="L14" s="156">
        <v>11989.893</v>
      </c>
    </row>
    <row r="15" spans="1:12" x14ac:dyDescent="0.25">
      <c r="A15" s="111" t="s">
        <v>248</v>
      </c>
      <c r="B15" s="155">
        <v>51111.241000000002</v>
      </c>
      <c r="C15" s="155">
        <v>53274.555999999997</v>
      </c>
      <c r="D15" s="155">
        <v>48774.767</v>
      </c>
      <c r="E15" s="155">
        <v>52768.055999999997</v>
      </c>
      <c r="F15" s="155">
        <v>46360.313000000002</v>
      </c>
      <c r="G15" s="155">
        <v>47558.072999999997</v>
      </c>
      <c r="H15" s="155">
        <v>61865.686000000002</v>
      </c>
      <c r="I15" s="155">
        <v>20087.521000000001</v>
      </c>
      <c r="J15" s="155">
        <v>50574.358</v>
      </c>
      <c r="K15" s="156">
        <v>62611.133999999998</v>
      </c>
      <c r="L15" s="156">
        <f>L16-SUM(L4:L14)</f>
        <v>64445.440000000061</v>
      </c>
    </row>
    <row r="16" spans="1:12" x14ac:dyDescent="0.25">
      <c r="A16" s="120" t="s">
        <v>162</v>
      </c>
      <c r="B16" s="177">
        <v>1015985.5330000001</v>
      </c>
      <c r="C16" s="177">
        <v>1074639.959</v>
      </c>
      <c r="D16" s="177">
        <v>840964.9</v>
      </c>
      <c r="E16" s="177">
        <v>1081286.6810000001</v>
      </c>
      <c r="F16" s="177">
        <v>852483.83</v>
      </c>
      <c r="G16" s="177">
        <v>805061.41399999999</v>
      </c>
      <c r="H16" s="177">
        <v>1052781.9439999999</v>
      </c>
      <c r="I16" s="177">
        <v>1030047.564</v>
      </c>
      <c r="J16" s="177">
        <v>888206.70499999996</v>
      </c>
      <c r="K16" s="178">
        <v>1089357.8529999999</v>
      </c>
      <c r="L16" s="178">
        <v>1035486.208</v>
      </c>
    </row>
    <row r="17" spans="1:15" x14ac:dyDescent="0.25">
      <c r="A17" s="465" t="s">
        <v>292</v>
      </c>
      <c r="B17" s="465"/>
      <c r="C17" s="465"/>
      <c r="D17" s="465"/>
      <c r="E17" s="465"/>
      <c r="F17" s="465"/>
      <c r="G17" s="465"/>
      <c r="H17" s="465"/>
      <c r="I17" s="465"/>
      <c r="J17" s="465"/>
      <c r="K17" s="465"/>
      <c r="L17" s="465"/>
    </row>
    <row r="20" spans="1:15" ht="21.75" customHeight="1" x14ac:dyDescent="0.25"/>
    <row r="21" spans="1:15" x14ac:dyDescent="0.25">
      <c r="D21" s="58"/>
      <c r="E21" s="58"/>
      <c r="F21" s="58"/>
    </row>
    <row r="22" spans="1:15" x14ac:dyDescent="0.25">
      <c r="D22" s="30"/>
      <c r="E22" s="30"/>
      <c r="F22" s="30"/>
      <c r="G22" s="30"/>
      <c r="H22" s="30"/>
      <c r="I22" s="30"/>
      <c r="J22" s="30"/>
      <c r="K22" s="30"/>
      <c r="L22" s="30"/>
      <c r="M22" s="30"/>
      <c r="N22" s="30"/>
      <c r="O22" s="30"/>
    </row>
  </sheetData>
  <mergeCells count="4">
    <mergeCell ref="A1:L1"/>
    <mergeCell ref="B2:L2"/>
    <mergeCell ref="A17:L17"/>
    <mergeCell ref="A2:A3"/>
  </mergeCells>
  <pageMargins left="0.7" right="0.7" top="0.75" bottom="0.75" header="0.3" footer="0.3"/>
  <pageSetup scale="79"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O1:T42"/>
  <sheetViews>
    <sheetView zoomScaleNormal="100" workbookViewId="0"/>
  </sheetViews>
  <sheetFormatPr baseColWidth="10" defaultColWidth="11.42578125" defaultRowHeight="15" x14ac:dyDescent="0.25"/>
  <cols>
    <col min="13" max="13" width="11.42578125" customWidth="1"/>
    <col min="15" max="15" width="17.42578125" bestFit="1" customWidth="1"/>
    <col min="16" max="16" width="14.140625" bestFit="1" customWidth="1"/>
  </cols>
  <sheetData>
    <row r="1" spans="15:19" x14ac:dyDescent="0.25">
      <c r="O1" s="33" t="s">
        <v>245</v>
      </c>
      <c r="P1" s="33"/>
      <c r="Q1" s="33"/>
      <c r="R1" s="31"/>
      <c r="S1" s="31"/>
    </row>
    <row r="2" spans="15:19" x14ac:dyDescent="0.25">
      <c r="O2" s="66" t="s">
        <v>128</v>
      </c>
      <c r="P2" s="65">
        <v>340922318</v>
      </c>
      <c r="Q2" s="64">
        <f>P2/$P$14</f>
        <v>0.3292388812134821</v>
      </c>
      <c r="R2" s="67"/>
      <c r="S2" s="77"/>
    </row>
    <row r="3" spans="15:19" x14ac:dyDescent="0.25">
      <c r="O3" s="66" t="s">
        <v>124</v>
      </c>
      <c r="P3" s="65">
        <v>141061371</v>
      </c>
      <c r="Q3" s="64">
        <f t="shared" ref="Q3:Q12" si="0">P3/$P$14</f>
        <v>0.13622718583791846</v>
      </c>
      <c r="R3" s="67"/>
      <c r="S3" s="77"/>
    </row>
    <row r="4" spans="15:19" x14ac:dyDescent="0.25">
      <c r="O4" s="66" t="s">
        <v>131</v>
      </c>
      <c r="P4" s="65">
        <v>123222610</v>
      </c>
      <c r="Q4" s="64">
        <f t="shared" si="0"/>
        <v>0.11899976069212705</v>
      </c>
      <c r="R4" s="67"/>
      <c r="S4" s="77"/>
    </row>
    <row r="5" spans="15:19" x14ac:dyDescent="0.25">
      <c r="O5" s="66" t="s">
        <v>119</v>
      </c>
      <c r="P5" s="65">
        <v>104103156</v>
      </c>
      <c r="Q5" s="64">
        <f t="shared" si="0"/>
        <v>0.10053553200419281</v>
      </c>
      <c r="R5" s="67"/>
      <c r="S5" s="77"/>
    </row>
    <row r="6" spans="15:19" x14ac:dyDescent="0.25">
      <c r="O6" s="66" t="s">
        <v>129</v>
      </c>
      <c r="P6" s="65">
        <v>88431268</v>
      </c>
      <c r="Q6" s="64">
        <f t="shared" si="0"/>
        <v>8.5400720936696206E-2</v>
      </c>
      <c r="R6" s="67"/>
      <c r="S6" s="77"/>
    </row>
    <row r="7" spans="15:19" x14ac:dyDescent="0.25">
      <c r="O7" s="66" t="s">
        <v>133</v>
      </c>
      <c r="P7" s="65">
        <v>61235365</v>
      </c>
      <c r="Q7" s="64">
        <f t="shared" si="0"/>
        <v>5.9136823841785625E-2</v>
      </c>
      <c r="R7" s="67"/>
      <c r="S7" s="77"/>
    </row>
    <row r="8" spans="15:19" x14ac:dyDescent="0.25">
      <c r="O8" s="66" t="s">
        <v>121</v>
      </c>
      <c r="P8" s="65">
        <v>31495200</v>
      </c>
      <c r="Q8" s="64">
        <f t="shared" si="0"/>
        <v>3.0415856821655374E-2</v>
      </c>
      <c r="R8" s="67"/>
      <c r="S8" s="77"/>
    </row>
    <row r="9" spans="15:19" x14ac:dyDescent="0.25">
      <c r="O9" s="66" t="s">
        <v>246</v>
      </c>
      <c r="P9" s="65">
        <v>25691383</v>
      </c>
      <c r="Q9" s="64">
        <f t="shared" si="0"/>
        <v>2.4810937123063544E-2</v>
      </c>
      <c r="R9" s="67"/>
      <c r="S9" s="77"/>
    </row>
    <row r="10" spans="15:19" x14ac:dyDescent="0.25">
      <c r="O10" s="66" t="s">
        <v>132</v>
      </c>
      <c r="P10" s="65">
        <v>26946833</v>
      </c>
      <c r="Q10" s="64">
        <f t="shared" si="0"/>
        <v>2.6023362744959807E-2</v>
      </c>
      <c r="R10" s="67"/>
      <c r="S10" s="77"/>
    </row>
    <row r="11" spans="15:19" x14ac:dyDescent="0.25">
      <c r="O11" s="66" t="s">
        <v>247</v>
      </c>
      <c r="P11" s="65">
        <v>15948021</v>
      </c>
      <c r="Q11" s="64">
        <f t="shared" si="0"/>
        <v>1.5401480966139384E-2</v>
      </c>
      <c r="R11" s="67"/>
      <c r="S11" s="77"/>
    </row>
    <row r="12" spans="15:19" x14ac:dyDescent="0.25">
      <c r="O12" s="66" t="s">
        <v>248</v>
      </c>
      <c r="P12" s="65">
        <f>P14-SUM(P2:P11)</f>
        <v>76428675</v>
      </c>
      <c r="Q12" s="64">
        <f t="shared" si="0"/>
        <v>7.380945781797961E-2</v>
      </c>
      <c r="R12" s="67"/>
      <c r="S12" s="77"/>
    </row>
    <row r="13" spans="15:19" x14ac:dyDescent="0.25">
      <c r="O13" s="66" t="s">
        <v>600</v>
      </c>
      <c r="P13" s="65">
        <v>1089357853</v>
      </c>
      <c r="Q13" s="64"/>
      <c r="R13" s="73"/>
      <c r="S13" s="67"/>
    </row>
    <row r="14" spans="15:19" x14ac:dyDescent="0.25">
      <c r="O14" s="66" t="s">
        <v>601</v>
      </c>
      <c r="P14" s="110">
        <f>P42*100</f>
        <v>1035486200</v>
      </c>
      <c r="Q14" s="64"/>
      <c r="R14" s="63">
        <f>P14/P13</f>
        <v>0.9505473313001398</v>
      </c>
      <c r="S14" s="67"/>
    </row>
    <row r="15" spans="15:19" ht="15.75" thickBot="1" x14ac:dyDescent="0.3">
      <c r="O15" s="31"/>
      <c r="P15" s="31"/>
      <c r="Q15" s="31"/>
      <c r="R15" s="31"/>
      <c r="S15" s="31"/>
    </row>
    <row r="16" spans="15:19" ht="21.75" thickBot="1" x14ac:dyDescent="0.3">
      <c r="O16" s="68" t="s">
        <v>249</v>
      </c>
      <c r="P16" s="69" t="s">
        <v>240</v>
      </c>
      <c r="Q16" s="69" t="s">
        <v>241</v>
      </c>
      <c r="R16" s="69" t="s">
        <v>210</v>
      </c>
      <c r="S16" s="69" t="s">
        <v>207</v>
      </c>
    </row>
    <row r="17" spans="15:20" ht="15.75" thickBot="1" x14ac:dyDescent="0.3">
      <c r="O17" s="70">
        <v>1997</v>
      </c>
      <c r="P17" s="71">
        <v>2489287</v>
      </c>
      <c r="Q17" s="71">
        <v>1330057</v>
      </c>
      <c r="R17" s="71">
        <v>490905</v>
      </c>
      <c r="S17" s="71">
        <v>4310249</v>
      </c>
      <c r="T17" s="31"/>
    </row>
    <row r="18" spans="15:20" ht="15.75" thickBot="1" x14ac:dyDescent="0.3">
      <c r="O18" s="70">
        <v>1998</v>
      </c>
      <c r="P18" s="71">
        <v>2996983</v>
      </c>
      <c r="Q18" s="72">
        <v>1443082</v>
      </c>
      <c r="R18" s="71">
        <v>825438</v>
      </c>
      <c r="S18" s="71">
        <v>5265503</v>
      </c>
      <c r="T18" s="67"/>
    </row>
    <row r="19" spans="15:20" ht="15.75" thickBot="1" x14ac:dyDescent="0.3">
      <c r="O19" s="70">
        <v>1999</v>
      </c>
      <c r="P19" s="71">
        <v>2395729</v>
      </c>
      <c r="Q19" s="71">
        <v>1318548</v>
      </c>
      <c r="R19" s="71">
        <v>565874</v>
      </c>
      <c r="S19" s="71">
        <v>4280151</v>
      </c>
      <c r="T19" s="67"/>
    </row>
    <row r="20" spans="15:20" ht="15.75" thickBot="1" x14ac:dyDescent="0.3">
      <c r="O20" s="70">
        <v>2000</v>
      </c>
      <c r="P20" s="71">
        <v>3748213</v>
      </c>
      <c r="Q20" s="71">
        <v>1956098</v>
      </c>
      <c r="R20" s="71">
        <v>715063</v>
      </c>
      <c r="S20" s="71">
        <v>6419374</v>
      </c>
      <c r="T20" s="67"/>
    </row>
    <row r="21" spans="15:20" ht="15.75" thickBot="1" x14ac:dyDescent="0.3">
      <c r="O21" s="70">
        <v>2001</v>
      </c>
      <c r="P21" s="71">
        <v>4460397</v>
      </c>
      <c r="Q21" s="71">
        <v>583290</v>
      </c>
      <c r="R21" s="71">
        <v>408098</v>
      </c>
      <c r="S21" s="71">
        <v>5451785</v>
      </c>
      <c r="T21" s="31"/>
    </row>
    <row r="22" spans="15:20" ht="15.75" thickBot="1" x14ac:dyDescent="0.3">
      <c r="O22" s="70">
        <v>2002</v>
      </c>
      <c r="P22" s="71">
        <v>4430500</v>
      </c>
      <c r="Q22" s="71">
        <v>834463</v>
      </c>
      <c r="R22" s="71">
        <v>358267</v>
      </c>
      <c r="S22" s="71">
        <v>5623230</v>
      </c>
      <c r="T22" s="31"/>
    </row>
    <row r="23" spans="15:20" ht="15.75" thickBot="1" x14ac:dyDescent="0.3">
      <c r="O23" s="70">
        <v>2003</v>
      </c>
      <c r="P23" s="71">
        <v>5460865</v>
      </c>
      <c r="Q23" s="71">
        <v>947611</v>
      </c>
      <c r="R23" s="71">
        <v>273745</v>
      </c>
      <c r="S23" s="71">
        <v>6682221</v>
      </c>
      <c r="T23" s="31"/>
    </row>
    <row r="24" spans="15:20" ht="15.75" thickBot="1" x14ac:dyDescent="0.3">
      <c r="O24" s="70">
        <v>2004</v>
      </c>
      <c r="P24" s="71">
        <v>5474888</v>
      </c>
      <c r="Q24" s="71">
        <v>577173</v>
      </c>
      <c r="R24" s="71">
        <v>248675</v>
      </c>
      <c r="S24" s="71">
        <v>6300736</v>
      </c>
      <c r="T24" s="31"/>
    </row>
    <row r="25" spans="15:20" ht="15.75" thickBot="1" x14ac:dyDescent="0.3">
      <c r="O25" s="70">
        <v>2005</v>
      </c>
      <c r="P25" s="71">
        <v>6303212</v>
      </c>
      <c r="Q25" s="71">
        <v>1047796</v>
      </c>
      <c r="R25" s="71">
        <v>534503</v>
      </c>
      <c r="S25" s="71">
        <v>7885511</v>
      </c>
      <c r="T25" s="31"/>
    </row>
    <row r="26" spans="15:20" ht="15.75" thickBot="1" x14ac:dyDescent="0.3">
      <c r="O26" s="70">
        <v>2006</v>
      </c>
      <c r="P26" s="71">
        <v>7163043</v>
      </c>
      <c r="Q26" s="71">
        <v>861365</v>
      </c>
      <c r="R26" s="71">
        <v>424370</v>
      </c>
      <c r="S26" s="71">
        <v>8448778</v>
      </c>
      <c r="T26" s="31"/>
    </row>
    <row r="27" spans="15:20" ht="15.75" thickBot="1" x14ac:dyDescent="0.3">
      <c r="O27" s="70">
        <v>2007</v>
      </c>
      <c r="P27" s="72">
        <v>7038874</v>
      </c>
      <c r="Q27" s="72">
        <v>879062</v>
      </c>
      <c r="R27" s="72">
        <v>359524</v>
      </c>
      <c r="S27" s="71">
        <v>8277460</v>
      </c>
      <c r="T27" s="31"/>
    </row>
    <row r="28" spans="15:20" ht="15.75" thickBot="1" x14ac:dyDescent="0.3">
      <c r="O28" s="70">
        <v>2008</v>
      </c>
      <c r="P28" s="72">
        <v>6927908</v>
      </c>
      <c r="Q28" s="72">
        <v>1318511</v>
      </c>
      <c r="R28" s="72">
        <v>436551</v>
      </c>
      <c r="S28" s="71">
        <v>8682970</v>
      </c>
      <c r="T28" s="31"/>
    </row>
    <row r="29" spans="15:20" ht="15.75" thickBot="1" x14ac:dyDescent="0.3">
      <c r="O29" s="70">
        <v>2009</v>
      </c>
      <c r="P29" s="72">
        <v>8665659</v>
      </c>
      <c r="Q29" s="72">
        <v>1152065</v>
      </c>
      <c r="R29" s="72">
        <v>275198</v>
      </c>
      <c r="S29" s="71">
        <v>10092922</v>
      </c>
      <c r="T29" s="31"/>
    </row>
    <row r="30" spans="15:20" ht="15.75" thickBot="1" x14ac:dyDescent="0.3">
      <c r="O30" s="70">
        <v>2010</v>
      </c>
      <c r="P30" s="72">
        <v>7445528</v>
      </c>
      <c r="Q30" s="72">
        <v>1271633</v>
      </c>
      <c r="R30" s="72">
        <v>435221</v>
      </c>
      <c r="S30" s="71">
        <v>9152382</v>
      </c>
      <c r="T30" s="31"/>
    </row>
    <row r="31" spans="15:20" ht="15.75" thickBot="1" x14ac:dyDescent="0.3">
      <c r="O31" s="70">
        <v>2011</v>
      </c>
      <c r="P31" s="72">
        <v>8286392</v>
      </c>
      <c r="Q31" s="72">
        <v>1180010</v>
      </c>
      <c r="R31" s="72">
        <v>997406</v>
      </c>
      <c r="S31" s="71">
        <v>10463808</v>
      </c>
      <c r="T31" s="31"/>
    </row>
    <row r="32" spans="15:20" ht="15.75" thickBot="1" x14ac:dyDescent="0.3">
      <c r="O32" s="70">
        <v>2012</v>
      </c>
      <c r="P32" s="72">
        <v>10159853</v>
      </c>
      <c r="Q32" s="72">
        <v>1716869</v>
      </c>
      <c r="R32" s="72">
        <v>676985</v>
      </c>
      <c r="S32" s="71">
        <v>12553707</v>
      </c>
      <c r="T32" s="31"/>
    </row>
    <row r="33" spans="15:19" ht="15.75" thickBot="1" x14ac:dyDescent="0.3">
      <c r="O33" s="70">
        <v>2013</v>
      </c>
      <c r="P33" s="72">
        <v>10746399.59</v>
      </c>
      <c r="Q33" s="72">
        <v>1361019.94</v>
      </c>
      <c r="R33" s="72">
        <v>713532.72</v>
      </c>
      <c r="S33" s="71">
        <v>12820952.25</v>
      </c>
    </row>
    <row r="34" spans="15:19" ht="15.75" thickBot="1" x14ac:dyDescent="0.3">
      <c r="O34" s="70">
        <v>2014</v>
      </c>
      <c r="P34" s="72">
        <v>8409649</v>
      </c>
      <c r="Q34" s="72">
        <v>1101227.26</v>
      </c>
      <c r="R34" s="72">
        <v>385395</v>
      </c>
      <c r="S34" s="71">
        <v>9896271.2599999998</v>
      </c>
    </row>
    <row r="35" spans="15:19" x14ac:dyDescent="0.25">
      <c r="O35" s="74">
        <v>2015</v>
      </c>
      <c r="P35" s="75">
        <v>10812866.810000001</v>
      </c>
      <c r="Q35" s="75">
        <v>1522542.81</v>
      </c>
      <c r="R35" s="75">
        <v>531451.97</v>
      </c>
      <c r="S35" s="76">
        <v>12866861.590000002</v>
      </c>
    </row>
    <row r="36" spans="15:19" x14ac:dyDescent="0.25">
      <c r="O36" s="74">
        <v>2016</v>
      </c>
      <c r="P36" s="75">
        <v>8524838.3000000007</v>
      </c>
      <c r="Q36" s="75">
        <v>1217747.5</v>
      </c>
      <c r="R36" s="75">
        <v>401034.54</v>
      </c>
      <c r="S36" s="76">
        <v>10143620.34</v>
      </c>
    </row>
    <row r="37" spans="15:19" x14ac:dyDescent="0.25">
      <c r="O37" s="74">
        <v>2017</v>
      </c>
      <c r="P37" s="75">
        <v>8050614.1399999997</v>
      </c>
      <c r="Q37" s="75">
        <v>1103298.02</v>
      </c>
      <c r="R37" s="75">
        <v>338145.85</v>
      </c>
      <c r="S37" s="76">
        <v>9492058.0099999998</v>
      </c>
    </row>
    <row r="38" spans="15:19" x14ac:dyDescent="0.25">
      <c r="O38" s="74">
        <v>2018</v>
      </c>
      <c r="P38" s="75">
        <v>10527819.439999999</v>
      </c>
      <c r="Q38" s="75">
        <v>1358918.94</v>
      </c>
      <c r="R38" s="75">
        <v>1012231.45</v>
      </c>
      <c r="S38" s="76">
        <v>12898969.829999998</v>
      </c>
    </row>
    <row r="39" spans="15:19" x14ac:dyDescent="0.25">
      <c r="O39" s="78">
        <v>2019</v>
      </c>
      <c r="P39" s="79">
        <v>10300475</v>
      </c>
      <c r="Q39" s="79">
        <v>1339894</v>
      </c>
      <c r="R39" s="79">
        <v>298388</v>
      </c>
      <c r="S39" s="80">
        <v>11938757</v>
      </c>
    </row>
    <row r="40" spans="15:19" x14ac:dyDescent="0.25">
      <c r="O40" s="78">
        <v>2020</v>
      </c>
      <c r="P40" s="79">
        <v>8882067</v>
      </c>
      <c r="Q40" s="79">
        <v>1219875</v>
      </c>
      <c r="R40" s="79">
        <v>235286</v>
      </c>
      <c r="S40" s="80">
        <v>10337228</v>
      </c>
    </row>
    <row r="41" spans="15:19" x14ac:dyDescent="0.25">
      <c r="O41" s="78">
        <v>2021</v>
      </c>
      <c r="P41" s="79">
        <v>10893578.529999999</v>
      </c>
      <c r="Q41" s="108">
        <v>1874779</v>
      </c>
      <c r="R41" s="79">
        <v>668928.74</v>
      </c>
      <c r="S41" s="80">
        <v>13436986</v>
      </c>
    </row>
    <row r="42" spans="15:19" x14ac:dyDescent="0.25">
      <c r="O42" s="78">
        <v>2022</v>
      </c>
      <c r="P42" s="79">
        <v>10354862</v>
      </c>
      <c r="Q42" s="79">
        <v>1905859</v>
      </c>
      <c r="R42" s="79">
        <v>182978</v>
      </c>
      <c r="S42" s="80">
        <v>12443699</v>
      </c>
    </row>
  </sheetData>
  <phoneticPr fontId="59" type="noConversion"/>
  <pageMargins left="0.7" right="0.7" top="0.75" bottom="0.75" header="0.3" footer="0.3"/>
  <pageSetup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G43"/>
  <sheetViews>
    <sheetView workbookViewId="0"/>
  </sheetViews>
  <sheetFormatPr baseColWidth="10" defaultColWidth="11.42578125" defaultRowHeight="15" x14ac:dyDescent="0.25"/>
  <sheetData>
    <row r="6" spans="4:4" ht="21" x14ac:dyDescent="0.35">
      <c r="D6" s="9" t="s">
        <v>1</v>
      </c>
    </row>
    <row r="7" spans="4:4" ht="21" x14ac:dyDescent="0.35">
      <c r="D7" s="9" t="s">
        <v>603</v>
      </c>
    </row>
    <row r="8" spans="4:4" ht="21" x14ac:dyDescent="0.35">
      <c r="D8" s="9"/>
    </row>
    <row r="11" spans="4:4" x14ac:dyDescent="0.25">
      <c r="D11" s="8" t="s">
        <v>313</v>
      </c>
    </row>
    <row r="16" spans="4:4" ht="15.75" x14ac:dyDescent="0.25">
      <c r="D16" s="6" t="s">
        <v>2</v>
      </c>
    </row>
    <row r="17" spans="4:7" ht="15.75" x14ac:dyDescent="0.25">
      <c r="D17" s="6" t="s">
        <v>3</v>
      </c>
      <c r="E17" s="31"/>
      <c r="F17" s="31"/>
      <c r="G17" s="31" t="s">
        <v>4</v>
      </c>
    </row>
    <row r="22" spans="4:7" x14ac:dyDescent="0.25">
      <c r="D22" s="8" t="s">
        <v>312</v>
      </c>
      <c r="E22" s="31"/>
      <c r="F22" s="31"/>
      <c r="G22" s="31"/>
    </row>
    <row r="23" spans="4:7" x14ac:dyDescent="0.25">
      <c r="D23" s="8" t="s">
        <v>458</v>
      </c>
      <c r="E23" s="31"/>
      <c r="F23" s="31"/>
      <c r="G23" s="31"/>
    </row>
    <row r="33" spans="1:4" x14ac:dyDescent="0.25">
      <c r="A33" s="31"/>
      <c r="B33" s="31"/>
      <c r="C33" s="31"/>
      <c r="D33" s="7" t="s">
        <v>5</v>
      </c>
    </row>
    <row r="40" spans="1:4" x14ac:dyDescent="0.25">
      <c r="A40" s="4" t="s">
        <v>6</v>
      </c>
      <c r="B40" s="31"/>
      <c r="C40" s="31"/>
      <c r="D40" s="31"/>
    </row>
    <row r="41" spans="1:4" x14ac:dyDescent="0.25">
      <c r="A41" s="4" t="s">
        <v>7</v>
      </c>
      <c r="B41" s="31"/>
      <c r="C41" s="31"/>
      <c r="D41" s="31"/>
    </row>
    <row r="42" spans="1:4" x14ac:dyDescent="0.25">
      <c r="A42" s="4" t="s">
        <v>8</v>
      </c>
      <c r="B42" s="31"/>
      <c r="C42" s="31"/>
      <c r="D42" s="31"/>
    </row>
    <row r="43" spans="1:4" x14ac:dyDescent="0.25">
      <c r="A43" s="5" t="s">
        <v>9</v>
      </c>
      <c r="B43" s="31"/>
      <c r="C43" s="31"/>
      <c r="D43" s="31"/>
    </row>
  </sheetData>
  <phoneticPr fontId="59" type="noConversion"/>
  <pageMargins left="0.70866141732283472" right="0.70866141732283472" top="0.74803149606299213" bottom="0.74803149606299213" header="0.31496062992125984" footer="0.31496062992125984"/>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1"/>
  <sheetViews>
    <sheetView zoomScale="110" zoomScaleNormal="110" workbookViewId="0">
      <selection sqref="A1:M1"/>
    </sheetView>
  </sheetViews>
  <sheetFormatPr baseColWidth="10" defaultColWidth="11.42578125" defaultRowHeight="15" x14ac:dyDescent="0.25"/>
  <cols>
    <col min="1" max="1" width="11.5703125" customWidth="1"/>
    <col min="2" max="2" width="9.7109375" customWidth="1"/>
    <col min="3" max="4" width="9.42578125" customWidth="1"/>
    <col min="5" max="5" width="8" customWidth="1"/>
    <col min="6" max="6" width="8.28515625" customWidth="1"/>
    <col min="7" max="7" width="8.7109375" customWidth="1"/>
    <col min="8" max="8" width="7.42578125" customWidth="1"/>
    <col min="9" max="9" width="7.28515625" customWidth="1"/>
    <col min="10" max="10" width="8.7109375" customWidth="1"/>
    <col min="11" max="13" width="9.7109375" bestFit="1" customWidth="1"/>
    <col min="19" max="19" width="13.42578125" bestFit="1" customWidth="1"/>
    <col min="20" max="20" width="12" bestFit="1" customWidth="1"/>
    <col min="22" max="22" width="13.42578125" bestFit="1" customWidth="1"/>
  </cols>
  <sheetData>
    <row r="1" spans="1:22" x14ac:dyDescent="0.25">
      <c r="A1" s="470" t="s">
        <v>455</v>
      </c>
      <c r="B1" s="471"/>
      <c r="C1" s="471"/>
      <c r="D1" s="471"/>
      <c r="E1" s="471"/>
      <c r="F1" s="471"/>
      <c r="G1" s="471"/>
      <c r="H1" s="471"/>
      <c r="I1" s="471"/>
      <c r="J1" s="471"/>
      <c r="K1" s="471"/>
      <c r="L1" s="471"/>
      <c r="M1" s="472"/>
      <c r="N1" s="242"/>
      <c r="O1" s="31"/>
      <c r="P1" s="31"/>
      <c r="Q1" s="31"/>
      <c r="R1" s="31"/>
      <c r="S1" s="31"/>
      <c r="T1" s="31"/>
      <c r="U1" s="31"/>
      <c r="V1" s="31"/>
    </row>
    <row r="2" spans="1:22" x14ac:dyDescent="0.25">
      <c r="A2" s="475" t="s">
        <v>204</v>
      </c>
      <c r="B2" s="478" t="s">
        <v>205</v>
      </c>
      <c r="C2" s="479"/>
      <c r="D2" s="480"/>
      <c r="E2" s="467" t="s">
        <v>206</v>
      </c>
      <c r="F2" s="468"/>
      <c r="G2" s="468"/>
      <c r="H2" s="468"/>
      <c r="I2" s="468"/>
      <c r="J2" s="469"/>
      <c r="K2" s="478" t="s">
        <v>207</v>
      </c>
      <c r="L2" s="479"/>
      <c r="M2" s="480"/>
      <c r="N2" s="242"/>
      <c r="O2" s="31"/>
      <c r="P2" s="31"/>
      <c r="Q2" s="31"/>
      <c r="R2" s="82" t="s">
        <v>208</v>
      </c>
      <c r="S2" s="82"/>
      <c r="T2" s="82"/>
      <c r="U2" s="82"/>
      <c r="V2" s="82"/>
    </row>
    <row r="3" spans="1:22" x14ac:dyDescent="0.25">
      <c r="A3" s="476"/>
      <c r="B3" s="481"/>
      <c r="C3" s="482"/>
      <c r="D3" s="483"/>
      <c r="E3" s="467" t="s">
        <v>209</v>
      </c>
      <c r="F3" s="468"/>
      <c r="G3" s="469"/>
      <c r="H3" s="467" t="s">
        <v>210</v>
      </c>
      <c r="I3" s="468"/>
      <c r="J3" s="469"/>
      <c r="K3" s="481"/>
      <c r="L3" s="482"/>
      <c r="M3" s="483"/>
      <c r="N3" s="242"/>
      <c r="O3" s="31"/>
      <c r="P3" s="31"/>
      <c r="Q3" s="31"/>
      <c r="R3" s="82"/>
      <c r="S3" s="82" t="s">
        <v>211</v>
      </c>
      <c r="T3" s="82" t="s">
        <v>212</v>
      </c>
      <c r="U3" s="82" t="s">
        <v>213</v>
      </c>
      <c r="V3" s="82" t="s">
        <v>162</v>
      </c>
    </row>
    <row r="4" spans="1:22" x14ac:dyDescent="0.25">
      <c r="A4" s="477"/>
      <c r="B4" s="294">
        <v>2019</v>
      </c>
      <c r="C4" s="294">
        <v>2020</v>
      </c>
      <c r="D4" s="175">
        <v>2021</v>
      </c>
      <c r="E4" s="294">
        <v>2019</v>
      </c>
      <c r="F4" s="294">
        <v>2020</v>
      </c>
      <c r="G4" s="175">
        <v>2021</v>
      </c>
      <c r="H4" s="294">
        <v>2019</v>
      </c>
      <c r="I4" s="294">
        <v>2020</v>
      </c>
      <c r="J4" s="175">
        <v>2021</v>
      </c>
      <c r="K4" s="294">
        <v>2019</v>
      </c>
      <c r="L4" s="294">
        <v>2020</v>
      </c>
      <c r="M4" s="175">
        <v>2021</v>
      </c>
      <c r="N4" s="31"/>
      <c r="O4" s="242"/>
      <c r="P4" s="242"/>
      <c r="Q4" s="31"/>
      <c r="R4" s="82">
        <v>1996</v>
      </c>
      <c r="S4" s="61">
        <v>135169804</v>
      </c>
      <c r="T4" s="61">
        <v>87519228</v>
      </c>
      <c r="U4" s="61">
        <v>19344140</v>
      </c>
      <c r="V4" s="61">
        <v>242033172</v>
      </c>
    </row>
    <row r="5" spans="1:22" x14ac:dyDescent="0.25">
      <c r="A5" s="134" t="s">
        <v>214</v>
      </c>
      <c r="B5" s="135"/>
      <c r="C5" s="135"/>
      <c r="D5" s="135"/>
      <c r="E5" s="135">
        <v>3.0960000000000001</v>
      </c>
      <c r="F5" s="135">
        <v>0.71699999999999997</v>
      </c>
      <c r="G5" s="135">
        <v>13.903</v>
      </c>
      <c r="H5" s="135"/>
      <c r="I5" s="135"/>
      <c r="J5" s="135"/>
      <c r="K5" s="135">
        <f t="shared" ref="K5:K16" si="0">B5+E5+H5</f>
        <v>3.0960000000000001</v>
      </c>
      <c r="L5" s="135">
        <f t="shared" ref="L5:L16" si="1">C5+F5+I5</f>
        <v>0.71699999999999997</v>
      </c>
      <c r="M5" s="135">
        <f t="shared" ref="M5:M16" si="2">D5+G5+J5</f>
        <v>13.903</v>
      </c>
      <c r="N5" s="31"/>
      <c r="O5" s="242"/>
      <c r="P5" s="242"/>
      <c r="Q5" s="31"/>
      <c r="R5" s="82">
        <v>1997</v>
      </c>
      <c r="S5" s="61">
        <v>175671044</v>
      </c>
      <c r="T5" s="61">
        <v>99355647</v>
      </c>
      <c r="U5" s="61">
        <v>26687277</v>
      </c>
      <c r="V5" s="61">
        <v>301713968</v>
      </c>
    </row>
    <row r="6" spans="1:22" s="31" customFormat="1" x14ac:dyDescent="0.25">
      <c r="A6" s="134" t="s">
        <v>215</v>
      </c>
      <c r="B6" s="135"/>
      <c r="C6" s="135"/>
      <c r="D6" s="135"/>
      <c r="E6" s="135">
        <v>5.1840000000000002</v>
      </c>
      <c r="F6" s="135">
        <v>8.3640000000000008</v>
      </c>
      <c r="G6" s="135"/>
      <c r="H6" s="135"/>
      <c r="I6" s="135"/>
      <c r="J6" s="135"/>
      <c r="K6" s="135">
        <f t="shared" si="0"/>
        <v>5.1840000000000002</v>
      </c>
      <c r="L6" s="135">
        <f t="shared" si="1"/>
        <v>8.3640000000000008</v>
      </c>
      <c r="M6" s="135">
        <f t="shared" si="2"/>
        <v>0</v>
      </c>
      <c r="O6" s="242"/>
      <c r="P6" s="242"/>
      <c r="Q6" s="96"/>
      <c r="R6" s="82">
        <v>1999</v>
      </c>
      <c r="S6" s="61">
        <v>186035029</v>
      </c>
      <c r="T6" s="61">
        <v>107976074</v>
      </c>
      <c r="U6" s="61">
        <v>33667102</v>
      </c>
      <c r="V6" s="61">
        <v>327678205</v>
      </c>
    </row>
    <row r="7" spans="1:22" s="31" customFormat="1" x14ac:dyDescent="0.25">
      <c r="A7" s="134" t="s">
        <v>216</v>
      </c>
      <c r="B7" s="135">
        <v>13.329000000000001</v>
      </c>
      <c r="C7" s="135">
        <v>2.78</v>
      </c>
      <c r="D7" s="135">
        <v>131.00800000000001</v>
      </c>
      <c r="E7" s="135">
        <v>86.064999999999998</v>
      </c>
      <c r="F7" s="135">
        <v>85.302000000000007</v>
      </c>
      <c r="G7" s="135">
        <v>79.385999999999996</v>
      </c>
      <c r="H7" s="135"/>
      <c r="I7" s="135"/>
      <c r="J7" s="135"/>
      <c r="K7" s="135">
        <f t="shared" si="0"/>
        <v>99.394000000000005</v>
      </c>
      <c r="L7" s="135">
        <f t="shared" si="1"/>
        <v>88.082000000000008</v>
      </c>
      <c r="M7" s="135">
        <f t="shared" si="2"/>
        <v>210.39400000000001</v>
      </c>
      <c r="O7" s="242"/>
      <c r="P7" s="242"/>
      <c r="Q7" s="96"/>
      <c r="R7" s="82">
        <v>2000</v>
      </c>
      <c r="S7" s="61">
        <v>355207662</v>
      </c>
      <c r="T7" s="61">
        <v>120440370</v>
      </c>
      <c r="U7" s="61">
        <v>33393302</v>
      </c>
      <c r="V7" s="61">
        <v>509041334</v>
      </c>
    </row>
    <row r="8" spans="1:22" x14ac:dyDescent="0.25">
      <c r="A8" s="136" t="s">
        <v>217</v>
      </c>
      <c r="B8" s="135">
        <v>17149.091</v>
      </c>
      <c r="C8" s="135">
        <v>13901.294</v>
      </c>
      <c r="D8" s="135">
        <v>14675.013999999999</v>
      </c>
      <c r="E8" s="135">
        <v>5065.4549999999999</v>
      </c>
      <c r="F8" s="135">
        <v>6342.3130000000001</v>
      </c>
      <c r="G8" s="135">
        <v>2370.058</v>
      </c>
      <c r="H8" s="135">
        <v>140</v>
      </c>
      <c r="I8" s="135"/>
      <c r="J8" s="135"/>
      <c r="K8" s="135">
        <f t="shared" si="0"/>
        <v>22354.546000000002</v>
      </c>
      <c r="L8" s="135">
        <f t="shared" si="1"/>
        <v>20243.607</v>
      </c>
      <c r="M8" s="135">
        <f t="shared" si="2"/>
        <v>17045.072</v>
      </c>
      <c r="N8" s="31"/>
      <c r="O8" s="242"/>
      <c r="P8" s="242"/>
      <c r="Q8" s="96"/>
      <c r="R8" s="82">
        <v>2001</v>
      </c>
      <c r="S8" s="61">
        <v>422117624</v>
      </c>
      <c r="T8" s="61">
        <v>121706615</v>
      </c>
      <c r="U8" s="61">
        <v>21364383</v>
      </c>
      <c r="V8" s="61">
        <v>565188622</v>
      </c>
    </row>
    <row r="9" spans="1:22" x14ac:dyDescent="0.25">
      <c r="A9" s="136" t="s">
        <v>218</v>
      </c>
      <c r="B9" s="135">
        <v>35298.684000000001</v>
      </c>
      <c r="C9" s="135">
        <v>40781.821000000004</v>
      </c>
      <c r="D9" s="135">
        <v>42122.012999999999</v>
      </c>
      <c r="E9" s="135">
        <v>1155.944</v>
      </c>
      <c r="F9" s="135">
        <v>2345.6750000000002</v>
      </c>
      <c r="G9" s="135">
        <v>1479.386</v>
      </c>
      <c r="H9" s="135">
        <v>8.1379999999999999</v>
      </c>
      <c r="I9" s="135">
        <v>5.2229999999999999</v>
      </c>
      <c r="J9" s="135"/>
      <c r="K9" s="135">
        <f t="shared" si="0"/>
        <v>36462.766000000003</v>
      </c>
      <c r="L9" s="135">
        <f t="shared" si="1"/>
        <v>43132.719000000005</v>
      </c>
      <c r="M9" s="135">
        <f t="shared" si="2"/>
        <v>43601.398999999998</v>
      </c>
      <c r="N9" s="31"/>
      <c r="O9" s="242"/>
      <c r="P9" s="242"/>
      <c r="Q9" s="96"/>
      <c r="R9" s="82">
        <v>2002</v>
      </c>
      <c r="S9" s="61">
        <v>459598864</v>
      </c>
      <c r="T9" s="61">
        <v>95384544</v>
      </c>
      <c r="U9" s="61">
        <v>15798762</v>
      </c>
      <c r="V9" s="61">
        <v>570782170</v>
      </c>
    </row>
    <row r="10" spans="1:22" x14ac:dyDescent="0.25">
      <c r="A10" s="136" t="s">
        <v>219</v>
      </c>
      <c r="B10" s="135">
        <v>201003.61499999999</v>
      </c>
      <c r="C10" s="135">
        <v>191623.61799999999</v>
      </c>
      <c r="D10" s="135">
        <v>191378.60800000001</v>
      </c>
      <c r="E10" s="135">
        <v>17529.550999999999</v>
      </c>
      <c r="F10" s="135">
        <v>12591.217000000001</v>
      </c>
      <c r="G10" s="135">
        <v>13793.655000000001</v>
      </c>
      <c r="H10" s="135">
        <v>11905.141</v>
      </c>
      <c r="I10" s="135">
        <v>3099.797</v>
      </c>
      <c r="J10" s="135">
        <v>3089.498</v>
      </c>
      <c r="K10" s="135">
        <f t="shared" si="0"/>
        <v>230438.307</v>
      </c>
      <c r="L10" s="135">
        <f t="shared" si="1"/>
        <v>207314.63199999998</v>
      </c>
      <c r="M10" s="135">
        <f t="shared" si="2"/>
        <v>208261.761</v>
      </c>
      <c r="N10" s="31"/>
      <c r="O10" s="242"/>
      <c r="P10" s="242"/>
      <c r="Q10" s="96"/>
      <c r="R10" s="82">
        <v>2003</v>
      </c>
      <c r="S10" s="61">
        <v>517275967</v>
      </c>
      <c r="T10" s="61">
        <v>70183358</v>
      </c>
      <c r="U10" s="61">
        <v>12671888</v>
      </c>
      <c r="V10" s="61">
        <v>600131213</v>
      </c>
    </row>
    <row r="11" spans="1:22" x14ac:dyDescent="0.25">
      <c r="A11" s="136" t="s">
        <v>220</v>
      </c>
      <c r="B11" s="135">
        <v>365484.42499999999</v>
      </c>
      <c r="C11" s="135">
        <v>317101.98599999998</v>
      </c>
      <c r="D11" s="135">
        <v>385818.43</v>
      </c>
      <c r="E11" s="135">
        <v>28887.866000000002</v>
      </c>
      <c r="F11" s="135">
        <v>33475.828000000001</v>
      </c>
      <c r="G11" s="135">
        <v>23685.636999999999</v>
      </c>
      <c r="H11" s="135">
        <v>8401.5030000000006</v>
      </c>
      <c r="I11" s="135">
        <v>8322.3860000000004</v>
      </c>
      <c r="J11" s="135">
        <v>8911.9110000000001</v>
      </c>
      <c r="K11" s="135">
        <f t="shared" si="0"/>
        <v>402773.79399999999</v>
      </c>
      <c r="L11" s="135">
        <f t="shared" si="1"/>
        <v>358900.19999999995</v>
      </c>
      <c r="M11" s="135">
        <f t="shared" si="2"/>
        <v>418415.978</v>
      </c>
      <c r="N11" s="31"/>
      <c r="O11" s="242"/>
      <c r="P11" s="242"/>
      <c r="Q11" s="96"/>
      <c r="R11" s="82">
        <v>2004</v>
      </c>
      <c r="S11" s="61">
        <v>454557377</v>
      </c>
      <c r="T11" s="61">
        <v>62161175</v>
      </c>
      <c r="U11" s="61">
        <v>9399397</v>
      </c>
      <c r="V11" s="61">
        <v>526117949</v>
      </c>
    </row>
    <row r="12" spans="1:22" x14ac:dyDescent="0.25">
      <c r="A12" s="136" t="s">
        <v>221</v>
      </c>
      <c r="B12" s="135">
        <v>475112.614</v>
      </c>
      <c r="C12" s="135">
        <v>475470.79499999998</v>
      </c>
      <c r="D12" s="135">
        <v>501447.283</v>
      </c>
      <c r="E12" s="135">
        <v>101270.89</v>
      </c>
      <c r="F12" s="135">
        <v>82720.444000000003</v>
      </c>
      <c r="G12" s="135">
        <v>82445.133000000002</v>
      </c>
      <c r="H12" s="135">
        <v>7285.7629999999999</v>
      </c>
      <c r="I12" s="135">
        <v>2289.9180000000001</v>
      </c>
      <c r="J12" s="135">
        <v>8568.5149999999994</v>
      </c>
      <c r="K12" s="135">
        <f t="shared" si="0"/>
        <v>583669.26699999999</v>
      </c>
      <c r="L12" s="135">
        <f t="shared" si="1"/>
        <v>560481.15699999989</v>
      </c>
      <c r="M12" s="135">
        <f t="shared" si="2"/>
        <v>592460.93099999998</v>
      </c>
      <c r="N12" s="31"/>
      <c r="O12" s="242"/>
      <c r="P12" s="242"/>
      <c r="Q12" s="96"/>
      <c r="R12" s="82">
        <v>2005</v>
      </c>
      <c r="S12" s="61">
        <v>528219123</v>
      </c>
      <c r="T12" s="61">
        <v>90100557</v>
      </c>
      <c r="U12" s="61">
        <v>31587725</v>
      </c>
      <c r="V12" s="61">
        <v>649907405</v>
      </c>
    </row>
    <row r="13" spans="1:22" s="31" customFormat="1" x14ac:dyDescent="0.25">
      <c r="A13" s="136" t="s">
        <v>222</v>
      </c>
      <c r="B13" s="135">
        <v>7826.3190000000004</v>
      </c>
      <c r="C13" s="135">
        <v>2906.3739999999998</v>
      </c>
      <c r="D13" s="135">
        <v>2284.864</v>
      </c>
      <c r="E13" s="135">
        <v>12116.748</v>
      </c>
      <c r="F13" s="135">
        <v>7233.1549999999997</v>
      </c>
      <c r="G13" s="135">
        <v>4770.3969999999999</v>
      </c>
      <c r="H13" s="135">
        <v>17</v>
      </c>
      <c r="I13" s="135"/>
      <c r="J13" s="135"/>
      <c r="K13" s="135">
        <f t="shared" si="0"/>
        <v>19960.066999999999</v>
      </c>
      <c r="L13" s="135">
        <f t="shared" si="1"/>
        <v>10139.528999999999</v>
      </c>
      <c r="M13" s="135">
        <f t="shared" si="2"/>
        <v>7055.2610000000004</v>
      </c>
      <c r="O13" s="242"/>
      <c r="P13" s="242"/>
      <c r="Q13" s="96"/>
      <c r="R13" s="82">
        <v>2007</v>
      </c>
      <c r="S13" s="61">
        <v>645935956</v>
      </c>
      <c r="T13" s="61">
        <v>93428473</v>
      </c>
      <c r="U13" s="61">
        <v>8710391</v>
      </c>
      <c r="V13" s="61">
        <v>748074820</v>
      </c>
    </row>
    <row r="14" spans="1:22" x14ac:dyDescent="0.25">
      <c r="A14" s="136" t="s">
        <v>223</v>
      </c>
      <c r="B14" s="135">
        <v>150.91200000000001</v>
      </c>
      <c r="C14" s="135">
        <v>219.501</v>
      </c>
      <c r="D14" s="135">
        <v>270.37599999999998</v>
      </c>
      <c r="E14" s="135">
        <v>127.313</v>
      </c>
      <c r="F14" s="135">
        <v>82.709000000000003</v>
      </c>
      <c r="G14" s="135">
        <v>90.637</v>
      </c>
      <c r="H14" s="135"/>
      <c r="I14" s="135">
        <v>3.0750000000000002</v>
      </c>
      <c r="J14" s="135"/>
      <c r="K14" s="135">
        <f t="shared" si="0"/>
        <v>278.22500000000002</v>
      </c>
      <c r="L14" s="135">
        <f t="shared" si="1"/>
        <v>305.28500000000003</v>
      </c>
      <c r="M14" s="135">
        <f t="shared" si="2"/>
        <v>361.01299999999998</v>
      </c>
      <c r="N14" s="31"/>
      <c r="O14" s="242"/>
      <c r="P14" s="242"/>
      <c r="Q14" s="96"/>
      <c r="R14" s="82">
        <v>2008</v>
      </c>
      <c r="S14" s="61">
        <v>669596858</v>
      </c>
      <c r="T14" s="61">
        <v>125498308</v>
      </c>
      <c r="U14" s="61">
        <v>13688181</v>
      </c>
      <c r="V14" s="61">
        <v>808783347</v>
      </c>
    </row>
    <row r="15" spans="1:22" x14ac:dyDescent="0.25">
      <c r="A15" s="136" t="s">
        <v>224</v>
      </c>
      <c r="B15" s="135">
        <v>7.1180000000000003</v>
      </c>
      <c r="C15" s="135">
        <v>22.393999999999998</v>
      </c>
      <c r="D15" s="135">
        <v>26.754999999999999</v>
      </c>
      <c r="E15" s="135"/>
      <c r="F15" s="135">
        <v>1.992</v>
      </c>
      <c r="G15" s="135">
        <v>0</v>
      </c>
      <c r="H15" s="135"/>
      <c r="I15" s="135"/>
      <c r="J15" s="135"/>
      <c r="K15" s="135">
        <f t="shared" si="0"/>
        <v>7.1180000000000003</v>
      </c>
      <c r="L15" s="135">
        <f t="shared" si="1"/>
        <v>24.385999999999999</v>
      </c>
      <c r="M15" s="135">
        <f t="shared" si="2"/>
        <v>26.754999999999999</v>
      </c>
      <c r="N15" s="31"/>
      <c r="O15" s="242"/>
      <c r="P15" s="242"/>
      <c r="Q15" s="96"/>
      <c r="R15" s="82">
        <v>2010</v>
      </c>
      <c r="S15" s="61">
        <v>602142263</v>
      </c>
      <c r="T15" s="61">
        <v>75437320</v>
      </c>
      <c r="U15" s="61">
        <v>23542006</v>
      </c>
      <c r="V15" s="61">
        <v>701121589</v>
      </c>
    </row>
    <row r="16" spans="1:22" x14ac:dyDescent="0.25">
      <c r="A16" s="136" t="s">
        <v>225</v>
      </c>
      <c r="B16" s="135">
        <v>95.055000000000007</v>
      </c>
      <c r="C16" s="135">
        <v>140.34100000000001</v>
      </c>
      <c r="D16" s="135">
        <v>0</v>
      </c>
      <c r="E16" s="135">
        <v>6.3949999999999996</v>
      </c>
      <c r="F16" s="135">
        <v>7.5449999999999999</v>
      </c>
      <c r="G16" s="135">
        <v>0.7</v>
      </c>
      <c r="H16" s="135"/>
      <c r="I16" s="135"/>
      <c r="J16" s="135"/>
      <c r="K16" s="135">
        <f t="shared" si="0"/>
        <v>101.45</v>
      </c>
      <c r="L16" s="135">
        <f t="shared" si="1"/>
        <v>147.886</v>
      </c>
      <c r="M16" s="135">
        <f t="shared" si="2"/>
        <v>0.7</v>
      </c>
      <c r="N16" s="31"/>
      <c r="O16" s="242"/>
      <c r="P16" s="242"/>
      <c r="Q16" s="96"/>
      <c r="R16" s="82">
        <v>2011</v>
      </c>
      <c r="S16" s="61">
        <v>681916797</v>
      </c>
      <c r="T16" s="61">
        <v>94052153</v>
      </c>
      <c r="U16" s="61">
        <v>40696383</v>
      </c>
      <c r="V16" s="61">
        <v>816665333</v>
      </c>
    </row>
    <row r="17" spans="1:22" x14ac:dyDescent="0.25">
      <c r="A17" s="136" t="s">
        <v>162</v>
      </c>
      <c r="B17" s="114">
        <f>SUM(B5:B16)</f>
        <v>1102141.1619999998</v>
      </c>
      <c r="C17" s="114">
        <f>SUM(C5:C16)</f>
        <v>1042170.904</v>
      </c>
      <c r="D17" s="114">
        <f>SUM(D5:D16)</f>
        <v>1138154.3509999998</v>
      </c>
      <c r="E17" s="114">
        <f>SUM(E5:E16)</f>
        <v>166254.50699999998</v>
      </c>
      <c r="F17" s="114">
        <f>SUM(F5:F16)</f>
        <v>144895.261</v>
      </c>
      <c r="G17" s="114">
        <v>128728.89200000001</v>
      </c>
      <c r="H17" s="114">
        <f t="shared" ref="H17:I17" si="3">SUM(H5:H16)</f>
        <v>27757.544999999998</v>
      </c>
      <c r="I17" s="114">
        <f t="shared" si="3"/>
        <v>13720.399000000001</v>
      </c>
      <c r="J17" s="295">
        <f t="shared" ref="J17" si="4">SUM(J5:J16)</f>
        <v>20569.923999999999</v>
      </c>
      <c r="K17" s="114">
        <f>SUM(K5:K16)</f>
        <v>1296153.2140000002</v>
      </c>
      <c r="L17" s="114">
        <f>SUM(L5:L16)</f>
        <v>1200786.5639999998</v>
      </c>
      <c r="M17" s="114">
        <f>SUM(M5:M16)</f>
        <v>1287453.1669999999</v>
      </c>
      <c r="N17" s="96"/>
      <c r="O17" s="242"/>
      <c r="P17" s="242"/>
      <c r="Q17" s="96"/>
      <c r="R17" s="82">
        <v>2012</v>
      </c>
      <c r="S17" s="61">
        <v>881764871</v>
      </c>
      <c r="T17" s="61">
        <v>114940176</v>
      </c>
      <c r="U17" s="61">
        <v>45930007</v>
      </c>
      <c r="V17" s="61">
        <v>1042635054</v>
      </c>
    </row>
    <row r="18" spans="1:22" x14ac:dyDescent="0.25">
      <c r="A18" s="473" t="s">
        <v>226</v>
      </c>
      <c r="B18" s="474"/>
      <c r="C18" s="474"/>
      <c r="D18" s="474"/>
      <c r="E18" s="474"/>
      <c r="F18" s="474"/>
      <c r="G18" s="474"/>
      <c r="H18" s="474"/>
      <c r="I18" s="474"/>
      <c r="J18" s="474"/>
      <c r="K18" s="474"/>
      <c r="L18" s="474"/>
      <c r="M18" s="474"/>
      <c r="N18" s="100"/>
      <c r="O18" s="242"/>
      <c r="P18" s="242"/>
      <c r="Q18" s="31"/>
      <c r="R18" s="82">
        <v>2013</v>
      </c>
      <c r="S18" s="61">
        <v>1031461850</v>
      </c>
      <c r="T18" s="61">
        <v>129767391</v>
      </c>
      <c r="U18" s="61">
        <v>20783176</v>
      </c>
      <c r="V18" s="61">
        <v>1182012417</v>
      </c>
    </row>
    <row r="19" spans="1:22" x14ac:dyDescent="0.25">
      <c r="A19" s="474" t="s">
        <v>227</v>
      </c>
      <c r="B19" s="474"/>
      <c r="C19" s="474"/>
      <c r="D19" s="474"/>
      <c r="E19" s="474"/>
      <c r="F19" s="474"/>
      <c r="G19" s="474"/>
      <c r="H19" s="474"/>
      <c r="I19" s="474"/>
      <c r="J19" s="474"/>
      <c r="K19" s="474"/>
      <c r="L19" s="474"/>
      <c r="M19" s="474"/>
      <c r="N19" s="100"/>
      <c r="O19" s="242"/>
      <c r="P19" s="242"/>
      <c r="Q19" s="31"/>
      <c r="R19" s="82">
        <v>2014</v>
      </c>
      <c r="S19" s="61">
        <v>909784707</v>
      </c>
      <c r="T19" s="61">
        <v>120607285</v>
      </c>
      <c r="U19" s="61">
        <v>29649575</v>
      </c>
      <c r="V19" s="61">
        <v>1060041567</v>
      </c>
    </row>
    <row r="20" spans="1:22" ht="3" customHeight="1" x14ac:dyDescent="0.25">
      <c r="A20" s="82"/>
      <c r="B20" s="82"/>
      <c r="C20" s="82"/>
      <c r="D20" s="82"/>
      <c r="E20" s="82"/>
      <c r="F20" s="82"/>
      <c r="G20" s="82"/>
      <c r="H20" s="82"/>
      <c r="I20" s="82"/>
      <c r="J20" s="82"/>
      <c r="K20" s="82"/>
      <c r="L20" s="82"/>
      <c r="M20" s="99"/>
      <c r="N20" s="100"/>
      <c r="O20" s="31"/>
      <c r="P20" s="31"/>
      <c r="Q20" s="31"/>
      <c r="R20" s="82">
        <v>2015</v>
      </c>
      <c r="S20" s="61">
        <v>1050473041</v>
      </c>
      <c r="T20" s="61">
        <v>145294410</v>
      </c>
      <c r="U20" s="61">
        <v>42291177</v>
      </c>
      <c r="V20" s="61">
        <v>1238058628</v>
      </c>
    </row>
    <row r="21" spans="1:22" x14ac:dyDescent="0.25">
      <c r="A21" s="82"/>
      <c r="B21" s="82"/>
      <c r="C21" s="82"/>
      <c r="D21" s="93"/>
      <c r="E21" s="490" t="s">
        <v>228</v>
      </c>
      <c r="F21" s="490"/>
      <c r="G21" s="490"/>
      <c r="H21" s="490"/>
      <c r="I21" s="490"/>
      <c r="J21" s="490"/>
      <c r="K21" s="296">
        <v>2444.578</v>
      </c>
      <c r="L21" s="296">
        <v>2754.8510000000001</v>
      </c>
      <c r="M21" s="296">
        <v>4034.277</v>
      </c>
      <c r="N21" s="100"/>
      <c r="O21" s="31"/>
      <c r="P21" s="31"/>
      <c r="Q21" s="31"/>
      <c r="R21" s="82">
        <v>2016</v>
      </c>
      <c r="S21" s="61">
        <v>957630543</v>
      </c>
      <c r="T21" s="61">
        <v>153155678</v>
      </c>
      <c r="U21" s="61">
        <v>20489291</v>
      </c>
      <c r="V21" s="61">
        <v>1131275512</v>
      </c>
    </row>
    <row r="22" spans="1:22" x14ac:dyDescent="0.25">
      <c r="A22" s="13"/>
      <c r="B22" s="13"/>
      <c r="C22" s="13"/>
      <c r="D22" s="13"/>
      <c r="E22" s="13"/>
      <c r="F22" s="13"/>
      <c r="G22" s="13"/>
      <c r="H22" s="13"/>
      <c r="I22" s="13"/>
      <c r="J22" s="13"/>
      <c r="K22" s="13"/>
      <c r="L22" s="13"/>
      <c r="M22" s="13"/>
      <c r="N22" s="31"/>
      <c r="O22" s="31"/>
      <c r="P22" s="31"/>
      <c r="Q22" s="31"/>
      <c r="R22" s="82">
        <v>2017</v>
      </c>
      <c r="S22" s="82">
        <v>870555453</v>
      </c>
      <c r="T22" s="82">
        <v>113958000</v>
      </c>
      <c r="U22" s="82">
        <v>31442154</v>
      </c>
      <c r="V22" s="60">
        <v>1015955607</v>
      </c>
    </row>
    <row r="23" spans="1:22" s="31" customFormat="1" x14ac:dyDescent="0.25">
      <c r="A23" s="13"/>
      <c r="B23" s="13"/>
      <c r="C23" s="13"/>
      <c r="D23" s="13"/>
      <c r="E23" s="13"/>
      <c r="F23" s="13"/>
      <c r="G23" s="13"/>
      <c r="H23" s="13"/>
      <c r="I23" s="13"/>
      <c r="J23" s="13"/>
      <c r="K23" s="13"/>
      <c r="L23" s="13"/>
      <c r="M23" s="13"/>
      <c r="R23" s="82">
        <v>2018</v>
      </c>
      <c r="S23" s="62">
        <v>1040338369</v>
      </c>
      <c r="T23" s="62">
        <v>160562174</v>
      </c>
      <c r="U23" s="62">
        <v>65811070</v>
      </c>
      <c r="V23" s="60">
        <v>1266711613</v>
      </c>
    </row>
    <row r="24" spans="1:22" s="31" customFormat="1" x14ac:dyDescent="0.25">
      <c r="A24" s="13"/>
      <c r="B24" s="13"/>
      <c r="C24" s="13"/>
      <c r="D24" s="13"/>
      <c r="E24" s="13"/>
      <c r="F24" s="13"/>
      <c r="G24" s="13"/>
      <c r="H24" s="13"/>
      <c r="I24" s="13"/>
      <c r="J24" s="13"/>
      <c r="K24" s="13"/>
      <c r="L24" s="13"/>
      <c r="M24" s="13"/>
      <c r="R24" s="97">
        <v>2019</v>
      </c>
      <c r="S24" s="98">
        <v>1102141162</v>
      </c>
      <c r="T24" s="98">
        <v>166254507</v>
      </c>
      <c r="U24" s="98">
        <v>27757545</v>
      </c>
      <c r="V24" s="30">
        <f>U24+S24+T24</f>
        <v>1296153214</v>
      </c>
    </row>
    <row r="25" spans="1:22" s="31" customFormat="1" x14ac:dyDescent="0.25">
      <c r="A25" s="13"/>
      <c r="B25" s="13"/>
      <c r="C25" s="13"/>
      <c r="D25" s="13"/>
      <c r="E25" s="13"/>
      <c r="F25" s="13"/>
      <c r="G25" s="13"/>
      <c r="H25" s="13"/>
      <c r="I25" s="13"/>
      <c r="J25" s="13"/>
      <c r="K25" s="13"/>
      <c r="L25" s="13"/>
      <c r="M25" s="13"/>
      <c r="R25" s="97">
        <v>2020</v>
      </c>
      <c r="S25" s="98">
        <v>1042170904</v>
      </c>
      <c r="T25" s="98">
        <v>144895261</v>
      </c>
      <c r="U25" s="98">
        <v>13720399</v>
      </c>
      <c r="V25" s="30">
        <f>S25+T25+U25</f>
        <v>1200786564</v>
      </c>
    </row>
    <row r="26" spans="1:22" s="31" customFormat="1" x14ac:dyDescent="0.25">
      <c r="A26" s="13"/>
      <c r="B26" s="13"/>
      <c r="C26" s="13"/>
      <c r="D26" s="13"/>
      <c r="E26" s="13"/>
      <c r="F26" s="13"/>
      <c r="G26" s="13"/>
      <c r="H26" s="13"/>
      <c r="I26" s="13"/>
      <c r="J26" s="13"/>
      <c r="K26" s="13"/>
      <c r="L26" s="13"/>
      <c r="M26" s="13"/>
      <c r="R26" s="97">
        <v>2021</v>
      </c>
      <c r="S26" s="61">
        <v>1138154351</v>
      </c>
      <c r="T26" s="61">
        <v>128728892</v>
      </c>
      <c r="U26" s="61">
        <v>20569924</v>
      </c>
      <c r="V26" s="243">
        <f>S26+T26+U26</f>
        <v>1287453167</v>
      </c>
    </row>
    <row r="27" spans="1:22" s="31" customFormat="1" x14ac:dyDescent="0.25">
      <c r="A27" s="13"/>
      <c r="B27" s="13"/>
      <c r="C27" s="13"/>
      <c r="D27" s="13"/>
      <c r="E27" s="13"/>
      <c r="F27" s="13"/>
      <c r="G27" s="13"/>
      <c r="H27" s="13"/>
      <c r="I27" s="13"/>
      <c r="J27" s="13"/>
      <c r="K27" s="13"/>
      <c r="L27" s="13"/>
      <c r="M27" s="13"/>
    </row>
    <row r="28" spans="1:22" s="31" customFormat="1" x14ac:dyDescent="0.25">
      <c r="A28" s="13"/>
      <c r="B28" s="13"/>
      <c r="C28" s="13"/>
      <c r="D28" s="13"/>
      <c r="E28" s="13"/>
      <c r="F28" s="13"/>
      <c r="G28" s="13"/>
      <c r="H28" s="13"/>
      <c r="I28" s="13"/>
      <c r="J28" s="13"/>
      <c r="K28" s="13"/>
      <c r="L28" s="13"/>
      <c r="M28" s="13"/>
    </row>
    <row r="29" spans="1:22" s="31" customFormat="1" x14ac:dyDescent="0.25">
      <c r="A29" s="13"/>
      <c r="B29" s="13"/>
      <c r="C29" s="13"/>
      <c r="D29" s="13"/>
      <c r="E29" s="13"/>
      <c r="F29" s="13"/>
      <c r="G29" s="13"/>
      <c r="H29" s="13"/>
      <c r="I29" s="13"/>
      <c r="J29" s="13"/>
      <c r="K29" s="13"/>
      <c r="L29" s="13"/>
      <c r="M29" s="13"/>
      <c r="R29" s="82"/>
      <c r="S29" s="61"/>
      <c r="T29" s="61"/>
      <c r="U29" s="61"/>
      <c r="V29" s="61"/>
    </row>
    <row r="30" spans="1:22" s="31" customFormat="1" x14ac:dyDescent="0.25">
      <c r="A30" s="13"/>
      <c r="B30" s="13"/>
      <c r="C30" s="13"/>
      <c r="D30" s="13"/>
      <c r="E30" s="13"/>
      <c r="F30" s="13"/>
      <c r="G30" s="13"/>
      <c r="H30" s="13"/>
      <c r="I30" s="13"/>
      <c r="J30" s="13"/>
      <c r="K30" s="13"/>
      <c r="L30" s="13"/>
      <c r="M30" s="13"/>
      <c r="R30" s="82"/>
      <c r="S30" s="61"/>
      <c r="T30" s="61"/>
      <c r="U30" s="61"/>
      <c r="V30" s="61"/>
    </row>
    <row r="31" spans="1:22" s="31" customFormat="1" x14ac:dyDescent="0.25">
      <c r="A31" s="13"/>
      <c r="B31" s="13"/>
      <c r="C31" s="13"/>
      <c r="D31" s="13"/>
      <c r="E31" s="13"/>
      <c r="F31" s="13"/>
      <c r="G31" s="13"/>
      <c r="H31" s="13"/>
      <c r="I31" s="13"/>
      <c r="J31" s="13"/>
      <c r="K31" s="13"/>
      <c r="L31" s="13"/>
      <c r="M31" s="13"/>
      <c r="R31" s="82"/>
      <c r="S31" s="61"/>
      <c r="T31" s="61"/>
      <c r="U31" s="61"/>
      <c r="V31" s="61"/>
    </row>
    <row r="32" spans="1:22" s="31" customFormat="1" x14ac:dyDescent="0.25">
      <c r="A32" s="13"/>
      <c r="B32" s="13"/>
      <c r="C32" s="13"/>
      <c r="D32" s="13"/>
      <c r="E32" s="13"/>
      <c r="F32" s="13"/>
      <c r="G32" s="13"/>
      <c r="H32" s="13"/>
      <c r="I32" s="13"/>
      <c r="J32" s="13"/>
      <c r="K32" s="13"/>
      <c r="L32" s="13"/>
      <c r="M32" s="13"/>
      <c r="R32" s="82"/>
      <c r="S32" s="61"/>
      <c r="T32" s="61"/>
      <c r="U32" s="61"/>
      <c r="V32" s="61"/>
    </row>
    <row r="33" spans="1:22" s="31" customFormat="1" x14ac:dyDescent="0.25">
      <c r="A33" s="13"/>
      <c r="B33" s="13"/>
      <c r="C33" s="13"/>
      <c r="D33" s="13"/>
      <c r="E33" s="13"/>
      <c r="F33" s="13"/>
      <c r="G33" s="13"/>
      <c r="H33" s="13"/>
      <c r="I33" s="13"/>
      <c r="J33" s="13"/>
      <c r="K33" s="13"/>
      <c r="L33" s="13"/>
      <c r="M33" s="13"/>
      <c r="R33" s="82"/>
      <c r="S33" s="61"/>
      <c r="T33" s="61"/>
      <c r="U33" s="61"/>
      <c r="V33" s="61"/>
    </row>
    <row r="34" spans="1:22" s="31" customFormat="1" x14ac:dyDescent="0.25">
      <c r="A34" s="13"/>
      <c r="B34" s="13"/>
      <c r="C34" s="13"/>
      <c r="D34" s="13"/>
      <c r="E34" s="13"/>
      <c r="F34" s="13"/>
      <c r="G34" s="13"/>
      <c r="H34" s="13"/>
      <c r="I34" s="13"/>
      <c r="J34" s="13"/>
      <c r="K34" s="13"/>
      <c r="L34" s="13"/>
      <c r="M34" s="13"/>
      <c r="R34" s="82"/>
      <c r="S34" s="61"/>
      <c r="T34" s="61"/>
      <c r="U34" s="61"/>
      <c r="V34" s="61"/>
    </row>
    <row r="35" spans="1:22" s="31" customFormat="1" x14ac:dyDescent="0.25">
      <c r="A35" s="13"/>
      <c r="B35" s="13"/>
      <c r="C35" s="13"/>
      <c r="D35" s="13"/>
      <c r="E35" s="13"/>
      <c r="F35" s="13"/>
      <c r="G35" s="13"/>
      <c r="H35" s="13"/>
      <c r="I35" s="13"/>
      <c r="J35" s="13"/>
      <c r="K35" s="13"/>
      <c r="L35" s="13"/>
      <c r="M35" s="13"/>
      <c r="R35" s="82"/>
      <c r="S35" s="61"/>
      <c r="T35" s="61"/>
      <c r="U35" s="61"/>
      <c r="V35" s="61"/>
    </row>
    <row r="36" spans="1:22" x14ac:dyDescent="0.25">
      <c r="A36" s="82"/>
      <c r="B36" s="82"/>
      <c r="C36" s="82"/>
      <c r="D36" s="82"/>
      <c r="E36" s="82"/>
      <c r="F36" s="82"/>
      <c r="G36" s="82"/>
      <c r="H36" s="82"/>
      <c r="I36" s="82"/>
      <c r="J36" s="82"/>
      <c r="K36" s="82"/>
      <c r="L36" s="82"/>
      <c r="M36" s="31"/>
      <c r="N36" s="31"/>
      <c r="O36" s="31"/>
      <c r="P36" s="31"/>
      <c r="Q36" s="31"/>
      <c r="R36" s="31"/>
      <c r="S36" s="31"/>
      <c r="T36" s="31"/>
      <c r="U36" s="31"/>
      <c r="V36" s="31"/>
    </row>
    <row r="37" spans="1:22" x14ac:dyDescent="0.25">
      <c r="A37" s="487" t="s">
        <v>456</v>
      </c>
      <c r="B37" s="488"/>
      <c r="C37" s="488"/>
      <c r="D37" s="488"/>
      <c r="E37" s="488"/>
      <c r="F37" s="488"/>
      <c r="G37" s="488"/>
      <c r="H37" s="488"/>
      <c r="I37" s="488"/>
      <c r="J37" s="488"/>
      <c r="K37" s="488"/>
      <c r="L37" s="489"/>
      <c r="M37" s="31"/>
      <c r="N37" s="31"/>
      <c r="O37" s="31"/>
      <c r="P37" s="31"/>
      <c r="Q37" s="31"/>
      <c r="R37" s="31"/>
      <c r="S37" s="31"/>
      <c r="T37" s="31"/>
      <c r="U37" s="31"/>
      <c r="V37" s="31"/>
    </row>
    <row r="38" spans="1:22" x14ac:dyDescent="0.25">
      <c r="A38" s="491" t="s">
        <v>229</v>
      </c>
      <c r="B38" s="492">
        <v>2018</v>
      </c>
      <c r="C38" s="493"/>
      <c r="D38" s="492">
        <v>2019</v>
      </c>
      <c r="E38" s="494"/>
      <c r="F38" s="493"/>
      <c r="G38" s="492">
        <v>2020</v>
      </c>
      <c r="H38" s="494"/>
      <c r="I38" s="493"/>
      <c r="J38" s="492">
        <v>2021</v>
      </c>
      <c r="K38" s="494"/>
      <c r="L38" s="493"/>
      <c r="M38" s="31"/>
      <c r="N38" s="31"/>
      <c r="O38" s="31"/>
      <c r="P38" s="31"/>
      <c r="Q38" s="31"/>
      <c r="R38" s="31"/>
      <c r="S38" s="31"/>
      <c r="T38" s="31"/>
      <c r="U38" s="31"/>
      <c r="V38" s="31"/>
    </row>
    <row r="39" spans="1:22" ht="26.25" x14ac:dyDescent="0.25">
      <c r="A39" s="481"/>
      <c r="B39" s="104" t="s">
        <v>230</v>
      </c>
      <c r="C39" s="59" t="s">
        <v>231</v>
      </c>
      <c r="D39" s="104" t="s">
        <v>230</v>
      </c>
      <c r="E39" s="59" t="s">
        <v>231</v>
      </c>
      <c r="F39" s="59" t="s">
        <v>232</v>
      </c>
      <c r="G39" s="104" t="s">
        <v>230</v>
      </c>
      <c r="H39" s="59" t="s">
        <v>231</v>
      </c>
      <c r="I39" s="59" t="s">
        <v>232</v>
      </c>
      <c r="J39" s="104" t="s">
        <v>230</v>
      </c>
      <c r="K39" s="59" t="s">
        <v>231</v>
      </c>
      <c r="L39" s="59" t="s">
        <v>232</v>
      </c>
      <c r="M39" s="31"/>
      <c r="N39" s="31"/>
      <c r="O39" s="31"/>
      <c r="P39" s="31"/>
      <c r="Q39" s="31"/>
      <c r="R39" s="31"/>
      <c r="S39" s="31"/>
      <c r="T39" s="31"/>
      <c r="U39" s="31"/>
      <c r="V39" s="31"/>
    </row>
    <row r="40" spans="1:22" x14ac:dyDescent="0.25">
      <c r="A40" s="105" t="s">
        <v>128</v>
      </c>
      <c r="B40" s="137">
        <v>384458.02600000001</v>
      </c>
      <c r="C40" s="138">
        <f t="shared" ref="C40:C50" si="5">B40/(SUM($D$40:$D$49))</f>
        <v>0.34882829827564321</v>
      </c>
      <c r="D40" s="137">
        <v>406059.21799999999</v>
      </c>
      <c r="E40" s="138">
        <f t="shared" ref="E40:E50" si="6">D40/(SUM($D$40:$D$49))</f>
        <v>0.36842759530289643</v>
      </c>
      <c r="F40" s="138">
        <f t="shared" ref="F40:F50" si="7">D40/B40-1</f>
        <v>5.6186086748517994E-2</v>
      </c>
      <c r="G40" s="137">
        <v>400824.92099999997</v>
      </c>
      <c r="H40" s="138">
        <f t="shared" ref="H40:H50" si="8">G40/SUM($G$40:$G$49)</f>
        <v>0.38460574888588522</v>
      </c>
      <c r="I40" s="138">
        <f t="shared" ref="I40:I50" si="9">G40/D40-1</f>
        <v>-1.289047697471557E-2</v>
      </c>
      <c r="J40" s="137">
        <v>417155.31800000003</v>
      </c>
      <c r="K40" s="138">
        <f>J40/SUM($J$40:$J$49)</f>
        <v>0.36651910844384233</v>
      </c>
      <c r="L40" s="138">
        <f t="shared" ref="L40:L50" si="10">J40/G40-1</f>
        <v>4.0741970232933911E-2</v>
      </c>
      <c r="M40" s="31"/>
      <c r="N40" s="31"/>
      <c r="O40" s="31"/>
      <c r="P40" s="31"/>
      <c r="Q40" s="31"/>
      <c r="R40" s="31"/>
      <c r="S40" s="31"/>
      <c r="T40" s="31"/>
      <c r="U40" s="31"/>
      <c r="V40" s="31"/>
    </row>
    <row r="41" spans="1:22" x14ac:dyDescent="0.25">
      <c r="A41" s="106" t="s">
        <v>131</v>
      </c>
      <c r="B41" s="137">
        <v>122968.106</v>
      </c>
      <c r="C41" s="138">
        <f t="shared" si="5"/>
        <v>0.11157201113590202</v>
      </c>
      <c r="D41" s="137">
        <v>133548.16699999999</v>
      </c>
      <c r="E41" s="138">
        <f t="shared" si="6"/>
        <v>0.12117156277663821</v>
      </c>
      <c r="F41" s="138">
        <f t="shared" si="7"/>
        <v>8.6039066097350458E-2</v>
      </c>
      <c r="G41" s="137">
        <v>133266.44699999999</v>
      </c>
      <c r="H41" s="138">
        <f t="shared" si="8"/>
        <v>0.12787388948252579</v>
      </c>
      <c r="I41" s="138">
        <f t="shared" si="9"/>
        <v>-2.1095010611414944E-3</v>
      </c>
      <c r="J41" s="137">
        <v>148612.53099999999</v>
      </c>
      <c r="K41" s="138">
        <f t="shared" ref="K41:K50" si="11">J41/SUM($J$40:$J$49)</f>
        <v>0.13057326615623507</v>
      </c>
      <c r="L41" s="138">
        <f t="shared" si="10"/>
        <v>0.11515339641342726</v>
      </c>
      <c r="M41" s="31"/>
      <c r="N41" s="31"/>
      <c r="O41" s="31"/>
      <c r="P41" s="31"/>
      <c r="Q41" s="31"/>
      <c r="R41" s="31"/>
      <c r="S41" s="31"/>
      <c r="T41" s="31"/>
      <c r="U41" s="31"/>
      <c r="V41" s="31"/>
    </row>
    <row r="42" spans="1:22" x14ac:dyDescent="0.25">
      <c r="A42" s="106" t="s">
        <v>129</v>
      </c>
      <c r="B42" s="137">
        <v>97025.343999999997</v>
      </c>
      <c r="C42" s="138">
        <f t="shared" si="5"/>
        <v>8.8033500013676103E-2</v>
      </c>
      <c r="D42" s="137">
        <v>105684.11199999999</v>
      </c>
      <c r="E42" s="138">
        <f t="shared" si="6"/>
        <v>9.5889814883803423E-2</v>
      </c>
      <c r="F42" s="138">
        <f t="shared" si="7"/>
        <v>8.9242332395131685E-2</v>
      </c>
      <c r="G42" s="137">
        <v>110727.07799999999</v>
      </c>
      <c r="H42" s="138">
        <f t="shared" si="8"/>
        <v>0.10624656433509488</v>
      </c>
      <c r="I42" s="138">
        <f t="shared" si="9"/>
        <v>4.7717352254424084E-2</v>
      </c>
      <c r="J42" s="137">
        <v>119644.412</v>
      </c>
      <c r="K42" s="138">
        <f t="shared" si="11"/>
        <v>0.10512142917599758</v>
      </c>
      <c r="L42" s="138">
        <f t="shared" si="10"/>
        <v>8.0534356736118307E-2</v>
      </c>
      <c r="M42" s="31"/>
      <c r="N42" s="31"/>
      <c r="O42" s="31"/>
      <c r="P42" s="31"/>
      <c r="Q42" s="31"/>
      <c r="R42" s="31"/>
      <c r="S42" s="31"/>
      <c r="T42" s="31"/>
      <c r="U42" s="31"/>
      <c r="V42" s="31"/>
    </row>
    <row r="43" spans="1:22" x14ac:dyDescent="0.25">
      <c r="A43" s="106" t="s">
        <v>133</v>
      </c>
      <c r="B43" s="137">
        <v>83393.093999999997</v>
      </c>
      <c r="C43" s="138">
        <f t="shared" si="5"/>
        <v>7.566462162493845E-2</v>
      </c>
      <c r="D43" s="137">
        <v>84547.788</v>
      </c>
      <c r="E43" s="138">
        <f t="shared" si="6"/>
        <v>7.6712304117718816E-2</v>
      </c>
      <c r="F43" s="138">
        <f t="shared" si="7"/>
        <v>1.3846398360036982E-2</v>
      </c>
      <c r="G43" s="137">
        <v>74417.510999999999</v>
      </c>
      <c r="H43" s="138">
        <f t="shared" si="8"/>
        <v>7.1406245093175238E-2</v>
      </c>
      <c r="I43" s="138">
        <f t="shared" si="9"/>
        <v>-0.1198171736911674</v>
      </c>
      <c r="J43" s="137">
        <v>79337.036999999997</v>
      </c>
      <c r="K43" s="138">
        <f t="shared" si="11"/>
        <v>6.9706746655489427E-2</v>
      </c>
      <c r="L43" s="138">
        <f t="shared" si="10"/>
        <v>6.6107102130841255E-2</v>
      </c>
      <c r="M43" s="31"/>
      <c r="N43" s="31"/>
      <c r="O43" s="31"/>
      <c r="P43" s="31"/>
      <c r="Q43" s="31"/>
      <c r="R43" s="31"/>
      <c r="S43" s="31"/>
      <c r="T43" s="31"/>
      <c r="U43" s="31"/>
      <c r="V43" s="31"/>
    </row>
    <row r="44" spans="1:22" x14ac:dyDescent="0.25">
      <c r="A44" s="106" t="s">
        <v>119</v>
      </c>
      <c r="B44" s="137">
        <v>78661.481</v>
      </c>
      <c r="C44" s="138">
        <f t="shared" si="5"/>
        <v>7.1371511846320096E-2</v>
      </c>
      <c r="D44" s="137">
        <v>81779.099000000002</v>
      </c>
      <c r="E44" s="138">
        <f t="shared" si="6"/>
        <v>7.4200203948103699E-2</v>
      </c>
      <c r="F44" s="138">
        <f t="shared" si="7"/>
        <v>3.9633349898408277E-2</v>
      </c>
      <c r="G44" s="137">
        <v>73804.240000000005</v>
      </c>
      <c r="H44" s="138">
        <f t="shared" si="8"/>
        <v>7.0817789785464977E-2</v>
      </c>
      <c r="I44" s="138">
        <f t="shared" si="9"/>
        <v>-9.7517080739664252E-2</v>
      </c>
      <c r="J44" s="137">
        <v>86095.747000000003</v>
      </c>
      <c r="K44" s="138">
        <f t="shared" si="11"/>
        <v>7.5645053699750789E-2</v>
      </c>
      <c r="L44" s="138">
        <f t="shared" si="10"/>
        <v>0.1665420170982046</v>
      </c>
      <c r="M44" s="31"/>
      <c r="N44" s="31"/>
      <c r="O44" s="31"/>
      <c r="P44" s="31"/>
      <c r="Q44" s="31"/>
      <c r="R44" s="31"/>
      <c r="S44" s="31"/>
      <c r="T44" s="31"/>
      <c r="U44" s="31"/>
      <c r="V44" s="31"/>
    </row>
    <row r="45" spans="1:22" x14ac:dyDescent="0.25">
      <c r="A45" s="136" t="s">
        <v>124</v>
      </c>
      <c r="B45" s="137">
        <v>103973.776</v>
      </c>
      <c r="C45" s="138">
        <f t="shared" si="5"/>
        <v>9.4337984629232097E-2</v>
      </c>
      <c r="D45" s="137">
        <v>112227.531</v>
      </c>
      <c r="E45" s="138">
        <f t="shared" si="6"/>
        <v>0.10182682116358521</v>
      </c>
      <c r="F45" s="138">
        <f t="shared" si="7"/>
        <v>7.9383045586417955E-2</v>
      </c>
      <c r="G45" s="137">
        <v>94232.731</v>
      </c>
      <c r="H45" s="138">
        <f t="shared" si="8"/>
        <v>9.0419652514113949E-2</v>
      </c>
      <c r="I45" s="138">
        <f t="shared" si="9"/>
        <v>-0.16034211783559604</v>
      </c>
      <c r="J45" s="137">
        <v>100444.927</v>
      </c>
      <c r="K45" s="138">
        <f t="shared" si="11"/>
        <v>8.8252464976958114E-2</v>
      </c>
      <c r="L45" s="138">
        <f t="shared" si="10"/>
        <v>6.592397284973095E-2</v>
      </c>
      <c r="M45" s="31"/>
      <c r="N45" s="31"/>
      <c r="O45" s="31"/>
      <c r="P45" s="31"/>
      <c r="Q45" s="31"/>
      <c r="R45" s="31"/>
      <c r="S45" s="31"/>
      <c r="T45" s="31"/>
      <c r="U45" s="31"/>
      <c r="V45" s="31"/>
    </row>
    <row r="46" spans="1:22" x14ac:dyDescent="0.25">
      <c r="A46" s="106" t="s">
        <v>132</v>
      </c>
      <c r="B46" s="137">
        <v>35631.534</v>
      </c>
      <c r="C46" s="138">
        <f t="shared" si="5"/>
        <v>3.2329374156883181E-2</v>
      </c>
      <c r="D46" s="137">
        <v>37487.209000000003</v>
      </c>
      <c r="E46" s="138">
        <f t="shared" si="6"/>
        <v>3.4013074089324323E-2</v>
      </c>
      <c r="F46" s="138">
        <f t="shared" si="7"/>
        <v>5.2079570865514846E-2</v>
      </c>
      <c r="G46" s="137">
        <v>33326.845999999998</v>
      </c>
      <c r="H46" s="138">
        <f t="shared" si="8"/>
        <v>3.1978292497024073E-2</v>
      </c>
      <c r="I46" s="138">
        <f t="shared" si="9"/>
        <v>-0.11098086816759301</v>
      </c>
      <c r="J46" s="137">
        <v>34967.332999999999</v>
      </c>
      <c r="K46" s="138">
        <f t="shared" si="11"/>
        <v>3.072283910286611E-2</v>
      </c>
      <c r="L46" s="138">
        <f t="shared" si="10"/>
        <v>4.9224190011860181E-2</v>
      </c>
      <c r="M46" s="31"/>
      <c r="N46" s="31"/>
      <c r="O46" s="31"/>
      <c r="P46" s="31"/>
      <c r="Q46" s="31"/>
      <c r="R46" s="31"/>
      <c r="S46" s="31"/>
      <c r="T46" s="31"/>
      <c r="U46" s="31"/>
      <c r="V46" s="31"/>
    </row>
    <row r="47" spans="1:22" x14ac:dyDescent="0.25">
      <c r="A47" s="106" t="s">
        <v>130</v>
      </c>
      <c r="B47" s="137">
        <v>27663.800999999999</v>
      </c>
      <c r="C47" s="138">
        <f t="shared" si="5"/>
        <v>2.5100052474040527E-2</v>
      </c>
      <c r="D47" s="137">
        <v>26958.100999999999</v>
      </c>
      <c r="E47" s="138">
        <f t="shared" si="6"/>
        <v>2.4459753368688719E-2</v>
      </c>
      <c r="F47" s="138">
        <f t="shared" si="7"/>
        <v>-2.5509871185091293E-2</v>
      </c>
      <c r="G47" s="137">
        <v>24589.567999999999</v>
      </c>
      <c r="H47" s="138">
        <f t="shared" si="8"/>
        <v>2.3594563910412144E-2</v>
      </c>
      <c r="I47" s="138">
        <f t="shared" si="9"/>
        <v>-8.7859786562859088E-2</v>
      </c>
      <c r="J47" s="137">
        <v>31152.395</v>
      </c>
      <c r="K47" s="138">
        <f t="shared" si="11"/>
        <v>2.737097562613456E-2</v>
      </c>
      <c r="L47" s="138">
        <f t="shared" si="10"/>
        <v>0.26689476610569174</v>
      </c>
      <c r="M47" s="31"/>
      <c r="N47" s="31"/>
      <c r="O47" s="31"/>
      <c r="P47" s="31"/>
      <c r="Q47" s="31"/>
      <c r="R47" s="31"/>
      <c r="S47" s="31"/>
      <c r="T47" s="31"/>
      <c r="U47" s="31"/>
      <c r="V47" s="31"/>
    </row>
    <row r="48" spans="1:22" x14ac:dyDescent="0.25">
      <c r="A48" s="106" t="s">
        <v>127</v>
      </c>
      <c r="B48" s="137">
        <v>11731.859</v>
      </c>
      <c r="C48" s="138">
        <f t="shared" si="5"/>
        <v>1.0644606520920412E-2</v>
      </c>
      <c r="D48" s="137">
        <v>12700.198</v>
      </c>
      <c r="E48" s="138">
        <f t="shared" si="6"/>
        <v>1.152320450218336E-2</v>
      </c>
      <c r="F48" s="138">
        <f t="shared" si="7"/>
        <v>8.2539263385282835E-2</v>
      </c>
      <c r="G48" s="137">
        <v>13423.159</v>
      </c>
      <c r="H48" s="138">
        <f t="shared" si="8"/>
        <v>1.287999784726287E-2</v>
      </c>
      <c r="I48" s="138">
        <f t="shared" si="9"/>
        <v>5.6925175497263947E-2</v>
      </c>
      <c r="J48" s="137">
        <v>15671.518</v>
      </c>
      <c r="K48" s="138">
        <f t="shared" si="11"/>
        <v>1.3769237877297365E-2</v>
      </c>
      <c r="L48" s="138">
        <f t="shared" si="10"/>
        <v>0.16749850016676415</v>
      </c>
      <c r="M48" s="31"/>
      <c r="N48" s="31"/>
      <c r="O48" s="31"/>
      <c r="P48" s="31"/>
      <c r="Q48" s="31"/>
      <c r="R48" s="31"/>
      <c r="S48" s="31"/>
      <c r="T48" s="31"/>
      <c r="U48" s="31"/>
      <c r="V48" s="31"/>
    </row>
    <row r="49" spans="1:12" x14ac:dyDescent="0.25">
      <c r="A49" s="106" t="s">
        <v>233</v>
      </c>
      <c r="B49" s="137">
        <v>94841.347999999998</v>
      </c>
      <c r="C49" s="138">
        <f t="shared" si="5"/>
        <v>8.6051906298369424E-2</v>
      </c>
      <c r="D49" s="137">
        <f>45345.872+25288.563+13008.299+9944.281+7562.724</f>
        <v>101149.739</v>
      </c>
      <c r="E49" s="138">
        <f t="shared" si="6"/>
        <v>9.1775665847057805E-2</v>
      </c>
      <c r="F49" s="138">
        <f t="shared" si="7"/>
        <v>6.6515197569735118E-2</v>
      </c>
      <c r="G49" s="137">
        <v>83558.403000000006</v>
      </c>
      <c r="H49" s="138">
        <f t="shared" si="8"/>
        <v>8.0177255649040852E-2</v>
      </c>
      <c r="I49" s="138">
        <f t="shared" si="9"/>
        <v>-0.1739138051557404</v>
      </c>
      <c r="J49" s="137">
        <f>81475.674+23597.459</f>
        <v>105073.133</v>
      </c>
      <c r="K49" s="138">
        <f t="shared" si="11"/>
        <v>9.2318878285428618E-2</v>
      </c>
      <c r="L49" s="138">
        <f t="shared" si="10"/>
        <v>0.25748134511378828</v>
      </c>
    </row>
    <row r="50" spans="1:12" x14ac:dyDescent="0.25">
      <c r="A50" s="106" t="s">
        <v>207</v>
      </c>
      <c r="B50" s="137">
        <v>1040348.3690000001</v>
      </c>
      <c r="C50" s="138">
        <f t="shared" si="5"/>
        <v>0.94393386697592563</v>
      </c>
      <c r="D50" s="137">
        <f>SUM(D40:D49)</f>
        <v>1102141.162</v>
      </c>
      <c r="E50" s="138">
        <f t="shared" si="6"/>
        <v>1</v>
      </c>
      <c r="F50" s="138">
        <f t="shared" si="7"/>
        <v>5.9396251141717205E-2</v>
      </c>
      <c r="G50" s="137">
        <f>SUM(G40:G49)</f>
        <v>1042170.904</v>
      </c>
      <c r="H50" s="138">
        <f t="shared" si="8"/>
        <v>1</v>
      </c>
      <c r="I50" s="138">
        <f t="shared" si="9"/>
        <v>-5.441250183522317E-2</v>
      </c>
      <c r="J50" s="137">
        <f>SUM(J40:J49)</f>
        <v>1138154.351</v>
      </c>
      <c r="K50" s="138">
        <f t="shared" si="11"/>
        <v>1</v>
      </c>
      <c r="L50" s="138">
        <f t="shared" si="10"/>
        <v>9.2099526701044931E-2</v>
      </c>
    </row>
    <row r="51" spans="1:12" x14ac:dyDescent="0.25">
      <c r="A51" s="484" t="s">
        <v>226</v>
      </c>
      <c r="B51" s="485"/>
      <c r="C51" s="485"/>
      <c r="D51" s="485"/>
      <c r="E51" s="485"/>
      <c r="F51" s="485"/>
      <c r="G51" s="485"/>
      <c r="H51" s="485"/>
      <c r="I51" s="485"/>
      <c r="J51" s="485"/>
      <c r="K51" s="485"/>
      <c r="L51" s="486"/>
    </row>
  </sheetData>
  <mergeCells count="17">
    <mergeCell ref="A51:L51"/>
    <mergeCell ref="A37:L37"/>
    <mergeCell ref="E21:J21"/>
    <mergeCell ref="A38:A39"/>
    <mergeCell ref="B38:C38"/>
    <mergeCell ref="D38:F38"/>
    <mergeCell ref="G38:I38"/>
    <mergeCell ref="J38:L38"/>
    <mergeCell ref="E3:G3"/>
    <mergeCell ref="H3:J3"/>
    <mergeCell ref="A1:M1"/>
    <mergeCell ref="A18:M18"/>
    <mergeCell ref="A19:M19"/>
    <mergeCell ref="A2:A4"/>
    <mergeCell ref="B2:D3"/>
    <mergeCell ref="E2:J2"/>
    <mergeCell ref="K2:M3"/>
  </mergeCells>
  <phoneticPr fontId="59" type="noConversion"/>
  <pageMargins left="0.7" right="0.7" top="0.75" bottom="0.75" header="0.3" footer="0.3"/>
  <pageSetup fitToHeight="0" orientation="landscape" r:id="rId1"/>
  <ignoredErrors>
    <ignoredError sqref="J17"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S35"/>
  <sheetViews>
    <sheetView zoomScaleNormal="100" workbookViewId="0">
      <selection sqref="A1:O1"/>
    </sheetView>
  </sheetViews>
  <sheetFormatPr baseColWidth="10" defaultColWidth="11.42578125" defaultRowHeight="15" x14ac:dyDescent="0.25"/>
  <cols>
    <col min="1" max="1" width="9.7109375" customWidth="1"/>
    <col min="2" max="2" width="7.28515625" customWidth="1"/>
    <col min="3" max="3" width="8.28515625" customWidth="1"/>
    <col min="4" max="4" width="7.7109375" customWidth="1"/>
    <col min="5" max="5" width="8.85546875" bestFit="1" customWidth="1"/>
    <col min="6" max="6" width="7.7109375" customWidth="1"/>
    <col min="7" max="7" width="7.85546875" customWidth="1"/>
    <col min="8" max="8" width="8.85546875" bestFit="1" customWidth="1"/>
    <col min="9" max="9" width="7.85546875" bestFit="1" customWidth="1"/>
    <col min="10" max="11" width="8.85546875" bestFit="1" customWidth="1"/>
    <col min="12" max="12" width="7.85546875" bestFit="1" customWidth="1"/>
    <col min="13" max="14" width="8.85546875" bestFit="1" customWidth="1"/>
    <col min="15" max="15" width="9.42578125" customWidth="1"/>
    <col min="18" max="18" width="13.28515625" customWidth="1"/>
    <col min="19" max="19" width="15.28515625" customWidth="1"/>
  </cols>
  <sheetData>
    <row r="1" spans="1:19" x14ac:dyDescent="0.25">
      <c r="A1" s="507" t="s">
        <v>586</v>
      </c>
      <c r="B1" s="507"/>
      <c r="C1" s="507"/>
      <c r="D1" s="507"/>
      <c r="E1" s="507"/>
      <c r="F1" s="507"/>
      <c r="G1" s="507"/>
      <c r="H1" s="507"/>
      <c r="I1" s="507"/>
      <c r="J1" s="507"/>
      <c r="K1" s="507"/>
      <c r="L1" s="507"/>
      <c r="M1" s="507"/>
      <c r="N1" s="507"/>
      <c r="O1" s="507"/>
      <c r="P1" s="31"/>
    </row>
    <row r="2" spans="1:19" x14ac:dyDescent="0.25">
      <c r="A2" s="508" t="s">
        <v>250</v>
      </c>
      <c r="B2" s="508"/>
      <c r="C2" s="508"/>
      <c r="D2" s="508"/>
      <c r="E2" s="508"/>
      <c r="F2" s="508"/>
      <c r="G2" s="508"/>
      <c r="H2" s="508"/>
      <c r="I2" s="508"/>
      <c r="J2" s="508"/>
      <c r="K2" s="508"/>
      <c r="L2" s="508"/>
      <c r="M2" s="508"/>
      <c r="N2" s="508"/>
      <c r="O2" s="508"/>
      <c r="P2" s="31"/>
    </row>
    <row r="3" spans="1:19" x14ac:dyDescent="0.25">
      <c r="A3" s="149" t="s">
        <v>251</v>
      </c>
      <c r="B3" s="149">
        <v>2008</v>
      </c>
      <c r="C3" s="149">
        <v>2009</v>
      </c>
      <c r="D3" s="149">
        <v>2010</v>
      </c>
      <c r="E3" s="149" t="s">
        <v>252</v>
      </c>
      <c r="F3" s="149" t="s">
        <v>253</v>
      </c>
      <c r="G3" s="149">
        <v>2012</v>
      </c>
      <c r="H3" s="149">
        <v>2013</v>
      </c>
      <c r="I3" s="149">
        <v>2014</v>
      </c>
      <c r="J3" s="149">
        <v>2015</v>
      </c>
      <c r="K3" s="149">
        <v>2016</v>
      </c>
      <c r="L3" s="149">
        <v>2017</v>
      </c>
      <c r="M3" s="149">
        <v>2018</v>
      </c>
      <c r="N3" s="149">
        <v>2019</v>
      </c>
      <c r="O3" s="220">
        <v>2020</v>
      </c>
      <c r="P3" s="31"/>
    </row>
    <row r="4" spans="1:19" x14ac:dyDescent="0.25">
      <c r="A4" s="136" t="s">
        <v>254</v>
      </c>
      <c r="B4" s="137">
        <v>104716.9</v>
      </c>
      <c r="C4" s="137">
        <v>111524.96</v>
      </c>
      <c r="D4" s="137">
        <v>116830.78</v>
      </c>
      <c r="E4" s="137">
        <v>125946.23000000001</v>
      </c>
      <c r="F4" s="137">
        <v>125946.23000000001</v>
      </c>
      <c r="G4" s="137">
        <v>128638</v>
      </c>
      <c r="H4" s="137">
        <v>130361.7</v>
      </c>
      <c r="I4" s="137">
        <v>137592.44</v>
      </c>
      <c r="J4" s="137">
        <v>141918.12399999998</v>
      </c>
      <c r="K4" s="137">
        <v>137374.93</v>
      </c>
      <c r="L4" s="137">
        <v>135907.75</v>
      </c>
      <c r="M4" s="137">
        <v>137191.12</v>
      </c>
      <c r="N4" s="137">
        <v>136288.79</v>
      </c>
      <c r="O4" s="137">
        <v>136166.23999999993</v>
      </c>
      <c r="P4" s="100"/>
      <c r="Q4" s="100"/>
    </row>
    <row r="5" spans="1:19" x14ac:dyDescent="0.25">
      <c r="A5" s="136" t="s">
        <v>255</v>
      </c>
      <c r="B5" s="137">
        <v>52186.940009197584</v>
      </c>
      <c r="C5" s="137">
        <v>53340.070009197589</v>
      </c>
      <c r="D5" s="137">
        <v>52656.510009197591</v>
      </c>
      <c r="E5" s="137">
        <v>53869.560009197579</v>
      </c>
      <c r="F5" s="137">
        <v>53869.560009197579</v>
      </c>
      <c r="G5" s="137">
        <v>53868.710009197581</v>
      </c>
      <c r="H5" s="137">
        <v>53745.990009197587</v>
      </c>
      <c r="I5" s="137">
        <v>52234.06</v>
      </c>
      <c r="J5" s="137">
        <v>48593.24</v>
      </c>
      <c r="K5" s="137">
        <v>48582.18</v>
      </c>
      <c r="L5" s="137">
        <v>48202.19000000001</v>
      </c>
      <c r="M5" s="137">
        <v>47799.800000000047</v>
      </c>
      <c r="N5" s="137">
        <v>47834</v>
      </c>
      <c r="O5" s="137">
        <v>43104.05</v>
      </c>
      <c r="P5" s="31"/>
    </row>
    <row r="6" spans="1:19" x14ac:dyDescent="0.25">
      <c r="A6" s="136" t="s">
        <v>256</v>
      </c>
      <c r="B6" s="137">
        <v>9982</v>
      </c>
      <c r="C6" s="137">
        <v>10001</v>
      </c>
      <c r="D6" s="137">
        <v>6929.87</v>
      </c>
      <c r="E6" s="137">
        <v>10000</v>
      </c>
      <c r="F6" s="150">
        <v>7462.63</v>
      </c>
      <c r="G6" s="137">
        <v>7721.4</v>
      </c>
      <c r="H6" s="137">
        <v>7993.65</v>
      </c>
      <c r="I6" s="137">
        <v>8202.07</v>
      </c>
      <c r="J6" s="137">
        <v>8515.92</v>
      </c>
      <c r="K6" s="137">
        <v>8712.7199999999993</v>
      </c>
      <c r="L6" s="137">
        <v>8711.24</v>
      </c>
      <c r="M6" s="137">
        <v>9150.01</v>
      </c>
      <c r="N6" s="137">
        <v>9172.56</v>
      </c>
      <c r="O6" s="137">
        <v>9154.24</v>
      </c>
      <c r="P6" s="31"/>
      <c r="Q6" s="218"/>
      <c r="R6" s="218"/>
      <c r="S6" s="218"/>
    </row>
    <row r="7" spans="1:19" x14ac:dyDescent="0.25">
      <c r="A7" s="136" t="s">
        <v>207</v>
      </c>
      <c r="B7" s="137">
        <f t="shared" ref="B7:K7" si="0">SUM(B4:B6)</f>
        <v>166885.84000919759</v>
      </c>
      <c r="C7" s="137">
        <f t="shared" si="0"/>
        <v>174866.0300091976</v>
      </c>
      <c r="D7" s="137">
        <f>SUM(D4:D6)</f>
        <v>176417.1600091976</v>
      </c>
      <c r="E7" s="151">
        <f t="shared" si="0"/>
        <v>189815.7900091976</v>
      </c>
      <c r="F7" s="150">
        <f t="shared" si="0"/>
        <v>187278.42000919761</v>
      </c>
      <c r="G7" s="137">
        <f t="shared" si="0"/>
        <v>190228.11000919758</v>
      </c>
      <c r="H7" s="137">
        <f t="shared" si="0"/>
        <v>192101.34000919756</v>
      </c>
      <c r="I7" s="137">
        <f t="shared" si="0"/>
        <v>198028.57</v>
      </c>
      <c r="J7" s="137">
        <f t="shared" si="0"/>
        <v>199027.28399999999</v>
      </c>
      <c r="K7" s="137">
        <f t="shared" si="0"/>
        <v>194669.83</v>
      </c>
      <c r="L7" s="137">
        <f>SUM(L4:L6)</f>
        <v>192821.18</v>
      </c>
      <c r="M7" s="137">
        <f>SUM(M4:M6)</f>
        <v>194140.93000000005</v>
      </c>
      <c r="N7" s="137">
        <f>SUM(N4:N6)</f>
        <v>193295.35</v>
      </c>
      <c r="O7" s="137">
        <f>SUM(O4:O6)</f>
        <v>188424.52999999991</v>
      </c>
      <c r="P7" s="31"/>
    </row>
    <row r="8" spans="1:19" ht="15" customHeight="1" x14ac:dyDescent="0.25">
      <c r="A8" s="495" t="s">
        <v>257</v>
      </c>
      <c r="B8" s="495"/>
      <c r="C8" s="495"/>
      <c r="D8" s="495"/>
      <c r="E8" s="495"/>
      <c r="F8" s="495"/>
      <c r="G8" s="495"/>
      <c r="H8" s="495"/>
      <c r="I8" s="495"/>
      <c r="J8" s="495"/>
      <c r="K8" s="495"/>
      <c r="L8" s="495"/>
      <c r="M8" s="495"/>
      <c r="N8" s="495"/>
      <c r="O8" s="495"/>
      <c r="P8" s="31"/>
    </row>
    <row r="9" spans="1:19" ht="27.6" customHeight="1" x14ac:dyDescent="0.25">
      <c r="A9" s="495" t="s">
        <v>258</v>
      </c>
      <c r="B9" s="495"/>
      <c r="C9" s="495"/>
      <c r="D9" s="495"/>
      <c r="E9" s="495"/>
      <c r="F9" s="495"/>
      <c r="G9" s="495"/>
      <c r="H9" s="495"/>
      <c r="I9" s="495"/>
      <c r="J9" s="495"/>
      <c r="K9" s="495"/>
      <c r="L9" s="495"/>
      <c r="M9" s="495"/>
      <c r="N9" s="495"/>
      <c r="O9" s="495"/>
      <c r="P9" s="31"/>
    </row>
    <row r="10" spans="1:19" ht="24" customHeight="1" x14ac:dyDescent="0.25">
      <c r="A10" s="495" t="s">
        <v>259</v>
      </c>
      <c r="B10" s="495"/>
      <c r="C10" s="495"/>
      <c r="D10" s="495"/>
      <c r="E10" s="495"/>
      <c r="F10" s="495"/>
      <c r="G10" s="495"/>
      <c r="H10" s="495"/>
      <c r="I10" s="495"/>
      <c r="J10" s="495"/>
      <c r="K10" s="495"/>
      <c r="L10" s="495"/>
      <c r="M10" s="495"/>
      <c r="N10" s="495"/>
      <c r="O10" s="495"/>
      <c r="P10" s="31"/>
    </row>
    <row r="11" spans="1:19" ht="25.9" customHeight="1" x14ac:dyDescent="0.25">
      <c r="A11" s="495" t="s">
        <v>300</v>
      </c>
      <c r="B11" s="495"/>
      <c r="C11" s="495"/>
      <c r="D11" s="495"/>
      <c r="E11" s="495"/>
      <c r="F11" s="495"/>
      <c r="G11" s="495"/>
      <c r="H11" s="495"/>
      <c r="I11" s="495"/>
      <c r="J11" s="495"/>
      <c r="K11" s="495"/>
      <c r="L11" s="495"/>
      <c r="M11" s="495"/>
      <c r="N11" s="495"/>
      <c r="O11" s="495"/>
      <c r="P11" s="31"/>
    </row>
    <row r="12" spans="1:19" ht="14.45" customHeight="1" x14ac:dyDescent="0.25">
      <c r="A12" s="495" t="s">
        <v>260</v>
      </c>
      <c r="B12" s="495"/>
      <c r="C12" s="495"/>
      <c r="D12" s="495"/>
      <c r="E12" s="495"/>
      <c r="F12" s="495"/>
      <c r="G12" s="495"/>
      <c r="H12" s="495"/>
      <c r="I12" s="495"/>
      <c r="J12" s="495"/>
      <c r="K12" s="495"/>
      <c r="L12" s="495"/>
      <c r="M12" s="495"/>
      <c r="N12" s="495"/>
      <c r="O12" s="495"/>
      <c r="P12" s="31"/>
    </row>
    <row r="13" spans="1:19" s="31" customFormat="1" ht="14.45" customHeight="1" x14ac:dyDescent="0.25">
      <c r="A13" s="58"/>
      <c r="B13" s="58"/>
      <c r="C13" s="58"/>
      <c r="D13" s="58"/>
      <c r="E13" s="58"/>
      <c r="F13" s="58"/>
      <c r="G13" s="58"/>
      <c r="H13" s="58"/>
      <c r="I13" s="58"/>
      <c r="J13" s="58"/>
      <c r="K13" s="58"/>
      <c r="L13" s="58"/>
      <c r="M13" s="58"/>
      <c r="N13" s="58"/>
      <c r="O13" s="58"/>
    </row>
    <row r="14" spans="1:19" s="31" customFormat="1" ht="14.45" customHeight="1" x14ac:dyDescent="0.25">
      <c r="A14" s="58"/>
      <c r="B14" s="58"/>
      <c r="C14" s="58"/>
      <c r="D14" s="58"/>
      <c r="E14" s="58"/>
      <c r="F14" s="58"/>
      <c r="G14" s="58"/>
      <c r="H14" s="58"/>
      <c r="I14" s="58"/>
      <c r="J14" s="58"/>
      <c r="K14" s="58"/>
      <c r="L14" s="58"/>
      <c r="M14" s="58"/>
      <c r="N14" s="58"/>
      <c r="O14" s="58"/>
    </row>
    <row r="15" spans="1:19" s="31" customFormat="1" ht="14.45" customHeight="1" x14ac:dyDescent="0.25">
      <c r="A15" s="58"/>
      <c r="B15" s="58"/>
      <c r="C15" s="58"/>
      <c r="D15" s="58"/>
      <c r="E15" s="58"/>
      <c r="F15" s="58"/>
      <c r="G15" s="58"/>
      <c r="H15" s="58"/>
      <c r="I15" s="58"/>
      <c r="J15" s="58"/>
      <c r="K15" s="58"/>
      <c r="L15" s="58"/>
      <c r="M15" s="58"/>
      <c r="N15" s="58"/>
      <c r="O15" s="58"/>
    </row>
    <row r="16" spans="1:19" s="31" customFormat="1" x14ac:dyDescent="0.25">
      <c r="A16" s="58"/>
      <c r="B16" s="58"/>
      <c r="C16" s="58"/>
      <c r="D16" s="58"/>
      <c r="E16" s="58"/>
      <c r="F16" s="58"/>
      <c r="G16" s="58"/>
      <c r="H16" s="58"/>
      <c r="I16" s="58"/>
      <c r="J16" s="58"/>
      <c r="K16" s="58"/>
      <c r="L16" s="58"/>
      <c r="M16" s="58"/>
      <c r="N16" s="58"/>
    </row>
    <row r="17" spans="1:17" x14ac:dyDescent="0.25">
      <c r="A17" s="500" t="s">
        <v>587</v>
      </c>
      <c r="B17" s="500"/>
      <c r="C17" s="500"/>
      <c r="D17" s="500"/>
      <c r="E17" s="500"/>
      <c r="F17" s="500"/>
      <c r="G17" s="500"/>
      <c r="H17" s="500"/>
      <c r="I17" s="500"/>
      <c r="J17" s="500"/>
      <c r="K17" s="500"/>
      <c r="L17" s="500"/>
      <c r="M17" s="500"/>
      <c r="N17" s="500"/>
      <c r="O17" s="31"/>
    </row>
    <row r="18" spans="1:17" ht="15" customHeight="1" x14ac:dyDescent="0.25">
      <c r="A18" s="501" t="s">
        <v>239</v>
      </c>
      <c r="B18" s="501"/>
      <c r="C18" s="502" t="s">
        <v>261</v>
      </c>
      <c r="D18" s="503"/>
      <c r="E18" s="504"/>
      <c r="F18" s="502" t="s">
        <v>262</v>
      </c>
      <c r="G18" s="503"/>
      <c r="H18" s="504"/>
      <c r="I18" s="505" t="s">
        <v>263</v>
      </c>
      <c r="J18" s="505"/>
      <c r="K18" s="505"/>
      <c r="L18" s="502" t="s">
        <v>299</v>
      </c>
      <c r="M18" s="503"/>
      <c r="N18" s="504"/>
      <c r="O18" s="31"/>
    </row>
    <row r="19" spans="1:17" x14ac:dyDescent="0.25">
      <c r="A19" s="501"/>
      <c r="B19" s="501"/>
      <c r="C19" s="152" t="s">
        <v>264</v>
      </c>
      <c r="D19" s="152" t="s">
        <v>265</v>
      </c>
      <c r="E19" s="152" t="s">
        <v>207</v>
      </c>
      <c r="F19" s="152" t="s">
        <v>264</v>
      </c>
      <c r="G19" s="152" t="s">
        <v>265</v>
      </c>
      <c r="H19" s="152" t="s">
        <v>207</v>
      </c>
      <c r="I19" s="152" t="s">
        <v>264</v>
      </c>
      <c r="J19" s="152" t="s">
        <v>265</v>
      </c>
      <c r="K19" s="152" t="s">
        <v>207</v>
      </c>
      <c r="L19" s="152" t="s">
        <v>264</v>
      </c>
      <c r="M19" s="152" t="s">
        <v>265</v>
      </c>
      <c r="N19" s="152" t="s">
        <v>207</v>
      </c>
      <c r="O19" s="31"/>
    </row>
    <row r="20" spans="1:17" x14ac:dyDescent="0.25">
      <c r="A20" s="499" t="s">
        <v>266</v>
      </c>
      <c r="B20" s="499"/>
      <c r="C20" s="153"/>
      <c r="D20" s="153">
        <v>15</v>
      </c>
      <c r="E20" s="153">
        <v>15</v>
      </c>
      <c r="F20" s="153"/>
      <c r="G20" s="153">
        <v>15</v>
      </c>
      <c r="H20" s="153">
        <f>G20+F20</f>
        <v>15</v>
      </c>
      <c r="I20" s="153"/>
      <c r="J20" s="153">
        <v>15</v>
      </c>
      <c r="K20" s="153">
        <f>J20+I20</f>
        <v>15</v>
      </c>
      <c r="L20" s="153"/>
      <c r="M20" s="153">
        <v>15</v>
      </c>
      <c r="N20" s="153">
        <f t="shared" ref="N20:N25" si="1">M20+L20</f>
        <v>15</v>
      </c>
      <c r="O20" s="342"/>
    </row>
    <row r="21" spans="1:17" x14ac:dyDescent="0.25">
      <c r="A21" s="499" t="s">
        <v>267</v>
      </c>
      <c r="B21" s="499"/>
      <c r="C21" s="153">
        <v>1.3</v>
      </c>
      <c r="D21" s="153">
        <v>1.8</v>
      </c>
      <c r="E21" s="153">
        <v>3.1</v>
      </c>
      <c r="F21" s="153">
        <v>1.3</v>
      </c>
      <c r="G21" s="153">
        <v>1.8</v>
      </c>
      <c r="H21" s="153">
        <f t="shared" ref="H21:H33" si="2">G21+F21</f>
        <v>3.1</v>
      </c>
      <c r="I21" s="153">
        <v>1.3</v>
      </c>
      <c r="J21" s="153">
        <v>1.8</v>
      </c>
      <c r="K21" s="153">
        <f t="shared" ref="K21:K33" si="3">J21+I21</f>
        <v>3.1</v>
      </c>
      <c r="L21" s="153">
        <v>1.4</v>
      </c>
      <c r="M21" s="153">
        <v>2.0499999999999998</v>
      </c>
      <c r="N21" s="153">
        <f t="shared" si="1"/>
        <v>3.4499999999999997</v>
      </c>
      <c r="O21" s="342"/>
    </row>
    <row r="22" spans="1:17" x14ac:dyDescent="0.25">
      <c r="A22" s="499" t="s">
        <v>215</v>
      </c>
      <c r="B22" s="499"/>
      <c r="C22" s="153">
        <v>1.06</v>
      </c>
      <c r="D22" s="153">
        <v>3.91</v>
      </c>
      <c r="E22" s="153">
        <v>4.9700000000000006</v>
      </c>
      <c r="F22" s="153">
        <v>1.06</v>
      </c>
      <c r="G22" s="153">
        <v>3.91</v>
      </c>
      <c r="H22" s="153">
        <f t="shared" si="2"/>
        <v>4.9700000000000006</v>
      </c>
      <c r="I22" s="153">
        <v>1.06</v>
      </c>
      <c r="J22" s="153">
        <v>3.91</v>
      </c>
      <c r="K22" s="153">
        <f t="shared" si="3"/>
        <v>4.9700000000000006</v>
      </c>
      <c r="L22" s="153">
        <v>1.06</v>
      </c>
      <c r="M22" s="153">
        <v>3.91</v>
      </c>
      <c r="N22" s="153">
        <f t="shared" si="1"/>
        <v>4.9700000000000006</v>
      </c>
      <c r="O22" s="342"/>
    </row>
    <row r="23" spans="1:17" x14ac:dyDescent="0.25">
      <c r="A23" s="499" t="s">
        <v>216</v>
      </c>
      <c r="B23" s="499"/>
      <c r="C23" s="153">
        <v>43.73</v>
      </c>
      <c r="D23" s="153">
        <v>15.54</v>
      </c>
      <c r="E23" s="153">
        <v>59.269999999999996</v>
      </c>
      <c r="F23" s="153">
        <v>21.43</v>
      </c>
      <c r="G23" s="153">
        <v>25.54</v>
      </c>
      <c r="H23" s="153">
        <f t="shared" si="2"/>
        <v>46.97</v>
      </c>
      <c r="I23" s="153">
        <v>21.43</v>
      </c>
      <c r="J23" s="153">
        <v>27.19</v>
      </c>
      <c r="K23" s="153">
        <f>J23+I23</f>
        <v>48.620000000000005</v>
      </c>
      <c r="L23" s="153">
        <v>21.43</v>
      </c>
      <c r="M23" s="153">
        <v>28.19</v>
      </c>
      <c r="N23" s="153">
        <f t="shared" si="1"/>
        <v>49.620000000000005</v>
      </c>
      <c r="O23" s="342"/>
    </row>
    <row r="24" spans="1:17" x14ac:dyDescent="0.25">
      <c r="A24" s="499" t="s">
        <v>217</v>
      </c>
      <c r="B24" s="499"/>
      <c r="C24" s="153">
        <v>1672.96</v>
      </c>
      <c r="D24" s="153">
        <v>1431.48</v>
      </c>
      <c r="E24" s="153">
        <v>3104.44</v>
      </c>
      <c r="F24" s="153">
        <v>1783.55</v>
      </c>
      <c r="G24" s="153">
        <v>1395.67</v>
      </c>
      <c r="H24" s="153">
        <f t="shared" si="2"/>
        <v>3179.2200000000003</v>
      </c>
      <c r="I24" s="153">
        <v>1784.28</v>
      </c>
      <c r="J24" s="153">
        <v>1363.27</v>
      </c>
      <c r="K24" s="153">
        <f t="shared" si="3"/>
        <v>3147.55</v>
      </c>
      <c r="L24" s="153">
        <v>1826.35</v>
      </c>
      <c r="M24" s="153">
        <v>1298.8800000000001</v>
      </c>
      <c r="N24" s="153">
        <f t="shared" si="1"/>
        <v>3125.23</v>
      </c>
      <c r="O24" s="342"/>
    </row>
    <row r="25" spans="1:17" x14ac:dyDescent="0.25">
      <c r="A25" s="499" t="s">
        <v>218</v>
      </c>
      <c r="B25" s="499"/>
      <c r="C25" s="153">
        <v>6281.11</v>
      </c>
      <c r="D25" s="153">
        <v>3537.94</v>
      </c>
      <c r="E25" s="153">
        <v>9819.0499999999993</v>
      </c>
      <c r="F25" s="153">
        <v>6313.82</v>
      </c>
      <c r="G25" s="153">
        <v>3560.65</v>
      </c>
      <c r="H25" s="153">
        <f t="shared" si="2"/>
        <v>9874.4699999999993</v>
      </c>
      <c r="I25" s="153">
        <v>6251.63</v>
      </c>
      <c r="J25" s="153">
        <v>3405.57</v>
      </c>
      <c r="K25" s="153">
        <f>J25+I25</f>
        <v>9657.2000000000007</v>
      </c>
      <c r="L25" s="153">
        <v>6347.72</v>
      </c>
      <c r="M25" s="153">
        <v>3379.47</v>
      </c>
      <c r="N25" s="153">
        <f t="shared" si="1"/>
        <v>9727.19</v>
      </c>
      <c r="O25" s="342"/>
    </row>
    <row r="26" spans="1:17" x14ac:dyDescent="0.25">
      <c r="A26" s="499" t="s">
        <v>219</v>
      </c>
      <c r="B26" s="499"/>
      <c r="C26" s="153">
        <v>1500.12</v>
      </c>
      <c r="D26" s="153">
        <v>10756.43</v>
      </c>
      <c r="E26" s="153">
        <v>12256.55</v>
      </c>
      <c r="F26" s="153">
        <v>1474.4</v>
      </c>
      <c r="G26" s="153">
        <v>10473.98</v>
      </c>
      <c r="H26" s="153">
        <f t="shared" si="2"/>
        <v>11948.38</v>
      </c>
      <c r="I26" s="153">
        <v>1428.8</v>
      </c>
      <c r="J26" s="153">
        <v>10156.07</v>
      </c>
      <c r="K26" s="153">
        <f t="shared" si="3"/>
        <v>11584.869999999999</v>
      </c>
      <c r="L26" s="153">
        <v>1379.1299999999999</v>
      </c>
      <c r="M26" s="153">
        <v>9903.03999999999</v>
      </c>
      <c r="N26" s="153">
        <f t="shared" ref="N26:N33" si="4">M26+L26</f>
        <v>11282.169999999989</v>
      </c>
      <c r="O26" s="342"/>
    </row>
    <row r="27" spans="1:17" x14ac:dyDescent="0.25">
      <c r="A27" s="499" t="s">
        <v>220</v>
      </c>
      <c r="B27" s="499"/>
      <c r="C27" s="153">
        <v>6659.94</v>
      </c>
      <c r="D27" s="153">
        <v>38985.69</v>
      </c>
      <c r="E27" s="153">
        <v>45645.630000000005</v>
      </c>
      <c r="F27" s="153">
        <v>6618.37</v>
      </c>
      <c r="G27" s="153">
        <v>39163.85</v>
      </c>
      <c r="H27" s="153">
        <f t="shared" si="2"/>
        <v>45782.22</v>
      </c>
      <c r="I27" s="153">
        <v>6545.8</v>
      </c>
      <c r="J27" s="153">
        <v>38596.620000000003</v>
      </c>
      <c r="K27" s="153">
        <f t="shared" si="3"/>
        <v>45142.420000000006</v>
      </c>
      <c r="L27" s="153">
        <v>6357.9100000000117</v>
      </c>
      <c r="M27" s="153">
        <v>38723.009999999915</v>
      </c>
      <c r="N27" s="153">
        <f t="shared" si="4"/>
        <v>45080.919999999925</v>
      </c>
      <c r="O27" s="342"/>
    </row>
    <row r="28" spans="1:17" x14ac:dyDescent="0.25">
      <c r="A28" s="499" t="s">
        <v>268</v>
      </c>
      <c r="B28" s="499"/>
      <c r="C28" s="153">
        <v>14514.67</v>
      </c>
      <c r="D28" s="153">
        <v>38102.43</v>
      </c>
      <c r="E28" s="153">
        <v>52617.1</v>
      </c>
      <c r="F28" s="153">
        <v>14501.68</v>
      </c>
      <c r="G28" s="153">
        <v>39184.99</v>
      </c>
      <c r="H28" s="153">
        <f t="shared" si="2"/>
        <v>53686.67</v>
      </c>
      <c r="I28" s="153">
        <v>14290.95</v>
      </c>
      <c r="J28" s="153">
        <v>39527.730000000003</v>
      </c>
      <c r="K28" s="153">
        <f t="shared" si="3"/>
        <v>53818.680000000008</v>
      </c>
      <c r="L28" s="153">
        <v>14076.74</v>
      </c>
      <c r="M28" s="153">
        <v>39469.379999999997</v>
      </c>
      <c r="N28" s="153">
        <f>M28+L28</f>
        <v>53546.119999999995</v>
      </c>
      <c r="O28" s="342"/>
      <c r="P28" s="100"/>
    </row>
    <row r="29" spans="1:17" s="31" customFormat="1" x14ac:dyDescent="0.25">
      <c r="A29" s="497" t="s">
        <v>222</v>
      </c>
      <c r="B29" s="498"/>
      <c r="C29" s="153"/>
      <c r="D29" s="153"/>
      <c r="E29" s="153"/>
      <c r="F29" s="153">
        <v>4192.71</v>
      </c>
      <c r="G29" s="153">
        <v>5821.42</v>
      </c>
      <c r="H29" s="153">
        <f t="shared" si="2"/>
        <v>10014.130000000001</v>
      </c>
      <c r="I29" s="153">
        <v>4244.13</v>
      </c>
      <c r="J29" s="153">
        <v>5928.08</v>
      </c>
      <c r="K29" s="153">
        <f t="shared" si="3"/>
        <v>10172.209999999999</v>
      </c>
      <c r="L29" s="153">
        <v>4274.6500000000051</v>
      </c>
      <c r="M29" s="153">
        <v>6148.2400000000107</v>
      </c>
      <c r="N29" s="153">
        <f t="shared" si="4"/>
        <v>10422.890000000016</v>
      </c>
      <c r="O29" s="342"/>
      <c r="P29" s="100"/>
      <c r="Q29" s="343"/>
    </row>
    <row r="30" spans="1:17" s="31" customFormat="1" x14ac:dyDescent="0.25">
      <c r="A30" s="497" t="s">
        <v>269</v>
      </c>
      <c r="B30" s="498"/>
      <c r="C30" s="153">
        <v>5410.05</v>
      </c>
      <c r="D30" s="153">
        <v>6867.63</v>
      </c>
      <c r="E30" s="153">
        <v>12277.68</v>
      </c>
      <c r="F30" s="153">
        <v>1267.71</v>
      </c>
      <c r="G30" s="153">
        <v>1255.98</v>
      </c>
      <c r="H30" s="153">
        <f t="shared" si="2"/>
        <v>2523.69</v>
      </c>
      <c r="I30" s="153">
        <v>1300.45</v>
      </c>
      <c r="J30" s="153">
        <v>1281.42</v>
      </c>
      <c r="K30" s="153">
        <f t="shared" si="3"/>
        <v>2581.87</v>
      </c>
      <c r="L30" s="153">
        <v>1367.9199999999994</v>
      </c>
      <c r="M30" s="153">
        <v>1403.1399999999999</v>
      </c>
      <c r="N30" s="153">
        <f t="shared" si="4"/>
        <v>2771.0599999999995</v>
      </c>
      <c r="O30" s="342"/>
    </row>
    <row r="31" spans="1:17" x14ac:dyDescent="0.25">
      <c r="A31" s="499" t="s">
        <v>270</v>
      </c>
      <c r="B31" s="499"/>
      <c r="C31" s="153">
        <v>34.69</v>
      </c>
      <c r="D31" s="153">
        <v>43.86</v>
      </c>
      <c r="E31" s="153">
        <v>78.55</v>
      </c>
      <c r="F31" s="153">
        <v>38.69</v>
      </c>
      <c r="G31" s="153">
        <v>45.86</v>
      </c>
      <c r="H31" s="153">
        <f t="shared" si="2"/>
        <v>84.55</v>
      </c>
      <c r="I31" s="153">
        <v>38.69</v>
      </c>
      <c r="J31" s="153">
        <v>45.86</v>
      </c>
      <c r="K31" s="153">
        <f t="shared" si="3"/>
        <v>84.55</v>
      </c>
      <c r="L31" s="153">
        <v>43.73</v>
      </c>
      <c r="M31" s="153">
        <v>61.54</v>
      </c>
      <c r="N31" s="153">
        <f t="shared" si="4"/>
        <v>105.27</v>
      </c>
      <c r="O31" s="342"/>
    </row>
    <row r="32" spans="1:17" x14ac:dyDescent="0.25">
      <c r="A32" s="499" t="s">
        <v>243</v>
      </c>
      <c r="B32" s="499"/>
      <c r="C32" s="153">
        <v>13.7</v>
      </c>
      <c r="D32" s="153">
        <v>4.8</v>
      </c>
      <c r="E32" s="153">
        <v>18.5</v>
      </c>
      <c r="F32" s="153">
        <v>13.7</v>
      </c>
      <c r="G32" s="153">
        <v>4.8</v>
      </c>
      <c r="H32" s="153">
        <f t="shared" si="2"/>
        <v>18.5</v>
      </c>
      <c r="I32" s="153">
        <v>13.7</v>
      </c>
      <c r="J32" s="153">
        <v>4.8</v>
      </c>
      <c r="K32" s="153">
        <f t="shared" si="3"/>
        <v>18.5</v>
      </c>
      <c r="L32" s="153">
        <v>13.7</v>
      </c>
      <c r="M32" s="153">
        <v>4.8</v>
      </c>
      <c r="N32" s="153">
        <f t="shared" si="4"/>
        <v>18.5</v>
      </c>
      <c r="O32" s="342"/>
    </row>
    <row r="33" spans="1:15" x14ac:dyDescent="0.25">
      <c r="A33" s="497" t="s">
        <v>225</v>
      </c>
      <c r="B33" s="498"/>
      <c r="C33" s="153">
        <v>1.75</v>
      </c>
      <c r="D33" s="153">
        <v>6.16</v>
      </c>
      <c r="E33" s="153">
        <v>7.91</v>
      </c>
      <c r="F33" s="153">
        <v>2.59</v>
      </c>
      <c r="G33" s="153">
        <v>6.66</v>
      </c>
      <c r="H33" s="153">
        <f t="shared" si="2"/>
        <v>9.25</v>
      </c>
      <c r="I33" s="153">
        <v>2.59</v>
      </c>
      <c r="J33" s="153">
        <v>6.66</v>
      </c>
      <c r="K33" s="153">
        <f t="shared" si="3"/>
        <v>9.25</v>
      </c>
      <c r="L33" s="153">
        <v>5.39</v>
      </c>
      <c r="M33" s="153">
        <v>8.4599999999999991</v>
      </c>
      <c r="N33" s="153">
        <f t="shared" si="4"/>
        <v>13.849999999999998</v>
      </c>
      <c r="O33" s="342"/>
    </row>
    <row r="34" spans="1:15" x14ac:dyDescent="0.25">
      <c r="A34" s="506" t="s">
        <v>271</v>
      </c>
      <c r="B34" s="506"/>
      <c r="C34" s="154">
        <f t="shared" ref="C34:H34" si="5">SUM(C20:C33)</f>
        <v>36135.08</v>
      </c>
      <c r="D34" s="154">
        <f t="shared" si="5"/>
        <v>99772.670000000013</v>
      </c>
      <c r="E34" s="154">
        <f t="shared" si="5"/>
        <v>135907.75</v>
      </c>
      <c r="F34" s="154">
        <f t="shared" si="5"/>
        <v>36231.009999999995</v>
      </c>
      <c r="G34" s="154">
        <f t="shared" si="5"/>
        <v>100960.10999999999</v>
      </c>
      <c r="H34" s="154">
        <f t="shared" si="5"/>
        <v>137191.12</v>
      </c>
      <c r="I34" s="154">
        <f t="shared" ref="I34:N34" si="6">SUM(I20:I33)</f>
        <v>35924.80999999999</v>
      </c>
      <c r="J34" s="154">
        <f t="shared" si="6"/>
        <v>100363.98000000001</v>
      </c>
      <c r="K34" s="154">
        <f t="shared" si="6"/>
        <v>136288.79</v>
      </c>
      <c r="L34" s="154">
        <f t="shared" si="6"/>
        <v>35717.130000000012</v>
      </c>
      <c r="M34" s="154">
        <f t="shared" si="6"/>
        <v>100449.10999999991</v>
      </c>
      <c r="N34" s="154">
        <f t="shared" si="6"/>
        <v>136166.23999999993</v>
      </c>
      <c r="O34" s="342"/>
    </row>
    <row r="35" spans="1:15" x14ac:dyDescent="0.25">
      <c r="A35" s="496" t="s">
        <v>272</v>
      </c>
      <c r="B35" s="496"/>
      <c r="C35" s="496"/>
      <c r="D35" s="496"/>
      <c r="E35" s="496"/>
      <c r="F35" s="496"/>
      <c r="G35" s="496"/>
      <c r="H35" s="496"/>
      <c r="I35" s="496"/>
      <c r="J35" s="496"/>
      <c r="K35" s="496"/>
      <c r="L35" s="496"/>
      <c r="M35" s="496"/>
      <c r="N35" s="496"/>
      <c r="O35" s="31"/>
    </row>
  </sheetData>
  <mergeCells count="29">
    <mergeCell ref="A1:O1"/>
    <mergeCell ref="A2:O2"/>
    <mergeCell ref="A8:O8"/>
    <mergeCell ref="A9:O9"/>
    <mergeCell ref="A10:O10"/>
    <mergeCell ref="F18:H18"/>
    <mergeCell ref="I18:K18"/>
    <mergeCell ref="A24:B24"/>
    <mergeCell ref="A34:B34"/>
    <mergeCell ref="A27:B27"/>
    <mergeCell ref="A28:B28"/>
    <mergeCell ref="A31:B31"/>
    <mergeCell ref="A32:B32"/>
    <mergeCell ref="A11:O11"/>
    <mergeCell ref="A12:O12"/>
    <mergeCell ref="A35:N35"/>
    <mergeCell ref="A33:B33"/>
    <mergeCell ref="A22:B22"/>
    <mergeCell ref="A23:B23"/>
    <mergeCell ref="A17:N17"/>
    <mergeCell ref="A18:B19"/>
    <mergeCell ref="A21:B21"/>
    <mergeCell ref="A20:B20"/>
    <mergeCell ref="L18:N18"/>
    <mergeCell ref="A30:B30"/>
    <mergeCell ref="A29:B29"/>
    <mergeCell ref="A25:B25"/>
    <mergeCell ref="C18:E18"/>
    <mergeCell ref="A26:B26"/>
  </mergeCells>
  <phoneticPr fontId="59" type="noConversion"/>
  <pageMargins left="1" right="1" top="1" bottom="1" header="0.5" footer="0.5"/>
  <pageSetup scale="90" fitToHeight="0" orientation="landscape" r:id="rId1"/>
  <rowBreaks count="1" manualBreakCount="1">
    <brk id="15" max="16383" man="1"/>
  </rowBreaks>
  <ignoredErrors>
    <ignoredError sqref="B7:L7" formulaRange="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S23"/>
  <sheetViews>
    <sheetView zoomScaleNormal="100" workbookViewId="0">
      <selection sqref="A1:P1"/>
    </sheetView>
  </sheetViews>
  <sheetFormatPr baseColWidth="10" defaultColWidth="11.42578125" defaultRowHeight="15" x14ac:dyDescent="0.25"/>
  <cols>
    <col min="1" max="1" width="12.7109375" bestFit="1" customWidth="1"/>
    <col min="2" max="12" width="7.5703125" bestFit="1" customWidth="1"/>
    <col min="13" max="15" width="8.42578125" bestFit="1" customWidth="1"/>
    <col min="16" max="16" width="8.28515625" customWidth="1"/>
  </cols>
  <sheetData>
    <row r="1" spans="1:19" x14ac:dyDescent="0.25">
      <c r="A1" s="463" t="s">
        <v>588</v>
      </c>
      <c r="B1" s="463"/>
      <c r="C1" s="463"/>
      <c r="D1" s="463"/>
      <c r="E1" s="463"/>
      <c r="F1" s="463"/>
      <c r="G1" s="463"/>
      <c r="H1" s="463"/>
      <c r="I1" s="463"/>
      <c r="J1" s="463"/>
      <c r="K1" s="463"/>
      <c r="L1" s="463"/>
      <c r="M1" s="463"/>
      <c r="N1" s="463"/>
      <c r="O1" s="463"/>
      <c r="P1" s="463"/>
    </row>
    <row r="2" spans="1:19" x14ac:dyDescent="0.25">
      <c r="A2" s="509" t="s">
        <v>273</v>
      </c>
      <c r="B2" s="464" t="s">
        <v>274</v>
      </c>
      <c r="C2" s="464"/>
      <c r="D2" s="464"/>
      <c r="E2" s="464"/>
      <c r="F2" s="464"/>
      <c r="G2" s="464"/>
      <c r="H2" s="464"/>
      <c r="I2" s="464"/>
      <c r="J2" s="464"/>
      <c r="K2" s="464"/>
      <c r="L2" s="464"/>
      <c r="M2" s="464"/>
      <c r="N2" s="464"/>
      <c r="O2" s="464"/>
      <c r="P2" s="464"/>
    </row>
    <row r="3" spans="1:19" x14ac:dyDescent="0.25">
      <c r="A3" s="509"/>
      <c r="B3" s="179">
        <v>2006</v>
      </c>
      <c r="C3" s="179">
        <v>2007</v>
      </c>
      <c r="D3" s="179">
        <v>2008</v>
      </c>
      <c r="E3" s="179">
        <v>2009</v>
      </c>
      <c r="F3" s="179">
        <v>2010</v>
      </c>
      <c r="G3" s="179">
        <v>2011</v>
      </c>
      <c r="H3" s="179">
        <v>2012</v>
      </c>
      <c r="I3" s="179">
        <v>2013</v>
      </c>
      <c r="J3" s="179">
        <v>2014</v>
      </c>
      <c r="K3" s="179">
        <v>2015</v>
      </c>
      <c r="L3" s="219">
        <v>2016</v>
      </c>
      <c r="M3" s="219">
        <v>2017</v>
      </c>
      <c r="N3" s="219">
        <v>2018</v>
      </c>
      <c r="O3" s="219">
        <v>2019</v>
      </c>
      <c r="P3" s="219">
        <v>2020</v>
      </c>
    </row>
    <row r="4" spans="1:19" x14ac:dyDescent="0.25">
      <c r="A4" s="127" t="s">
        <v>275</v>
      </c>
      <c r="B4" s="155">
        <v>40788.6</v>
      </c>
      <c r="C4" s="155">
        <v>40765.9</v>
      </c>
      <c r="D4" s="155">
        <v>38806.269999999997</v>
      </c>
      <c r="E4" s="155">
        <v>40727.949999999997</v>
      </c>
      <c r="F4" s="155">
        <v>38425.67</v>
      </c>
      <c r="G4" s="155">
        <v>40836.949999999997</v>
      </c>
      <c r="H4" s="155">
        <v>41521.930000000008</v>
      </c>
      <c r="I4" s="155">
        <v>42195.360000000001</v>
      </c>
      <c r="J4" s="155">
        <v>44176.37</v>
      </c>
      <c r="K4" s="155">
        <v>43211.01</v>
      </c>
      <c r="L4" s="156">
        <v>42408.65</v>
      </c>
      <c r="M4" s="156">
        <v>41155.97</v>
      </c>
      <c r="N4" s="156">
        <v>41098.58</v>
      </c>
      <c r="O4" s="156">
        <v>40204.730000000003</v>
      </c>
      <c r="P4" s="156">
        <v>40053.480000000032</v>
      </c>
      <c r="Q4" s="222"/>
      <c r="S4" s="31"/>
    </row>
    <row r="5" spans="1:19" x14ac:dyDescent="0.25">
      <c r="A5" s="127" t="s">
        <v>276</v>
      </c>
      <c r="B5" s="155">
        <v>8697.2999999999993</v>
      </c>
      <c r="C5" s="155">
        <v>8862.2999999999993</v>
      </c>
      <c r="D5" s="155">
        <v>11243.56</v>
      </c>
      <c r="E5" s="155">
        <v>12159.06</v>
      </c>
      <c r="F5" s="155">
        <v>13277.82</v>
      </c>
      <c r="G5" s="155">
        <v>13922.32</v>
      </c>
      <c r="H5" s="155">
        <v>14131.97</v>
      </c>
      <c r="I5" s="155">
        <v>14392.98</v>
      </c>
      <c r="J5" s="155">
        <v>15142.33</v>
      </c>
      <c r="K5" s="155">
        <v>15172.99</v>
      </c>
      <c r="L5" s="156">
        <v>14999.23</v>
      </c>
      <c r="M5" s="156">
        <v>15161.98</v>
      </c>
      <c r="N5" s="156">
        <v>15383.48</v>
      </c>
      <c r="O5" s="156">
        <v>15222.18</v>
      </c>
      <c r="P5" s="156">
        <v>15224.260000000009</v>
      </c>
      <c r="Q5" s="222"/>
      <c r="S5" s="31"/>
    </row>
    <row r="6" spans="1:19" x14ac:dyDescent="0.25">
      <c r="A6" s="127" t="s">
        <v>131</v>
      </c>
      <c r="B6" s="155">
        <v>13367.7</v>
      </c>
      <c r="C6" s="155">
        <v>13283</v>
      </c>
      <c r="D6" s="155">
        <v>9656.2000000000007</v>
      </c>
      <c r="E6" s="155">
        <v>10040.5</v>
      </c>
      <c r="F6" s="155">
        <v>10640.15</v>
      </c>
      <c r="G6" s="155">
        <v>11431.95</v>
      </c>
      <c r="H6" s="155">
        <v>11649.07</v>
      </c>
      <c r="I6" s="155">
        <v>11925.19</v>
      </c>
      <c r="J6" s="155">
        <v>12480.13</v>
      </c>
      <c r="K6" s="155">
        <v>12242.78</v>
      </c>
      <c r="L6" s="156">
        <v>12056.67</v>
      </c>
      <c r="M6" s="156">
        <v>11702.929999999998</v>
      </c>
      <c r="N6" s="156">
        <v>11843.75</v>
      </c>
      <c r="O6" s="156">
        <v>11757.17</v>
      </c>
      <c r="P6" s="156">
        <v>11366.2</v>
      </c>
      <c r="Q6" s="100"/>
      <c r="S6" s="31"/>
    </row>
    <row r="7" spans="1:19" x14ac:dyDescent="0.25">
      <c r="A7" s="127" t="s">
        <v>119</v>
      </c>
      <c r="B7" s="155">
        <v>8548.4</v>
      </c>
      <c r="C7" s="155">
        <v>8733.4</v>
      </c>
      <c r="D7" s="155">
        <v>12739.27</v>
      </c>
      <c r="E7" s="155">
        <v>13082.29</v>
      </c>
      <c r="F7" s="155">
        <v>10834.02</v>
      </c>
      <c r="G7" s="155">
        <v>10970.36</v>
      </c>
      <c r="H7" s="155">
        <v>10570.910000000002</v>
      </c>
      <c r="I7" s="155">
        <v>10693.92</v>
      </c>
      <c r="J7" s="155">
        <v>11633.83</v>
      </c>
      <c r="K7" s="155">
        <v>11698.3</v>
      </c>
      <c r="L7" s="156">
        <v>11434.73</v>
      </c>
      <c r="M7" s="156">
        <v>11297.15</v>
      </c>
      <c r="N7" s="156">
        <v>11241.53</v>
      </c>
      <c r="O7" s="156">
        <v>11124.33</v>
      </c>
      <c r="P7" s="156">
        <v>10919.79</v>
      </c>
      <c r="S7" s="31"/>
    </row>
    <row r="8" spans="1:19" x14ac:dyDescent="0.25">
      <c r="A8" s="127" t="s">
        <v>277</v>
      </c>
      <c r="B8" s="155">
        <v>7182.7</v>
      </c>
      <c r="C8" s="155">
        <v>7283.7</v>
      </c>
      <c r="D8" s="155">
        <v>8248.83</v>
      </c>
      <c r="E8" s="155">
        <v>8826.7000000000007</v>
      </c>
      <c r="F8" s="155">
        <v>9501.99</v>
      </c>
      <c r="G8" s="155">
        <v>10040</v>
      </c>
      <c r="H8" s="155">
        <v>10418.06</v>
      </c>
      <c r="I8" s="155">
        <v>10732.48</v>
      </c>
      <c r="J8" s="155">
        <v>11319.49</v>
      </c>
      <c r="K8" s="155">
        <v>10860.86</v>
      </c>
      <c r="L8" s="156">
        <v>10503.29</v>
      </c>
      <c r="M8" s="156">
        <v>10249.56</v>
      </c>
      <c r="N8" s="156">
        <v>10646.77</v>
      </c>
      <c r="O8" s="156">
        <v>10732.12</v>
      </c>
      <c r="P8" s="156">
        <v>10836.809999999994</v>
      </c>
      <c r="S8" s="31"/>
    </row>
    <row r="9" spans="1:19" x14ac:dyDescent="0.25">
      <c r="A9" s="127" t="s">
        <v>148</v>
      </c>
      <c r="B9" s="155">
        <v>14955</v>
      </c>
      <c r="C9" s="155">
        <v>15042</v>
      </c>
      <c r="D9" s="155">
        <v>3374.27</v>
      </c>
      <c r="E9" s="155">
        <v>3868.29</v>
      </c>
      <c r="F9" s="155">
        <v>5855.13</v>
      </c>
      <c r="G9" s="155">
        <v>7079.16</v>
      </c>
      <c r="H9" s="155">
        <v>7247.52</v>
      </c>
      <c r="I9" s="155">
        <v>7338.68</v>
      </c>
      <c r="J9" s="155">
        <v>7652.58</v>
      </c>
      <c r="K9" s="155">
        <v>12520.57</v>
      </c>
      <c r="L9" s="156">
        <v>9684.2000000000007</v>
      </c>
      <c r="M9" s="156">
        <v>10056.119999999999</v>
      </c>
      <c r="N9" s="156">
        <v>10236.540000000001</v>
      </c>
      <c r="O9" s="156">
        <v>10319.379999999999</v>
      </c>
      <c r="P9" s="156">
        <v>10442.589999999984</v>
      </c>
      <c r="S9" s="31"/>
    </row>
    <row r="10" spans="1:19" x14ac:dyDescent="0.25">
      <c r="A10" s="127" t="s">
        <v>133</v>
      </c>
      <c r="B10" s="155">
        <v>3369.6</v>
      </c>
      <c r="C10" s="155">
        <v>3513</v>
      </c>
      <c r="D10" s="155">
        <v>5390.71</v>
      </c>
      <c r="E10" s="155">
        <v>6027.01</v>
      </c>
      <c r="F10" s="155">
        <v>6886.77</v>
      </c>
      <c r="G10" s="155">
        <v>7393.45</v>
      </c>
      <c r="H10" s="155">
        <v>7744.63</v>
      </c>
      <c r="I10" s="155">
        <v>7933.12</v>
      </c>
      <c r="J10" s="155">
        <v>8432.24</v>
      </c>
      <c r="K10" s="155">
        <v>8232.68</v>
      </c>
      <c r="L10" s="156">
        <v>7994.35</v>
      </c>
      <c r="M10" s="156">
        <v>7737.7099999999982</v>
      </c>
      <c r="N10" s="156">
        <v>7668.49</v>
      </c>
      <c r="O10" s="156">
        <v>7528.54</v>
      </c>
      <c r="P10" s="156">
        <v>7399.92</v>
      </c>
      <c r="S10" s="31"/>
    </row>
    <row r="11" spans="1:19" x14ac:dyDescent="0.25">
      <c r="A11" s="127" t="s">
        <v>278</v>
      </c>
      <c r="B11" s="155">
        <v>6029.3</v>
      </c>
      <c r="C11" s="155">
        <v>6035.4</v>
      </c>
      <c r="D11" s="155">
        <v>1054.29</v>
      </c>
      <c r="E11" s="155">
        <v>1090.33</v>
      </c>
      <c r="F11" s="155">
        <v>3117.54</v>
      </c>
      <c r="G11" s="155">
        <v>3266.01</v>
      </c>
      <c r="H11" s="155">
        <v>3320.6999999999994</v>
      </c>
      <c r="I11" s="155">
        <v>3344.42</v>
      </c>
      <c r="J11" s="155">
        <v>3574.28</v>
      </c>
      <c r="K11" s="155">
        <v>4031.5</v>
      </c>
      <c r="L11" s="156">
        <v>4274.8</v>
      </c>
      <c r="M11" s="156">
        <v>4327.8100000000004</v>
      </c>
      <c r="N11" s="156">
        <v>4285.3599999999997</v>
      </c>
      <c r="O11" s="156">
        <v>4368.7700000000004</v>
      </c>
      <c r="P11" s="156">
        <v>4298.3199999999879</v>
      </c>
      <c r="S11" s="31"/>
    </row>
    <row r="12" spans="1:19" x14ac:dyDescent="0.25">
      <c r="A12" s="127" t="s">
        <v>132</v>
      </c>
      <c r="B12" s="155">
        <v>1381.9</v>
      </c>
      <c r="C12" s="155">
        <v>1412.8</v>
      </c>
      <c r="D12" s="155">
        <v>2597.9899999999998</v>
      </c>
      <c r="E12" s="155">
        <v>2884.04</v>
      </c>
      <c r="F12" s="155">
        <v>3306.82</v>
      </c>
      <c r="G12" s="155">
        <v>3729.32</v>
      </c>
      <c r="H12" s="155">
        <v>4012.4500000000003</v>
      </c>
      <c r="I12" s="155">
        <v>4059.89</v>
      </c>
      <c r="J12" s="155">
        <v>4195.8500000000004</v>
      </c>
      <c r="K12" s="155">
        <v>4148.55</v>
      </c>
      <c r="L12" s="156">
        <v>4090.53</v>
      </c>
      <c r="M12" s="156">
        <v>4041.0400000000004</v>
      </c>
      <c r="N12" s="156">
        <v>4143.6099999999997</v>
      </c>
      <c r="O12" s="156">
        <v>4045.01</v>
      </c>
      <c r="P12" s="156">
        <v>4178.7800000000007</v>
      </c>
      <c r="S12" s="31"/>
    </row>
    <row r="13" spans="1:19" x14ac:dyDescent="0.25">
      <c r="A13" s="127" t="s">
        <v>246</v>
      </c>
      <c r="B13" s="155">
        <v>1027.3</v>
      </c>
      <c r="C13" s="155">
        <v>1050</v>
      </c>
      <c r="D13" s="155">
        <v>1148.28</v>
      </c>
      <c r="E13" s="155">
        <v>1263.78</v>
      </c>
      <c r="F13" s="155">
        <v>1489.39</v>
      </c>
      <c r="G13" s="155">
        <v>1827.86</v>
      </c>
      <c r="H13" s="155">
        <v>1980.61</v>
      </c>
      <c r="I13" s="155">
        <v>2103.85</v>
      </c>
      <c r="J13" s="155">
        <v>2309.5100000000002</v>
      </c>
      <c r="K13" s="155">
        <v>2312.94</v>
      </c>
      <c r="L13" s="156">
        <v>2292.8200000000002</v>
      </c>
      <c r="M13" s="156">
        <v>2248.6999999999998</v>
      </c>
      <c r="N13" s="156">
        <v>2340.2399999999998</v>
      </c>
      <c r="O13" s="156">
        <v>2336.54</v>
      </c>
      <c r="P13" s="156">
        <v>2361.5399999999995</v>
      </c>
      <c r="S13" s="31"/>
    </row>
    <row r="14" spans="1:19" x14ac:dyDescent="0.25">
      <c r="A14" s="127" t="s">
        <v>279</v>
      </c>
      <c r="B14" s="155">
        <v>1142.9000000000001</v>
      </c>
      <c r="C14" s="155">
        <v>1177.3</v>
      </c>
      <c r="D14" s="155">
        <v>1226.1600000000001</v>
      </c>
      <c r="E14" s="155">
        <v>1320.77</v>
      </c>
      <c r="F14" s="155">
        <v>1345.01</v>
      </c>
      <c r="G14" s="155">
        <v>1450.96</v>
      </c>
      <c r="H14" s="155">
        <v>1533.2800000000002</v>
      </c>
      <c r="I14" s="155">
        <v>1591.26</v>
      </c>
      <c r="J14" s="155">
        <v>1661.46</v>
      </c>
      <c r="K14" s="155">
        <v>1671.84</v>
      </c>
      <c r="L14" s="156">
        <v>1578.39</v>
      </c>
      <c r="M14" s="156">
        <v>1578.34</v>
      </c>
      <c r="N14" s="156">
        <v>1646.29</v>
      </c>
      <c r="O14" s="156">
        <v>1684.55</v>
      </c>
      <c r="P14" s="156">
        <v>1691.9899999999998</v>
      </c>
      <c r="S14" s="31"/>
    </row>
    <row r="15" spans="1:19" x14ac:dyDescent="0.25">
      <c r="A15" s="127" t="s">
        <v>145</v>
      </c>
      <c r="B15" s="155">
        <f>5109.5+4925.7+262.6</f>
        <v>10297.800000000001</v>
      </c>
      <c r="C15" s="155">
        <f>5175.5+4916.3+308.3</f>
        <v>10400.099999999999</v>
      </c>
      <c r="D15" s="155">
        <f>3188.37+5358+684.81</f>
        <v>9231.1799999999985</v>
      </c>
      <c r="E15" s="155">
        <f>3507.24+5974+753.03</f>
        <v>10234.27</v>
      </c>
      <c r="F15" s="155">
        <f>4189.53+7175.63+785.31</f>
        <v>12150.47</v>
      </c>
      <c r="G15" s="155">
        <f>4578.73+8501.09+918.07</f>
        <v>13997.89</v>
      </c>
      <c r="H15" s="155">
        <f>13605.09+901.65</f>
        <v>14506.74</v>
      </c>
      <c r="I15" s="155">
        <f>4491.07+8726.95+832.53</f>
        <v>14050.550000000001</v>
      </c>
      <c r="J15" s="155">
        <f>4611.88+9524.09+878.4</f>
        <v>15014.37</v>
      </c>
      <c r="K15" s="155">
        <f>4606.83+10342.32+864.96</f>
        <v>15814.11</v>
      </c>
      <c r="L15" s="156">
        <f>4556.91+10660.9+839.46</f>
        <v>16057.27</v>
      </c>
      <c r="M15" s="156">
        <f>4542.72+11002.3+805.42</f>
        <v>16350.44</v>
      </c>
      <c r="N15" s="156">
        <f>4511.77+11335.84+808.34</f>
        <v>16655.95</v>
      </c>
      <c r="O15" s="156">
        <f>4415.92+11755.69+793.61</f>
        <v>16965.22</v>
      </c>
      <c r="P15" s="156">
        <v>17392.560000000005</v>
      </c>
      <c r="S15" s="31"/>
    </row>
    <row r="16" spans="1:19" x14ac:dyDescent="0.25">
      <c r="A16" s="157" t="s">
        <v>280</v>
      </c>
      <c r="B16" s="158">
        <f t="shared" ref="B16:N16" si="0">SUM(B4:B15)</f>
        <v>116788.49999999999</v>
      </c>
      <c r="C16" s="158">
        <f t="shared" si="0"/>
        <v>117558.9</v>
      </c>
      <c r="D16" s="158">
        <f t="shared" si="0"/>
        <v>104717.01000000001</v>
      </c>
      <c r="E16" s="158">
        <f t="shared" si="0"/>
        <v>111524.98999999998</v>
      </c>
      <c r="F16" s="158">
        <f t="shared" si="0"/>
        <v>116830.78000000001</v>
      </c>
      <c r="G16" s="158">
        <f t="shared" si="0"/>
        <v>125946.23000000001</v>
      </c>
      <c r="H16" s="158">
        <f t="shared" si="0"/>
        <v>128637.87000000001</v>
      </c>
      <c r="I16" s="158">
        <f t="shared" si="0"/>
        <v>130361.69999999998</v>
      </c>
      <c r="J16" s="158">
        <f t="shared" si="0"/>
        <v>137592.44000000003</v>
      </c>
      <c r="K16" s="158">
        <f t="shared" si="0"/>
        <v>141918.13</v>
      </c>
      <c r="L16" s="158">
        <f t="shared" si="0"/>
        <v>137374.93000000002</v>
      </c>
      <c r="M16" s="158">
        <f t="shared" si="0"/>
        <v>135907.74999999994</v>
      </c>
      <c r="N16" s="144">
        <f t="shared" si="0"/>
        <v>137190.59</v>
      </c>
      <c r="O16" s="144">
        <f>SUM(O4:O15)</f>
        <v>136288.53999999998</v>
      </c>
      <c r="P16" s="249">
        <f>SUM(P4:P15)</f>
        <v>136166.24000000002</v>
      </c>
    </row>
    <row r="17" spans="1:16" x14ac:dyDescent="0.25">
      <c r="A17" s="465" t="s">
        <v>281</v>
      </c>
      <c r="B17" s="465"/>
      <c r="C17" s="465"/>
      <c r="D17" s="465"/>
      <c r="E17" s="465"/>
      <c r="F17" s="465"/>
      <c r="G17" s="465"/>
      <c r="H17" s="465"/>
      <c r="I17" s="465"/>
      <c r="J17" s="465"/>
      <c r="K17" s="465"/>
      <c r="L17" s="465"/>
      <c r="M17" s="465"/>
      <c r="N17" s="465"/>
      <c r="O17" s="465"/>
      <c r="P17" s="465"/>
    </row>
    <row r="18" spans="1:16" ht="14.45" customHeight="1" x14ac:dyDescent="0.25">
      <c r="A18" s="495" t="s">
        <v>282</v>
      </c>
      <c r="B18" s="495"/>
      <c r="C18" s="495"/>
      <c r="D18" s="495"/>
      <c r="E18" s="495"/>
      <c r="F18" s="495"/>
      <c r="G18" s="495"/>
      <c r="H18" s="495"/>
      <c r="I18" s="495"/>
      <c r="J18" s="495"/>
      <c r="K18" s="495"/>
      <c r="L18" s="495"/>
      <c r="M18" s="495"/>
      <c r="N18" s="495"/>
      <c r="O18" s="495"/>
      <c r="P18" s="495"/>
    </row>
    <row r="19" spans="1:16" ht="21.75" customHeight="1" x14ac:dyDescent="0.25">
      <c r="A19" s="495"/>
      <c r="B19" s="495"/>
      <c r="C19" s="495"/>
      <c r="D19" s="495"/>
      <c r="E19" s="495"/>
      <c r="F19" s="495"/>
      <c r="G19" s="495"/>
      <c r="H19" s="495"/>
      <c r="I19" s="495"/>
      <c r="J19" s="495"/>
      <c r="K19" s="495"/>
      <c r="L19" s="495"/>
      <c r="M19" s="495"/>
      <c r="N19" s="495"/>
      <c r="O19" s="495"/>
      <c r="P19" s="495"/>
    </row>
    <row r="20" spans="1:16" x14ac:dyDescent="0.25">
      <c r="A20" s="31"/>
      <c r="B20" s="31"/>
      <c r="C20" s="31"/>
      <c r="D20" s="58"/>
      <c r="E20" s="58"/>
      <c r="F20" s="58"/>
      <c r="G20" s="31"/>
      <c r="H20" s="31"/>
      <c r="I20" s="31"/>
      <c r="J20" s="31"/>
      <c r="K20" s="31"/>
      <c r="L20" s="31"/>
      <c r="M20" s="31"/>
      <c r="N20" s="31"/>
      <c r="O20" s="31"/>
      <c r="P20" s="31"/>
    </row>
    <row r="21" spans="1:16" x14ac:dyDescent="0.25">
      <c r="A21" s="31"/>
      <c r="B21" s="31"/>
      <c r="C21" s="31"/>
      <c r="D21" s="30"/>
      <c r="E21" s="30"/>
      <c r="F21" s="30"/>
      <c r="G21" s="30"/>
      <c r="H21" s="30"/>
      <c r="I21" s="30"/>
      <c r="J21" s="30"/>
      <c r="K21" s="30"/>
      <c r="L21" s="30"/>
      <c r="M21" s="30"/>
      <c r="N21" s="30"/>
      <c r="O21" s="30"/>
      <c r="P21" s="31"/>
    </row>
    <row r="22" spans="1:16" x14ac:dyDescent="0.25">
      <c r="B22" s="109"/>
      <c r="C22" s="109"/>
      <c r="D22" s="109"/>
      <c r="E22" s="109"/>
      <c r="F22" s="109"/>
      <c r="G22" s="109"/>
      <c r="H22" s="109"/>
      <c r="I22" s="109"/>
      <c r="J22" s="109"/>
      <c r="K22" s="109"/>
      <c r="L22" s="109"/>
      <c r="M22" s="109"/>
      <c r="N22" s="109"/>
      <c r="O22" s="109"/>
    </row>
    <row r="23" spans="1:16" x14ac:dyDescent="0.25">
      <c r="B23" s="109"/>
      <c r="C23" s="109"/>
      <c r="D23" s="109"/>
      <c r="E23" s="109"/>
      <c r="F23" s="109"/>
      <c r="G23" s="109"/>
      <c r="H23" s="109"/>
      <c r="I23" s="109"/>
      <c r="J23" s="109"/>
      <c r="K23" s="109"/>
      <c r="L23" s="109"/>
      <c r="M23" s="109"/>
      <c r="N23" s="109"/>
      <c r="O23" s="109"/>
    </row>
  </sheetData>
  <mergeCells count="5">
    <mergeCell ref="A2:A3"/>
    <mergeCell ref="A1:P1"/>
    <mergeCell ref="B2:P2"/>
    <mergeCell ref="A17:P17"/>
    <mergeCell ref="A18:P19"/>
  </mergeCells>
  <phoneticPr fontId="59" type="noConversion"/>
  <pageMargins left="1" right="1" top="1" bottom="1" header="0.5" footer="0.5"/>
  <pageSetup scale="88" fitToHeight="0" orientation="landscape"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R18"/>
  <sheetViews>
    <sheetView workbookViewId="0">
      <selection sqref="A1:M1"/>
    </sheetView>
  </sheetViews>
  <sheetFormatPr baseColWidth="10" defaultColWidth="11.42578125" defaultRowHeight="15" x14ac:dyDescent="0.25"/>
  <cols>
    <col min="1" max="1" width="26.28515625" customWidth="1"/>
    <col min="2" max="12" width="6.7109375" customWidth="1"/>
    <col min="13" max="13" width="5.5703125" style="346" bestFit="1" customWidth="1"/>
  </cols>
  <sheetData>
    <row r="1" spans="1:18" ht="22.9" customHeight="1" x14ac:dyDescent="0.25">
      <c r="A1" s="510" t="s">
        <v>589</v>
      </c>
      <c r="B1" s="511"/>
      <c r="C1" s="511"/>
      <c r="D1" s="511"/>
      <c r="E1" s="511"/>
      <c r="F1" s="511"/>
      <c r="G1" s="511"/>
      <c r="H1" s="511"/>
      <c r="I1" s="511"/>
      <c r="J1" s="511"/>
      <c r="K1" s="511"/>
      <c r="L1" s="511"/>
      <c r="M1" s="512"/>
      <c r="N1" s="31"/>
      <c r="O1" s="31"/>
      <c r="P1" s="31"/>
      <c r="Q1" s="31"/>
      <c r="R1" s="31"/>
    </row>
    <row r="2" spans="1:18" x14ac:dyDescent="0.25">
      <c r="A2" s="182" t="s">
        <v>188</v>
      </c>
      <c r="B2" s="174">
        <v>2010</v>
      </c>
      <c r="C2" s="174">
        <v>2011</v>
      </c>
      <c r="D2" s="174">
        <v>2012</v>
      </c>
      <c r="E2" s="174">
        <v>2013</v>
      </c>
      <c r="F2" s="174">
        <v>2014</v>
      </c>
      <c r="G2" s="174">
        <v>2015</v>
      </c>
      <c r="H2" s="174">
        <v>2016</v>
      </c>
      <c r="I2" s="174">
        <v>2017</v>
      </c>
      <c r="J2" s="181">
        <v>2018</v>
      </c>
      <c r="K2" s="181">
        <v>2019</v>
      </c>
      <c r="L2" s="181">
        <v>2020</v>
      </c>
      <c r="M2" s="344">
        <v>2021</v>
      </c>
      <c r="N2" s="31"/>
      <c r="O2" s="31"/>
      <c r="P2" s="31"/>
      <c r="Q2" s="31"/>
      <c r="R2" s="31"/>
    </row>
    <row r="3" spans="1:18" x14ac:dyDescent="0.25">
      <c r="A3" s="126" t="s">
        <v>189</v>
      </c>
      <c r="B3" s="183">
        <v>841.69370200000003</v>
      </c>
      <c r="C3" s="183">
        <v>701.12158899999997</v>
      </c>
      <c r="D3" s="183">
        <v>816.66533300000003</v>
      </c>
      <c r="E3" s="183">
        <f>D14</f>
        <v>1042.6350540000001</v>
      </c>
      <c r="F3" s="183">
        <f t="shared" ref="F3:M3" si="0">E14</f>
        <v>1182.0124169999999</v>
      </c>
      <c r="G3" s="183">
        <f t="shared" si="0"/>
        <v>1060.041567</v>
      </c>
      <c r="H3" s="183">
        <f t="shared" si="0"/>
        <v>1238.058628</v>
      </c>
      <c r="I3" s="183">
        <f t="shared" si="0"/>
        <v>1131.275347</v>
      </c>
      <c r="J3" s="183">
        <f t="shared" si="0"/>
        <v>1015.955607</v>
      </c>
      <c r="K3" s="183">
        <f t="shared" si="0"/>
        <v>1266.7116129999999</v>
      </c>
      <c r="L3" s="183">
        <f t="shared" si="0"/>
        <v>1296.1532139999999</v>
      </c>
      <c r="M3" s="183">
        <f t="shared" si="0"/>
        <v>1200.786564</v>
      </c>
      <c r="N3" s="31"/>
      <c r="O3" s="31"/>
      <c r="P3" s="31"/>
      <c r="Q3" s="31"/>
      <c r="R3" s="31"/>
    </row>
    <row r="4" spans="1:18" x14ac:dyDescent="0.25">
      <c r="A4" s="127" t="s">
        <v>190</v>
      </c>
      <c r="B4" s="183">
        <f>B3-B5+B8+B9+B13-B14</f>
        <v>362.63782416900006</v>
      </c>
      <c r="C4" s="183">
        <f>C3-C5+C8+C9+C13-C14</f>
        <v>304.59239389899983</v>
      </c>
      <c r="D4" s="183">
        <f t="shared" ref="D4:M4" si="1">D3-D5+D8+D9+D13-D14</f>
        <v>316.93008420000001</v>
      </c>
      <c r="E4" s="183">
        <f t="shared" si="1"/>
        <v>291.64517870500003</v>
      </c>
      <c r="F4" s="183">
        <f t="shared" si="1"/>
        <v>336.93893946200001</v>
      </c>
      <c r="G4" s="183">
        <f t="shared" si="1"/>
        <v>259.2657318813001</v>
      </c>
      <c r="H4" s="183">
        <f t="shared" si="1"/>
        <v>243.14138051870032</v>
      </c>
      <c r="I4" s="183">
        <f t="shared" si="1"/>
        <v>126.02914631400006</v>
      </c>
      <c r="J4" s="183">
        <f t="shared" si="1"/>
        <v>196.55352945160007</v>
      </c>
      <c r="K4" s="183">
        <f t="shared" si="1"/>
        <v>298.16545645199994</v>
      </c>
      <c r="L4" s="183">
        <f t="shared" si="1"/>
        <v>282.52179546100001</v>
      </c>
      <c r="M4" s="183">
        <f t="shared" si="1"/>
        <v>399.15787667999984</v>
      </c>
      <c r="N4" s="31"/>
      <c r="O4" s="31"/>
      <c r="P4" s="31"/>
      <c r="Q4" s="31"/>
      <c r="R4" s="31"/>
    </row>
    <row r="5" spans="1:18" x14ac:dyDescent="0.25">
      <c r="A5" s="127" t="s">
        <v>191</v>
      </c>
      <c r="B5" s="183">
        <f>B6+B7</f>
        <v>725</v>
      </c>
      <c r="C5" s="183">
        <f t="shared" ref="C5:M5" si="2">C6+C7</f>
        <v>660</v>
      </c>
      <c r="D5" s="183">
        <f t="shared" si="2"/>
        <v>744</v>
      </c>
      <c r="E5" s="183">
        <f t="shared" si="2"/>
        <v>873</v>
      </c>
      <c r="F5" s="183">
        <f t="shared" si="2"/>
        <v>796</v>
      </c>
      <c r="G5" s="183">
        <f t="shared" si="2"/>
        <v>875</v>
      </c>
      <c r="H5" s="183">
        <f t="shared" si="2"/>
        <v>906</v>
      </c>
      <c r="I5" s="183">
        <f t="shared" si="2"/>
        <v>940</v>
      </c>
      <c r="J5" s="183">
        <f t="shared" si="2"/>
        <v>845</v>
      </c>
      <c r="K5" s="183">
        <f t="shared" si="2"/>
        <v>868</v>
      </c>
      <c r="L5" s="183">
        <f t="shared" si="2"/>
        <v>849</v>
      </c>
      <c r="M5" s="183">
        <f t="shared" si="2"/>
        <v>865</v>
      </c>
      <c r="N5" s="31"/>
      <c r="O5" s="31"/>
      <c r="P5" s="31"/>
      <c r="Q5" s="31"/>
      <c r="R5" s="31"/>
    </row>
    <row r="6" spans="1:18" x14ac:dyDescent="0.25">
      <c r="A6" s="127" t="s">
        <v>192</v>
      </c>
      <c r="B6" s="183">
        <v>434</v>
      </c>
      <c r="C6" s="183">
        <v>450</v>
      </c>
      <c r="D6" s="183">
        <v>453</v>
      </c>
      <c r="E6" s="183">
        <v>463</v>
      </c>
      <c r="F6" s="183">
        <v>467</v>
      </c>
      <c r="G6" s="183">
        <v>490</v>
      </c>
      <c r="H6" s="183">
        <v>504</v>
      </c>
      <c r="I6" s="183">
        <v>526</v>
      </c>
      <c r="J6" s="183">
        <v>505</v>
      </c>
      <c r="K6" s="183">
        <v>490</v>
      </c>
      <c r="L6" s="183">
        <v>487</v>
      </c>
      <c r="M6" s="183">
        <v>491</v>
      </c>
      <c r="N6" s="31"/>
      <c r="O6" s="31"/>
      <c r="P6" s="31"/>
      <c r="Q6" s="31"/>
      <c r="R6" s="31"/>
    </row>
    <row r="7" spans="1:18" x14ac:dyDescent="0.25">
      <c r="A7" s="128" t="s">
        <v>564</v>
      </c>
      <c r="B7" s="183">
        <v>291</v>
      </c>
      <c r="C7" s="183">
        <v>210</v>
      </c>
      <c r="D7" s="183">
        <v>291</v>
      </c>
      <c r="E7" s="183">
        <v>410</v>
      </c>
      <c r="F7" s="183">
        <v>329</v>
      </c>
      <c r="G7" s="183">
        <v>385</v>
      </c>
      <c r="H7" s="183">
        <v>402</v>
      </c>
      <c r="I7" s="183">
        <v>414</v>
      </c>
      <c r="J7" s="183">
        <v>340</v>
      </c>
      <c r="K7" s="183">
        <v>378</v>
      </c>
      <c r="L7" s="183">
        <v>362</v>
      </c>
      <c r="M7" s="183">
        <v>374</v>
      </c>
      <c r="N7" s="31"/>
      <c r="O7" s="31"/>
      <c r="P7" s="31"/>
      <c r="Q7" s="31"/>
      <c r="R7" s="31"/>
    </row>
    <row r="8" spans="1:18" x14ac:dyDescent="0.25">
      <c r="A8" s="127" t="s">
        <v>193</v>
      </c>
      <c r="B8" s="345">
        <v>0.37512516899999998</v>
      </c>
      <c r="C8" s="345">
        <v>0.86202789899999999</v>
      </c>
      <c r="D8" s="345">
        <v>0.96102719999999997</v>
      </c>
      <c r="E8" s="345">
        <v>1.9275417050000001</v>
      </c>
      <c r="F8" s="345">
        <v>1.3409634620000002</v>
      </c>
      <c r="G8" s="345">
        <v>1.8984118812999999</v>
      </c>
      <c r="H8" s="345">
        <v>1.4002475186999999</v>
      </c>
      <c r="I8" s="345">
        <v>1.5036053139999996</v>
      </c>
      <c r="J8" s="345">
        <v>2.4125524516000003</v>
      </c>
      <c r="K8" s="345">
        <v>1.7313574519999997</v>
      </c>
      <c r="L8" s="345">
        <v>2.4323454609999997</v>
      </c>
      <c r="M8" s="345">
        <v>7.0957926799999997</v>
      </c>
      <c r="N8" s="31"/>
      <c r="O8" s="31"/>
      <c r="P8" s="31"/>
      <c r="Q8" s="31"/>
      <c r="R8" s="31"/>
    </row>
    <row r="9" spans="1:18" x14ac:dyDescent="0.25">
      <c r="A9" s="127" t="s">
        <v>194</v>
      </c>
      <c r="B9" s="183">
        <f>B10+B11+B12</f>
        <v>915.23820000000012</v>
      </c>
      <c r="C9" s="183">
        <f t="shared" ref="C9:M9" si="3">C10+C11+C12</f>
        <v>1046.3807999999999</v>
      </c>
      <c r="D9" s="183">
        <f t="shared" si="3"/>
        <v>1255.37104</v>
      </c>
      <c r="E9" s="183">
        <f t="shared" si="3"/>
        <v>1282.0949999999998</v>
      </c>
      <c r="F9" s="183">
        <f t="shared" si="3"/>
        <v>989.62712599999998</v>
      </c>
      <c r="G9" s="183">
        <f t="shared" si="3"/>
        <v>1286.6861590000001</v>
      </c>
      <c r="H9" s="183">
        <f t="shared" si="3"/>
        <v>1014.3620340000002</v>
      </c>
      <c r="I9" s="183">
        <f t="shared" si="3"/>
        <v>949.20580099999995</v>
      </c>
      <c r="J9" s="183">
        <f t="shared" si="3"/>
        <v>1289.8969830000001</v>
      </c>
      <c r="K9" s="183">
        <f t="shared" si="3"/>
        <v>1193.8756999999998</v>
      </c>
      <c r="L9" s="183">
        <f t="shared" si="3"/>
        <v>1033.7228</v>
      </c>
      <c r="M9" s="183">
        <f t="shared" si="3"/>
        <v>1343.7286869999998</v>
      </c>
      <c r="N9" s="31"/>
      <c r="O9" s="31"/>
      <c r="P9" s="31"/>
      <c r="Q9" s="31"/>
      <c r="R9" s="31"/>
    </row>
    <row r="10" spans="1:18" x14ac:dyDescent="0.25">
      <c r="A10" s="127" t="s">
        <v>195</v>
      </c>
      <c r="B10" s="183">
        <v>744.55280000000005</v>
      </c>
      <c r="C10" s="183">
        <v>828.63919999999996</v>
      </c>
      <c r="D10" s="183">
        <v>1015.985533</v>
      </c>
      <c r="E10" s="183">
        <v>1074.6398999999999</v>
      </c>
      <c r="F10" s="183">
        <v>840.96489999999994</v>
      </c>
      <c r="G10" s="183">
        <v>1081.286681</v>
      </c>
      <c r="H10" s="183">
        <v>852.48383000000013</v>
      </c>
      <c r="I10" s="183">
        <v>805.06141400000001</v>
      </c>
      <c r="J10" s="183">
        <v>1052.7819440000001</v>
      </c>
      <c r="K10" s="183">
        <v>1030.0474999999999</v>
      </c>
      <c r="L10" s="183">
        <v>888.20669999999996</v>
      </c>
      <c r="M10" s="183">
        <v>1089.357853</v>
      </c>
      <c r="N10" s="31"/>
      <c r="O10" s="31"/>
      <c r="P10" s="31"/>
      <c r="Q10" s="31"/>
      <c r="R10" s="31"/>
    </row>
    <row r="11" spans="1:18" x14ac:dyDescent="0.25">
      <c r="A11" s="127" t="s">
        <v>196</v>
      </c>
      <c r="B11" s="183">
        <v>127.16330000000001</v>
      </c>
      <c r="C11" s="183">
        <v>118.001</v>
      </c>
      <c r="D11" s="183">
        <v>171.68693099999999</v>
      </c>
      <c r="E11" s="183">
        <v>136.1019</v>
      </c>
      <c r="F11" s="183">
        <v>110.122726</v>
      </c>
      <c r="G11" s="183">
        <v>152.25428099999999</v>
      </c>
      <c r="H11" s="183">
        <v>121.77475</v>
      </c>
      <c r="I11" s="183">
        <v>110.329802</v>
      </c>
      <c r="J11" s="183">
        <v>135.89189400000001</v>
      </c>
      <c r="K11" s="183">
        <v>133.98939999999999</v>
      </c>
      <c r="L11" s="183">
        <v>121.9875</v>
      </c>
      <c r="M11" s="183">
        <v>187.47796</v>
      </c>
      <c r="N11" s="31"/>
      <c r="O11" s="31"/>
      <c r="P11" s="31"/>
      <c r="Q11" s="31"/>
      <c r="R11" s="31"/>
    </row>
    <row r="12" spans="1:18" x14ac:dyDescent="0.25">
      <c r="A12" s="127" t="s">
        <v>197</v>
      </c>
      <c r="B12" s="183">
        <v>43.522100000000002</v>
      </c>
      <c r="C12" s="183">
        <v>99.740600000000001</v>
      </c>
      <c r="D12" s="183">
        <v>67.698576000000003</v>
      </c>
      <c r="E12" s="183">
        <v>71.353200000000001</v>
      </c>
      <c r="F12" s="183">
        <v>38.539499999999997</v>
      </c>
      <c r="G12" s="183">
        <v>53.145197000000003</v>
      </c>
      <c r="H12" s="183">
        <v>40.103453999999999</v>
      </c>
      <c r="I12" s="183">
        <v>33.814585000000001</v>
      </c>
      <c r="J12" s="183">
        <v>101.223145</v>
      </c>
      <c r="K12" s="183">
        <v>29.838799999999999</v>
      </c>
      <c r="L12" s="183">
        <v>23.528600000000001</v>
      </c>
      <c r="M12" s="183">
        <v>66.892874000000006</v>
      </c>
      <c r="N12" s="31"/>
      <c r="O12" s="31"/>
      <c r="P12" s="31"/>
      <c r="Q12" s="31"/>
      <c r="R12" s="31"/>
    </row>
    <row r="13" spans="1:18" x14ac:dyDescent="0.25">
      <c r="A13" s="127" t="s">
        <v>198</v>
      </c>
      <c r="B13" s="183">
        <v>31.452386000000001</v>
      </c>
      <c r="C13" s="183">
        <v>32.89331</v>
      </c>
      <c r="D13" s="183">
        <v>30.567737999999999</v>
      </c>
      <c r="E13" s="183">
        <v>20</v>
      </c>
      <c r="F13" s="183">
        <v>20</v>
      </c>
      <c r="G13" s="183">
        <v>23.698222000000001</v>
      </c>
      <c r="H13" s="183">
        <v>26.595818000000001</v>
      </c>
      <c r="I13" s="183"/>
      <c r="J13" s="183"/>
      <c r="K13" s="183"/>
      <c r="L13" s="183"/>
      <c r="M13" s="183"/>
      <c r="N13" s="31"/>
      <c r="O13" s="31"/>
      <c r="P13" s="31"/>
      <c r="Q13" s="31"/>
      <c r="R13" s="31"/>
    </row>
    <row r="14" spans="1:18" x14ac:dyDescent="0.25">
      <c r="A14" s="129" t="s">
        <v>199</v>
      </c>
      <c r="B14" s="183">
        <v>701.12158899999997</v>
      </c>
      <c r="C14" s="183">
        <v>816.66533300000003</v>
      </c>
      <c r="D14" s="183">
        <v>1042.6350540000001</v>
      </c>
      <c r="E14" s="183">
        <v>1182.0124169999999</v>
      </c>
      <c r="F14" s="183">
        <v>1060.041567</v>
      </c>
      <c r="G14" s="183">
        <v>1238.058628</v>
      </c>
      <c r="H14" s="183">
        <v>1131.275347</v>
      </c>
      <c r="I14" s="183">
        <v>1015.955607</v>
      </c>
      <c r="J14" s="183">
        <v>1266.7116129999999</v>
      </c>
      <c r="K14" s="183">
        <v>1296.1532139999999</v>
      </c>
      <c r="L14" s="183">
        <v>1200.786564</v>
      </c>
      <c r="M14" s="183">
        <v>1287.4531669999999</v>
      </c>
      <c r="N14" s="31"/>
      <c r="O14" s="31"/>
      <c r="P14" s="31"/>
      <c r="Q14" s="31"/>
      <c r="R14" s="31"/>
    </row>
    <row r="15" spans="1:18" x14ac:dyDescent="0.25">
      <c r="A15" s="130" t="s">
        <v>200</v>
      </c>
      <c r="B15" s="131">
        <v>0.76605367761092125</v>
      </c>
      <c r="C15" s="131">
        <v>0.7804666647170897</v>
      </c>
      <c r="D15" s="131">
        <v>0.830539355121654</v>
      </c>
      <c r="E15" s="131">
        <v>0.92191651326413915</v>
      </c>
      <c r="F15" s="132">
        <v>1.0566499831569494</v>
      </c>
      <c r="G15" s="131">
        <v>0.96304540987465292</v>
      </c>
      <c r="H15" s="132">
        <v>1.1152579740578106</v>
      </c>
      <c r="I15" s="133">
        <f>I14/I9</f>
        <v>1.0703217425869904</v>
      </c>
      <c r="J15" s="133">
        <f>J14/J9</f>
        <v>0.98202540954388751</v>
      </c>
      <c r="K15" s="133">
        <f>K14/K9</f>
        <v>1.0856684778825803</v>
      </c>
      <c r="L15" s="133">
        <f>L14/L9</f>
        <v>1.1616136975986211</v>
      </c>
      <c r="M15" s="133">
        <f>M14/M9</f>
        <v>0.95811987900203255</v>
      </c>
      <c r="N15" s="31"/>
      <c r="O15" s="31"/>
      <c r="P15" s="31"/>
      <c r="Q15" s="31"/>
      <c r="R15" s="31"/>
    </row>
    <row r="16" spans="1:18" x14ac:dyDescent="0.25">
      <c r="A16" s="516" t="s">
        <v>201</v>
      </c>
      <c r="B16" s="517"/>
      <c r="C16" s="517"/>
      <c r="D16" s="517"/>
      <c r="E16" s="517"/>
      <c r="F16" s="517"/>
      <c r="G16" s="517"/>
      <c r="H16" s="517"/>
      <c r="I16" s="517"/>
      <c r="J16" s="517"/>
      <c r="K16" s="517"/>
      <c r="L16" s="517"/>
      <c r="M16" s="518"/>
      <c r="N16" s="31"/>
      <c r="O16" s="31"/>
      <c r="P16" s="31"/>
      <c r="Q16" s="31"/>
      <c r="R16" s="31"/>
    </row>
    <row r="17" spans="1:18" ht="30" customHeight="1" x14ac:dyDescent="0.25">
      <c r="A17" s="519" t="s">
        <v>202</v>
      </c>
      <c r="B17" s="520"/>
      <c r="C17" s="520"/>
      <c r="D17" s="520"/>
      <c r="E17" s="520"/>
      <c r="F17" s="520"/>
      <c r="G17" s="520"/>
      <c r="H17" s="520"/>
      <c r="I17" s="520"/>
      <c r="J17" s="520"/>
      <c r="K17" s="520"/>
      <c r="L17" s="520"/>
      <c r="M17" s="521"/>
      <c r="N17" s="31"/>
      <c r="O17" s="31"/>
      <c r="P17" s="31"/>
      <c r="Q17" s="31"/>
      <c r="R17" s="31"/>
    </row>
    <row r="18" spans="1:18" x14ac:dyDescent="0.25">
      <c r="A18" s="513" t="s">
        <v>203</v>
      </c>
      <c r="B18" s="514"/>
      <c r="C18" s="514"/>
      <c r="D18" s="514"/>
      <c r="E18" s="514"/>
      <c r="F18" s="514"/>
      <c r="G18" s="514"/>
      <c r="H18" s="514"/>
      <c r="I18" s="514"/>
      <c r="J18" s="514"/>
      <c r="K18" s="514"/>
      <c r="L18" s="514"/>
      <c r="M18" s="515"/>
      <c r="N18" s="31"/>
      <c r="O18" s="31"/>
      <c r="P18" s="31"/>
      <c r="Q18" s="31"/>
      <c r="R18" s="31"/>
    </row>
  </sheetData>
  <mergeCells count="4">
    <mergeCell ref="A1:M1"/>
    <mergeCell ref="A18:M18"/>
    <mergeCell ref="A16:M16"/>
    <mergeCell ref="A17:M17"/>
  </mergeCells>
  <phoneticPr fontId="59" type="noConversion"/>
  <pageMargins left="1" right="1" top="1" bottom="1" header="0.5" footer="0.5"/>
  <pageSetup orientation="landscape"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K2:AA112"/>
  <sheetViews>
    <sheetView zoomScale="90" zoomScaleNormal="90" workbookViewId="0"/>
  </sheetViews>
  <sheetFormatPr baseColWidth="10" defaultColWidth="11.42578125" defaultRowHeight="15" x14ac:dyDescent="0.25"/>
  <sheetData>
    <row r="2" spans="21:27" x14ac:dyDescent="0.25">
      <c r="U2" s="84"/>
      <c r="V2" s="83" t="s">
        <v>283</v>
      </c>
      <c r="W2" s="84"/>
      <c r="X2" s="83" t="s">
        <v>284</v>
      </c>
      <c r="Y2" s="84"/>
      <c r="Z2" s="523" t="s">
        <v>285</v>
      </c>
      <c r="AA2" s="523" t="s">
        <v>286</v>
      </c>
    </row>
    <row r="3" spans="21:27" x14ac:dyDescent="0.25">
      <c r="U3" s="81"/>
      <c r="V3" s="82" t="s">
        <v>287</v>
      </c>
      <c r="W3" s="82" t="s">
        <v>288</v>
      </c>
      <c r="X3" s="82" t="s">
        <v>289</v>
      </c>
      <c r="Y3" s="82" t="s">
        <v>290</v>
      </c>
      <c r="Z3" s="523"/>
      <c r="AA3" s="523"/>
    </row>
    <row r="4" spans="21:27" x14ac:dyDescent="0.25">
      <c r="U4" s="88">
        <v>42826</v>
      </c>
      <c r="V4" s="194">
        <v>30000</v>
      </c>
      <c r="W4" s="194">
        <v>46925.701430000001</v>
      </c>
      <c r="X4" s="194">
        <v>40000</v>
      </c>
      <c r="Y4" s="194">
        <v>25764.053500000002</v>
      </c>
      <c r="Z4" s="85">
        <v>-0.37466624436660834</v>
      </c>
      <c r="AA4" s="85">
        <v>0.27047746459896449</v>
      </c>
    </row>
    <row r="5" spans="21:27" x14ac:dyDescent="0.25">
      <c r="U5" s="88">
        <v>42856</v>
      </c>
      <c r="V5" s="194">
        <v>33750</v>
      </c>
      <c r="W5" s="194">
        <v>43871.711999999992</v>
      </c>
      <c r="X5" s="194">
        <v>43750</v>
      </c>
      <c r="Y5" s="194">
        <v>31906.115999999998</v>
      </c>
      <c r="Z5" s="85">
        <v>-0.36404400014405236</v>
      </c>
      <c r="AA5" s="85">
        <v>0.43180787324205094</v>
      </c>
    </row>
    <row r="6" spans="21:27" x14ac:dyDescent="0.25">
      <c r="U6" s="88">
        <v>42887</v>
      </c>
      <c r="V6" s="194">
        <v>37500</v>
      </c>
      <c r="W6" s="194">
        <v>48537.614399999999</v>
      </c>
      <c r="X6" s="194">
        <v>42500</v>
      </c>
      <c r="Y6" s="194">
        <v>25486.445600000003</v>
      </c>
      <c r="Z6" s="85">
        <v>-0.32814169891564626</v>
      </c>
      <c r="AA6" s="85">
        <v>0.6482934784761083</v>
      </c>
    </row>
    <row r="7" spans="21:27" x14ac:dyDescent="0.25">
      <c r="U7" s="88">
        <v>42917</v>
      </c>
      <c r="V7" s="194">
        <v>36250</v>
      </c>
      <c r="W7" s="194">
        <v>38655.199800000002</v>
      </c>
      <c r="X7" s="194">
        <v>45000</v>
      </c>
      <c r="Y7" s="194">
        <v>25972.531200000001</v>
      </c>
      <c r="Z7" s="85">
        <v>-0.18247032284517739</v>
      </c>
      <c r="AA7" s="85">
        <v>0.69337110800423107</v>
      </c>
    </row>
    <row r="8" spans="21:27" x14ac:dyDescent="0.25">
      <c r="U8" s="88">
        <v>42948</v>
      </c>
      <c r="V8" s="194">
        <v>36250</v>
      </c>
      <c r="W8" s="194">
        <v>38505.667199999996</v>
      </c>
      <c r="X8" s="194">
        <v>45000</v>
      </c>
      <c r="Y8" s="194">
        <v>23750.126400000001</v>
      </c>
      <c r="Z8" s="85">
        <v>-0.12009324131581522</v>
      </c>
      <c r="AA8" s="85">
        <v>0.56976875964086426</v>
      </c>
    </row>
    <row r="9" spans="21:27" x14ac:dyDescent="0.25">
      <c r="U9" s="88">
        <v>42979</v>
      </c>
      <c r="V9" s="194">
        <v>38750</v>
      </c>
      <c r="W9" s="194">
        <v>43426.05</v>
      </c>
      <c r="X9" s="194"/>
      <c r="Y9" s="194">
        <v>25232.537500000002</v>
      </c>
      <c r="Z9" s="85">
        <v>-0.11184031919407666</v>
      </c>
      <c r="AA9" s="85">
        <v>1.0978651469189566</v>
      </c>
    </row>
    <row r="10" spans="21:27" x14ac:dyDescent="0.25">
      <c r="U10" s="88">
        <v>43009</v>
      </c>
      <c r="V10" s="194">
        <v>37500</v>
      </c>
      <c r="W10" s="194">
        <v>36885.199999999997</v>
      </c>
      <c r="X10" s="194">
        <v>45000</v>
      </c>
      <c r="Y10" s="194">
        <v>26190.3</v>
      </c>
      <c r="Z10" s="85">
        <v>5.0719472920790709E-2</v>
      </c>
      <c r="AA10" s="85">
        <v>1.0381958365645492</v>
      </c>
    </row>
    <row r="11" spans="21:27" x14ac:dyDescent="0.25">
      <c r="U11" s="88">
        <v>43040</v>
      </c>
      <c r="V11" s="194">
        <v>37500</v>
      </c>
      <c r="W11" s="194">
        <v>37362.699999999997</v>
      </c>
      <c r="X11" s="194">
        <v>45000</v>
      </c>
      <c r="Y11" s="194">
        <v>23350.2</v>
      </c>
      <c r="Z11" s="85">
        <v>0.17737577613882105</v>
      </c>
      <c r="AA11" s="85">
        <v>1.5426821928658692</v>
      </c>
    </row>
    <row r="12" spans="21:27" x14ac:dyDescent="0.25">
      <c r="U12" s="88">
        <v>43070</v>
      </c>
      <c r="V12" s="194">
        <v>37500</v>
      </c>
      <c r="W12" s="194">
        <v>42349.2</v>
      </c>
      <c r="X12" s="194">
        <v>46875</v>
      </c>
      <c r="Y12" s="194">
        <v>23345.4</v>
      </c>
      <c r="Z12" s="85">
        <v>0.31430568601394082</v>
      </c>
      <c r="AA12" s="85">
        <v>1.7527767932223064</v>
      </c>
    </row>
    <row r="13" spans="21:27" x14ac:dyDescent="0.25">
      <c r="U13" s="88">
        <v>43101</v>
      </c>
      <c r="V13" s="194">
        <v>36300</v>
      </c>
      <c r="W13" s="194">
        <v>35410.527000000002</v>
      </c>
      <c r="X13" s="194">
        <v>45000</v>
      </c>
      <c r="Y13" s="194">
        <v>20134.571800000002</v>
      </c>
      <c r="Z13" s="85">
        <v>0.35279122681587549</v>
      </c>
      <c r="AA13" s="85">
        <v>1.7906136372305537</v>
      </c>
    </row>
    <row r="14" spans="21:27" x14ac:dyDescent="0.25">
      <c r="U14" s="88">
        <v>43132</v>
      </c>
      <c r="V14" s="194">
        <v>41300</v>
      </c>
      <c r="W14" s="194">
        <v>32959.599999999999</v>
      </c>
      <c r="X14" s="194">
        <v>46300</v>
      </c>
      <c r="Y14" s="194">
        <v>21974</v>
      </c>
      <c r="Z14" s="85">
        <v>0.35705511562995929</v>
      </c>
      <c r="AA14" s="85">
        <v>1.9999281525778621</v>
      </c>
    </row>
    <row r="15" spans="21:27" x14ac:dyDescent="0.25">
      <c r="U15" s="88">
        <v>43160</v>
      </c>
      <c r="V15" s="194">
        <v>40000</v>
      </c>
      <c r="W15" s="194">
        <v>33097.9</v>
      </c>
      <c r="X15" s="194">
        <v>50000</v>
      </c>
      <c r="Y15" s="194">
        <v>20207.599999999999</v>
      </c>
      <c r="Z15" s="85">
        <v>0.38362457388175319</v>
      </c>
      <c r="AA15" s="85">
        <v>2.2034960460367348</v>
      </c>
    </row>
    <row r="16" spans="21:27" x14ac:dyDescent="0.25">
      <c r="U16" s="88">
        <v>43191</v>
      </c>
      <c r="V16" s="194">
        <v>40000</v>
      </c>
      <c r="W16" s="194">
        <v>31842.9</v>
      </c>
      <c r="X16" s="194">
        <v>50000</v>
      </c>
      <c r="Y16" s="194">
        <v>19226.099999999999</v>
      </c>
      <c r="Z16" s="85">
        <v>0.26159633605235566</v>
      </c>
      <c r="AA16" s="85">
        <v>2.1725909847046441</v>
      </c>
    </row>
    <row r="17" spans="21:27" x14ac:dyDescent="0.25">
      <c r="U17" s="88">
        <v>43221</v>
      </c>
      <c r="V17" s="194">
        <v>37500</v>
      </c>
      <c r="W17" s="194">
        <v>28778.6</v>
      </c>
      <c r="X17" s="194">
        <v>47500</v>
      </c>
      <c r="Y17" s="194">
        <v>17684.8</v>
      </c>
      <c r="Z17" s="85">
        <v>0.44914003244172385</v>
      </c>
      <c r="AA17" s="85">
        <v>2.3310955477589559</v>
      </c>
    </row>
    <row r="18" spans="21:27" x14ac:dyDescent="0.25">
      <c r="U18" s="88">
        <v>43252</v>
      </c>
      <c r="V18" s="194">
        <v>35000</v>
      </c>
      <c r="W18" s="194">
        <v>26036.5</v>
      </c>
      <c r="X18" s="194">
        <v>45000</v>
      </c>
      <c r="Y18" s="194">
        <v>16989.900000000001</v>
      </c>
      <c r="Z18" s="85">
        <v>0.36793493890717333</v>
      </c>
      <c r="AA18" s="85">
        <v>2.223311358083401</v>
      </c>
    </row>
    <row r="19" spans="21:27" x14ac:dyDescent="0.25">
      <c r="U19" s="88">
        <v>43282</v>
      </c>
      <c r="V19" s="194">
        <v>36250</v>
      </c>
      <c r="W19" s="194">
        <v>24378</v>
      </c>
      <c r="X19" s="194">
        <v>43750</v>
      </c>
      <c r="Y19" s="194">
        <v>15691.7</v>
      </c>
      <c r="Z19" s="85">
        <v>0.49639758191223171</v>
      </c>
      <c r="AA19" s="85">
        <v>2.6110921724345189</v>
      </c>
    </row>
    <row r="20" spans="21:27" x14ac:dyDescent="0.25">
      <c r="U20" s="88">
        <v>43313</v>
      </c>
      <c r="V20" s="194">
        <v>37500</v>
      </c>
      <c r="W20" s="194">
        <v>21549</v>
      </c>
      <c r="X20" s="194">
        <v>43750</v>
      </c>
      <c r="Y20" s="194">
        <v>13418.5</v>
      </c>
      <c r="Z20" s="85">
        <v>0.49623846344469724</v>
      </c>
      <c r="AA20" s="85">
        <v>2.494688538494831</v>
      </c>
    </row>
    <row r="21" spans="21:27" x14ac:dyDescent="0.25">
      <c r="U21" s="88">
        <v>43344</v>
      </c>
      <c r="V21" s="194">
        <v>33750</v>
      </c>
      <c r="W21" s="194">
        <v>16574.2</v>
      </c>
      <c r="X21" s="194">
        <v>38750</v>
      </c>
      <c r="Y21" s="194">
        <v>10940.1</v>
      </c>
      <c r="Z21" s="85">
        <v>0.48255057996936568</v>
      </c>
      <c r="AA21" s="85">
        <v>1.5331878086333783</v>
      </c>
    </row>
    <row r="22" spans="21:27" x14ac:dyDescent="0.25">
      <c r="U22" s="88">
        <v>43374</v>
      </c>
      <c r="V22" s="194">
        <v>25000</v>
      </c>
      <c r="W22" s="194">
        <v>17075.5</v>
      </c>
      <c r="X22" s="194">
        <v>35000</v>
      </c>
      <c r="Y22" s="194">
        <v>11494.6</v>
      </c>
      <c r="Z22" s="85">
        <v>0.29158153309088064</v>
      </c>
      <c r="AA22" s="85">
        <v>1.8700294651575113</v>
      </c>
    </row>
    <row r="23" spans="21:27" x14ac:dyDescent="0.25">
      <c r="U23" s="88">
        <v>43405</v>
      </c>
      <c r="V23" s="194">
        <v>27500</v>
      </c>
      <c r="W23" s="194">
        <v>15981.2</v>
      </c>
      <c r="X23" s="194">
        <v>35000</v>
      </c>
      <c r="Y23" s="194">
        <v>12682</v>
      </c>
      <c r="Z23" s="85">
        <v>0.27643685153040365</v>
      </c>
      <c r="AA23" s="85">
        <v>1.7527100095786614</v>
      </c>
    </row>
    <row r="24" spans="21:27" x14ac:dyDescent="0.25">
      <c r="U24" s="88">
        <v>43435</v>
      </c>
      <c r="V24" s="194">
        <v>25000</v>
      </c>
      <c r="W24" s="194">
        <v>17237.2</v>
      </c>
      <c r="X24" s="194">
        <v>30625</v>
      </c>
      <c r="Y24" s="194">
        <v>12669.5</v>
      </c>
      <c r="Z24" s="85">
        <v>2.2528652270935368E-2</v>
      </c>
      <c r="AA24" s="85">
        <v>1.5070014581675442</v>
      </c>
    </row>
    <row r="25" spans="21:27" x14ac:dyDescent="0.25">
      <c r="U25" s="88">
        <v>43466</v>
      </c>
      <c r="V25" s="194">
        <v>26250</v>
      </c>
      <c r="W25" s="194">
        <v>16241</v>
      </c>
      <c r="X25" s="194">
        <v>32500</v>
      </c>
      <c r="Y25" s="194">
        <v>11843</v>
      </c>
      <c r="Z25" s="85">
        <v>7.8957483575454956E-2</v>
      </c>
      <c r="AA25" s="85">
        <v>1.2175347651785873</v>
      </c>
    </row>
    <row r="26" spans="21:27" x14ac:dyDescent="0.25">
      <c r="U26" s="88">
        <v>43497</v>
      </c>
      <c r="V26" s="194">
        <v>25000</v>
      </c>
      <c r="W26" s="194">
        <v>15749.8</v>
      </c>
      <c r="X26" s="194">
        <v>30000</v>
      </c>
      <c r="Y26" s="194">
        <v>10835.7</v>
      </c>
      <c r="Z26" s="85">
        <v>0.12184757313427586</v>
      </c>
      <c r="AA26" s="85">
        <v>1.2177146905012077</v>
      </c>
    </row>
    <row r="27" spans="21:27" x14ac:dyDescent="0.25">
      <c r="U27" s="88">
        <v>43525</v>
      </c>
      <c r="V27" s="194">
        <v>30000</v>
      </c>
      <c r="W27" s="195">
        <v>13142</v>
      </c>
      <c r="X27" s="194">
        <v>31250</v>
      </c>
      <c r="Y27" s="194">
        <v>10658.1</v>
      </c>
      <c r="Z27" s="85">
        <v>0.11137189832366889</v>
      </c>
      <c r="AA27" s="85">
        <v>1.1473782136656223</v>
      </c>
    </row>
    <row r="28" spans="21:27" x14ac:dyDescent="0.25">
      <c r="U28" s="88">
        <v>43556</v>
      </c>
      <c r="V28" s="194">
        <v>27500</v>
      </c>
      <c r="W28" s="195">
        <v>11341.8</v>
      </c>
      <c r="X28" s="194">
        <v>30000</v>
      </c>
      <c r="Y28" s="194">
        <v>9681.6</v>
      </c>
      <c r="Z28" s="85">
        <v>0.23239181541438048</v>
      </c>
      <c r="AA28" s="85">
        <v>1.609315664849694</v>
      </c>
    </row>
    <row r="29" spans="21:27" x14ac:dyDescent="0.25">
      <c r="U29" s="88">
        <v>43586</v>
      </c>
      <c r="V29" s="194">
        <v>27500</v>
      </c>
      <c r="W29" s="194">
        <v>10455.5</v>
      </c>
      <c r="X29" s="194">
        <v>30000</v>
      </c>
      <c r="Y29" s="194">
        <v>8767</v>
      </c>
      <c r="Z29" s="85">
        <v>0.45805398153089816</v>
      </c>
      <c r="AA29" s="85">
        <v>1.8370682340909372</v>
      </c>
    </row>
    <row r="30" spans="21:27" x14ac:dyDescent="0.25">
      <c r="U30" s="88">
        <v>43617</v>
      </c>
      <c r="V30" s="109">
        <v>26250</v>
      </c>
      <c r="W30" s="194">
        <v>12008.2</v>
      </c>
      <c r="X30" s="109">
        <v>30000</v>
      </c>
      <c r="Y30" s="194">
        <v>10086</v>
      </c>
      <c r="Z30" s="85">
        <v>0.44332530861466868</v>
      </c>
      <c r="AA30" s="85">
        <v>1.5726813616715374</v>
      </c>
    </row>
    <row r="31" spans="21:27" x14ac:dyDescent="0.25">
      <c r="U31" s="88">
        <v>43647</v>
      </c>
      <c r="V31" s="109">
        <v>27500</v>
      </c>
      <c r="W31" s="194">
        <v>11260.3</v>
      </c>
      <c r="X31" s="109">
        <v>28750</v>
      </c>
      <c r="Y31" s="194">
        <v>10623.4</v>
      </c>
      <c r="Z31" s="85">
        <v>0.36327869879432506</v>
      </c>
      <c r="AA31" s="85">
        <v>1.1264297641193992</v>
      </c>
    </row>
    <row r="32" spans="21:27" x14ac:dyDescent="0.25">
      <c r="U32" s="88">
        <v>43678</v>
      </c>
      <c r="V32" s="109">
        <v>25000</v>
      </c>
      <c r="W32" s="194">
        <v>9868.7000000000007</v>
      </c>
      <c r="X32" s="109">
        <v>28750</v>
      </c>
      <c r="Y32" s="194">
        <v>8526.7999999999993</v>
      </c>
      <c r="Z32" s="85">
        <v>0.28954712135507021</v>
      </c>
      <c r="AA32" s="85">
        <v>0.96805810020067717</v>
      </c>
    </row>
    <row r="33" spans="11:27" x14ac:dyDescent="0.25">
      <c r="U33" s="88">
        <v>43709</v>
      </c>
      <c r="V33" s="109">
        <v>25000</v>
      </c>
      <c r="W33" s="194">
        <v>9904.4</v>
      </c>
      <c r="X33" s="109">
        <v>22500</v>
      </c>
      <c r="Y33" s="194">
        <v>8096.9</v>
      </c>
      <c r="Z33" s="85">
        <v>0.21650514135391097</v>
      </c>
      <c r="AA33" s="85">
        <v>0.7484245231032689</v>
      </c>
    </row>
    <row r="34" spans="11:27" x14ac:dyDescent="0.25">
      <c r="U34" s="88">
        <v>43739</v>
      </c>
      <c r="V34" s="109">
        <v>25000</v>
      </c>
      <c r="W34" s="194">
        <v>9776</v>
      </c>
      <c r="X34" s="109">
        <v>30000</v>
      </c>
      <c r="Y34" s="194">
        <v>7651.5</v>
      </c>
      <c r="Z34" s="85">
        <v>0.12969622572422335</v>
      </c>
      <c r="AA34" s="85">
        <v>0.5942162430556206</v>
      </c>
    </row>
    <row r="35" spans="11:27" x14ac:dyDescent="0.25">
      <c r="U35" s="88">
        <v>43770</v>
      </c>
      <c r="V35" s="109">
        <v>25000</v>
      </c>
      <c r="W35" s="194">
        <v>12340.8</v>
      </c>
      <c r="X35" s="109">
        <v>27500</v>
      </c>
      <c r="Y35" s="194">
        <v>9096.9</v>
      </c>
      <c r="Z35" s="85">
        <v>-4.4669085008714471E-2</v>
      </c>
      <c r="AA35" s="85">
        <v>0.92281779735769076</v>
      </c>
    </row>
    <row r="36" spans="11:27" x14ac:dyDescent="0.25">
      <c r="U36" s="88">
        <v>43800</v>
      </c>
      <c r="V36" s="109">
        <v>25000</v>
      </c>
      <c r="W36" s="196">
        <v>10155.6</v>
      </c>
      <c r="X36" s="109">
        <v>27500</v>
      </c>
      <c r="Y36" s="196">
        <v>9119.4</v>
      </c>
      <c r="Z36" s="85">
        <v>6.8407673634106381E-2</v>
      </c>
      <c r="AA36" s="85">
        <v>0.98581087069182605</v>
      </c>
    </row>
    <row r="37" spans="11:27" x14ac:dyDescent="0.25">
      <c r="T37" s="109"/>
      <c r="U37" s="88">
        <v>43831</v>
      </c>
      <c r="V37" s="109">
        <v>25000</v>
      </c>
      <c r="W37" s="196">
        <v>11188.7</v>
      </c>
      <c r="X37" s="109">
        <v>25000</v>
      </c>
      <c r="Y37" s="196">
        <v>9168.1</v>
      </c>
      <c r="Z37" s="85">
        <v>7.2907074162152252E-2</v>
      </c>
      <c r="AA37" s="85">
        <v>0.84879947124444688</v>
      </c>
    </row>
    <row r="38" spans="11:27" x14ac:dyDescent="0.25">
      <c r="T38" s="109"/>
      <c r="U38" s="88">
        <v>43862</v>
      </c>
      <c r="V38" s="109">
        <v>23750</v>
      </c>
      <c r="W38" s="196">
        <v>13103.5</v>
      </c>
      <c r="X38" s="109">
        <v>30000</v>
      </c>
      <c r="Y38" s="196">
        <v>10006.200000000001</v>
      </c>
      <c r="Z38" s="85">
        <v>-3.6397971062288592E-2</v>
      </c>
      <c r="AA38" s="85">
        <v>0.81688227631070309</v>
      </c>
    </row>
    <row r="39" spans="11:27" x14ac:dyDescent="0.25">
      <c r="T39" s="109"/>
      <c r="U39" s="88">
        <v>43891</v>
      </c>
      <c r="V39" s="109">
        <v>23750</v>
      </c>
      <c r="W39" s="196">
        <v>12589.6</v>
      </c>
      <c r="X39" s="109">
        <v>30000</v>
      </c>
      <c r="Y39" s="196">
        <v>10822.6</v>
      </c>
      <c r="Z39" s="85">
        <v>-4.8949720939023056E-2</v>
      </c>
      <c r="AA39" s="85">
        <v>0.63964711318072465</v>
      </c>
    </row>
    <row r="40" spans="11:27" x14ac:dyDescent="0.25">
      <c r="T40" s="109"/>
      <c r="U40" s="88">
        <v>43922</v>
      </c>
      <c r="V40" s="109">
        <v>23750</v>
      </c>
      <c r="W40" s="196">
        <v>11803.6</v>
      </c>
      <c r="X40" s="109">
        <v>31250</v>
      </c>
      <c r="Y40" s="196">
        <v>7921.5</v>
      </c>
      <c r="Z40" s="85">
        <v>1.9733058358915256E-2</v>
      </c>
      <c r="AA40" s="85">
        <v>0.70776338688531393</v>
      </c>
    </row>
    <row r="41" spans="11:27" x14ac:dyDescent="0.25">
      <c r="K41" s="31"/>
      <c r="T41" s="109"/>
      <c r="U41" s="88">
        <v>43952</v>
      </c>
      <c r="V41" s="109">
        <v>25000</v>
      </c>
      <c r="W41" s="196">
        <v>10964.8</v>
      </c>
      <c r="X41" s="109">
        <v>31250</v>
      </c>
      <c r="Y41" s="196">
        <v>13163.8</v>
      </c>
      <c r="Z41" s="85">
        <v>2.0426905800310813E-2</v>
      </c>
      <c r="AA41" s="85">
        <v>0.62326436515916273</v>
      </c>
    </row>
    <row r="42" spans="11:27" x14ac:dyDescent="0.25">
      <c r="L42" s="176"/>
      <c r="T42" s="109"/>
      <c r="U42" s="88">
        <v>43983</v>
      </c>
      <c r="V42" s="109">
        <v>25000</v>
      </c>
      <c r="W42" s="196">
        <v>11447.4</v>
      </c>
      <c r="X42" s="109">
        <v>30000</v>
      </c>
      <c r="Y42" s="196">
        <v>12848.5</v>
      </c>
      <c r="Z42" s="84"/>
      <c r="AA42" s="84"/>
    </row>
    <row r="43" spans="11:27" x14ac:dyDescent="0.25">
      <c r="T43" s="109"/>
      <c r="U43" s="88">
        <v>44013</v>
      </c>
      <c r="V43" s="109">
        <v>22500</v>
      </c>
      <c r="W43" s="196">
        <v>12079.4</v>
      </c>
      <c r="X43" s="109">
        <v>30000</v>
      </c>
      <c r="Y43" s="196">
        <v>11462.2</v>
      </c>
      <c r="Z43" s="81"/>
      <c r="AA43" s="81"/>
    </row>
    <row r="44" spans="11:27" x14ac:dyDescent="0.25">
      <c r="L44" s="172"/>
      <c r="T44" s="109"/>
      <c r="U44" s="88">
        <v>44044</v>
      </c>
      <c r="V44" s="109">
        <v>28750</v>
      </c>
      <c r="W44" s="196">
        <v>14715.9</v>
      </c>
      <c r="X44" s="109">
        <v>40000</v>
      </c>
      <c r="Y44" s="196">
        <v>11739.5</v>
      </c>
      <c r="Z44" s="81"/>
      <c r="AA44" s="81"/>
    </row>
    <row r="45" spans="11:27" x14ac:dyDescent="0.25">
      <c r="L45" s="172"/>
      <c r="T45" s="109"/>
      <c r="U45" s="88">
        <v>44075</v>
      </c>
      <c r="V45" s="109">
        <v>28750</v>
      </c>
      <c r="W45" s="196">
        <v>12508</v>
      </c>
      <c r="X45" s="109">
        <v>40000</v>
      </c>
      <c r="Y45" s="196">
        <v>14796.5</v>
      </c>
      <c r="Z45" s="81"/>
      <c r="AA45" s="89"/>
    </row>
    <row r="46" spans="11:27" x14ac:dyDescent="0.25">
      <c r="L46" s="172"/>
      <c r="T46" s="109"/>
      <c r="U46" s="88">
        <v>44105</v>
      </c>
      <c r="V46" s="109">
        <v>27500</v>
      </c>
      <c r="W46" s="196">
        <v>12922</v>
      </c>
      <c r="X46" s="109">
        <v>35000</v>
      </c>
      <c r="Y46" s="196">
        <v>15487.1</v>
      </c>
      <c r="Z46" s="81"/>
      <c r="AA46" s="89"/>
    </row>
    <row r="47" spans="11:27" x14ac:dyDescent="0.25">
      <c r="L47" s="172"/>
      <c r="M47" s="176"/>
      <c r="N47" s="522"/>
      <c r="O47" s="522"/>
      <c r="P47" s="522"/>
      <c r="Q47" s="522"/>
      <c r="T47" s="109"/>
      <c r="U47" s="88">
        <v>44136</v>
      </c>
      <c r="V47" s="109">
        <v>25000</v>
      </c>
      <c r="W47" s="196">
        <v>17821</v>
      </c>
      <c r="X47" s="109">
        <v>37500</v>
      </c>
      <c r="Y47" s="196">
        <v>14101.8</v>
      </c>
      <c r="Z47" s="81"/>
      <c r="AA47" s="89"/>
    </row>
    <row r="48" spans="11:27" x14ac:dyDescent="0.25">
      <c r="L48" s="172"/>
      <c r="N48" s="31"/>
      <c r="O48" s="31"/>
      <c r="P48" s="31"/>
      <c r="Q48" s="31"/>
      <c r="T48" s="109"/>
      <c r="U48" s="88">
        <v>44166</v>
      </c>
      <c r="V48" s="109">
        <v>25000</v>
      </c>
      <c r="W48" s="196">
        <v>15522</v>
      </c>
      <c r="X48" s="109">
        <v>47500</v>
      </c>
      <c r="Y48" s="196">
        <v>12936.4</v>
      </c>
      <c r="Z48" s="81"/>
      <c r="AA48" s="89"/>
    </row>
    <row r="49" spans="12:27" x14ac:dyDescent="0.25">
      <c r="L49" s="172"/>
      <c r="M49" s="172"/>
      <c r="N49" s="96"/>
      <c r="O49" s="96"/>
      <c r="P49" s="96"/>
      <c r="Q49" s="96"/>
      <c r="U49" s="88">
        <v>44197</v>
      </c>
      <c r="V49" s="109">
        <v>23750</v>
      </c>
      <c r="W49" s="109">
        <v>18184.268700000001</v>
      </c>
      <c r="X49" s="109">
        <v>36250</v>
      </c>
      <c r="Y49" s="243">
        <v>15148.372799999999</v>
      </c>
      <c r="Z49" s="81"/>
      <c r="AA49" s="89"/>
    </row>
    <row r="50" spans="12:27" x14ac:dyDescent="0.25">
      <c r="L50" s="172"/>
      <c r="M50" s="172"/>
      <c r="N50" s="96"/>
      <c r="O50" s="96"/>
      <c r="P50" s="96"/>
      <c r="Q50" s="96"/>
      <c r="U50" s="88">
        <v>44228</v>
      </c>
      <c r="V50" s="194">
        <v>23750</v>
      </c>
      <c r="W50" s="109">
        <v>19466.006399999998</v>
      </c>
      <c r="X50" s="194">
        <v>40000</v>
      </c>
      <c r="Y50" s="243">
        <v>17454.892800000001</v>
      </c>
      <c r="Z50" s="81"/>
      <c r="AA50" s="89"/>
    </row>
    <row r="51" spans="12:27" x14ac:dyDescent="0.25">
      <c r="L51" s="172"/>
      <c r="M51" s="172"/>
      <c r="N51" s="96"/>
      <c r="O51" s="96"/>
      <c r="P51" s="96"/>
      <c r="Q51" s="96"/>
      <c r="U51" s="88">
        <v>44256</v>
      </c>
      <c r="V51" s="194">
        <v>25000</v>
      </c>
      <c r="W51" s="109">
        <v>20801.625599999999</v>
      </c>
      <c r="X51" s="194">
        <v>40000</v>
      </c>
      <c r="Y51" s="243">
        <v>14951.407800000001</v>
      </c>
      <c r="Z51" s="81"/>
      <c r="AA51" s="89"/>
    </row>
    <row r="52" spans="12:27" x14ac:dyDescent="0.25">
      <c r="L52" s="172"/>
      <c r="M52" s="172"/>
      <c r="N52" s="96"/>
      <c r="O52" s="96"/>
      <c r="P52" s="96"/>
      <c r="Q52" s="96"/>
      <c r="U52" s="88">
        <v>44287</v>
      </c>
      <c r="V52" s="194">
        <v>25000</v>
      </c>
      <c r="W52" s="109">
        <v>24423.0196</v>
      </c>
      <c r="X52" s="194">
        <v>40000</v>
      </c>
      <c r="Y52" s="243">
        <v>23694.736099999998</v>
      </c>
      <c r="Z52" s="81"/>
      <c r="AA52" s="81"/>
    </row>
    <row r="53" spans="12:27" x14ac:dyDescent="0.25">
      <c r="L53" s="172"/>
      <c r="M53" s="172"/>
      <c r="N53" s="96"/>
      <c r="O53" s="96"/>
      <c r="P53" s="96"/>
      <c r="Q53" s="96"/>
      <c r="U53" s="88">
        <v>44317</v>
      </c>
      <c r="V53" s="194">
        <v>25000</v>
      </c>
      <c r="W53" s="109">
        <v>25651.702000000001</v>
      </c>
      <c r="X53" s="194">
        <v>47500</v>
      </c>
      <c r="Y53" s="243">
        <v>29417.625599999999</v>
      </c>
      <c r="Z53" s="81"/>
      <c r="AA53" s="81"/>
    </row>
    <row r="54" spans="12:27" x14ac:dyDescent="0.25">
      <c r="L54" s="172"/>
      <c r="M54" s="172"/>
      <c r="N54" s="96"/>
      <c r="O54" s="96"/>
      <c r="P54" s="96"/>
      <c r="Q54" s="96"/>
      <c r="U54" s="88">
        <v>44348</v>
      </c>
      <c r="V54" s="194">
        <v>25000</v>
      </c>
      <c r="W54" s="109">
        <v>28202.921600000001</v>
      </c>
      <c r="X54" s="194">
        <v>47500</v>
      </c>
      <c r="Y54" s="243">
        <v>28164.619000000002</v>
      </c>
      <c r="Z54" s="81"/>
      <c r="AA54" s="81"/>
    </row>
    <row r="55" spans="12:27" x14ac:dyDescent="0.25">
      <c r="L55" s="172"/>
      <c r="M55" s="172"/>
      <c r="N55" s="96"/>
      <c r="O55" s="96"/>
      <c r="P55" s="96"/>
      <c r="Q55" s="96"/>
      <c r="U55" s="88">
        <v>44378</v>
      </c>
      <c r="V55" s="109">
        <v>25000</v>
      </c>
      <c r="W55" s="109">
        <v>29510.52</v>
      </c>
      <c r="X55" s="109">
        <v>47500</v>
      </c>
      <c r="Y55" s="243">
        <v>25042.991999999998</v>
      </c>
      <c r="Z55" s="81"/>
      <c r="AA55" s="81"/>
    </row>
    <row r="56" spans="12:27" x14ac:dyDescent="0.25">
      <c r="L56" s="172"/>
      <c r="M56" s="172"/>
      <c r="N56" s="96"/>
      <c r="O56" s="96"/>
      <c r="P56" s="96"/>
      <c r="Q56" s="96"/>
      <c r="U56" s="88">
        <v>44409</v>
      </c>
      <c r="V56" s="109">
        <v>30000</v>
      </c>
      <c r="W56" s="109">
        <v>29312.390799999997</v>
      </c>
      <c r="X56" s="109">
        <v>47500</v>
      </c>
      <c r="Y56" s="243">
        <v>26932.379099999995</v>
      </c>
      <c r="Z56" s="81"/>
      <c r="AA56" s="81"/>
    </row>
    <row r="57" spans="12:27" x14ac:dyDescent="0.25">
      <c r="M57" s="172"/>
      <c r="N57" s="96"/>
      <c r="O57" s="96"/>
      <c r="P57" s="96"/>
      <c r="Q57" s="96"/>
      <c r="U57" s="88">
        <v>44440</v>
      </c>
      <c r="V57" s="109">
        <v>30000</v>
      </c>
      <c r="W57" s="109">
        <v>27038.235000000001</v>
      </c>
      <c r="X57" s="109">
        <v>45000</v>
      </c>
      <c r="Y57" s="243">
        <v>23738.345400000002</v>
      </c>
      <c r="Z57" s="81"/>
      <c r="AA57" s="81"/>
    </row>
    <row r="58" spans="12:27" x14ac:dyDescent="0.25">
      <c r="M58" s="172"/>
      <c r="N58" s="96"/>
      <c r="O58" s="96"/>
      <c r="P58" s="96"/>
      <c r="Q58" s="96"/>
      <c r="U58" s="88">
        <v>44470</v>
      </c>
      <c r="V58" s="96">
        <v>30000</v>
      </c>
      <c r="W58" s="109">
        <v>30997.676000000003</v>
      </c>
      <c r="X58" s="96">
        <v>50000</v>
      </c>
      <c r="Y58" s="243">
        <v>23621.3194</v>
      </c>
      <c r="Z58" s="81"/>
      <c r="AA58" s="81"/>
    </row>
    <row r="59" spans="12:27" x14ac:dyDescent="0.25">
      <c r="L59" s="176"/>
      <c r="M59" s="172"/>
      <c r="N59" s="96"/>
      <c r="O59" s="96"/>
      <c r="P59" s="96"/>
      <c r="Q59" s="96"/>
      <c r="U59" s="88">
        <v>44501</v>
      </c>
      <c r="V59" s="96">
        <v>31250</v>
      </c>
      <c r="W59" s="109">
        <v>27428.381999999998</v>
      </c>
      <c r="X59" s="96">
        <v>60000</v>
      </c>
      <c r="Y59" s="243">
        <v>20553.668999999998</v>
      </c>
      <c r="Z59" s="81"/>
      <c r="AA59" s="81"/>
    </row>
    <row r="60" spans="12:27" x14ac:dyDescent="0.25">
      <c r="L60" s="31"/>
      <c r="M60" s="172"/>
      <c r="N60" s="96"/>
      <c r="O60" s="96"/>
      <c r="P60" s="96"/>
      <c r="Q60" s="96"/>
      <c r="U60" s="247">
        <v>44531</v>
      </c>
      <c r="V60" s="96">
        <v>30000</v>
      </c>
      <c r="W60" s="109">
        <v>26537.713199999998</v>
      </c>
      <c r="X60" s="96">
        <v>60000</v>
      </c>
      <c r="Y60" s="243">
        <v>22041.702599999997</v>
      </c>
      <c r="Z60" s="81"/>
      <c r="AA60" s="81"/>
    </row>
    <row r="61" spans="12:27" x14ac:dyDescent="0.25">
      <c r="L61" s="172"/>
      <c r="M61" s="172"/>
      <c r="N61" s="96"/>
      <c r="O61" s="96"/>
      <c r="P61" s="96"/>
      <c r="Q61" s="96"/>
      <c r="U61" s="247">
        <v>44562</v>
      </c>
      <c r="V61" s="96">
        <v>30000</v>
      </c>
      <c r="W61" s="109">
        <v>36915.040799999995</v>
      </c>
      <c r="X61" s="96">
        <v>60000</v>
      </c>
      <c r="Y61" s="243">
        <v>29205.1584</v>
      </c>
      <c r="Z61" s="81"/>
      <c r="AA61" s="81"/>
    </row>
    <row r="62" spans="12:27" x14ac:dyDescent="0.25">
      <c r="L62" s="172"/>
      <c r="U62" s="247">
        <v>44593</v>
      </c>
      <c r="V62" s="109">
        <f>'Precio vino Nac.'!C9/40*100</f>
        <v>30000</v>
      </c>
      <c r="W62" s="109">
        <v>28911.995999999999</v>
      </c>
      <c r="X62" s="242">
        <f>'Precio vino Nac.'!C$60/40*100</f>
        <v>60000</v>
      </c>
      <c r="Y62" s="243">
        <v>27228.823999999997</v>
      </c>
      <c r="Z62" s="81"/>
      <c r="AA62" s="81"/>
    </row>
    <row r="63" spans="12:27" x14ac:dyDescent="0.25">
      <c r="L63" s="172"/>
      <c r="U63" s="247">
        <v>44621</v>
      </c>
      <c r="V63" s="109">
        <f>'Precio vino Nac.'!D9/40*100</f>
        <v>30000</v>
      </c>
      <c r="W63" s="109">
        <v>33345.967199999999</v>
      </c>
      <c r="X63" s="242">
        <f>'Precio vino Nac.'!D$60/40*100</f>
        <v>57500</v>
      </c>
      <c r="Y63" s="243">
        <v>32706.272399999998</v>
      </c>
      <c r="Z63" s="81"/>
      <c r="AA63" s="81"/>
    </row>
    <row r="64" spans="12:27" x14ac:dyDescent="0.25">
      <c r="L64" s="172"/>
      <c r="M64" s="176"/>
      <c r="N64" s="522"/>
      <c r="O64" s="522"/>
      <c r="P64" s="522"/>
      <c r="Q64" s="522"/>
      <c r="U64" s="247">
        <v>44652</v>
      </c>
      <c r="V64" s="109">
        <f>'Precio vino Nac.'!E9/40*100</f>
        <v>27500</v>
      </c>
      <c r="W64" s="109">
        <v>44077.758200000004</v>
      </c>
      <c r="X64" s="242">
        <f>'Precio vino Nac.'!E$60/40*100</f>
        <v>57500</v>
      </c>
      <c r="Y64" s="243">
        <v>37764.538</v>
      </c>
      <c r="Z64" s="81"/>
      <c r="AA64" s="81"/>
    </row>
    <row r="65" spans="12:27" x14ac:dyDescent="0.25">
      <c r="L65" s="172"/>
      <c r="M65" s="31"/>
      <c r="N65" s="31"/>
      <c r="O65" s="31"/>
      <c r="P65" s="31"/>
      <c r="Q65" s="31"/>
      <c r="U65" s="247">
        <v>44682</v>
      </c>
      <c r="V65" s="109">
        <f>'Precio vino Nac.'!F9/40*100</f>
        <v>30000</v>
      </c>
      <c r="W65" s="109">
        <v>47620.520799999998</v>
      </c>
      <c r="X65" s="242">
        <f>'Precio vino Nac.'!F$60/40*100</f>
        <v>55000</v>
      </c>
      <c r="Y65" s="243">
        <v>34836.5</v>
      </c>
      <c r="Z65" s="81"/>
      <c r="AA65" s="81"/>
    </row>
    <row r="66" spans="12:27" x14ac:dyDescent="0.25">
      <c r="L66" s="172"/>
      <c r="M66" s="172"/>
      <c r="N66" s="96"/>
      <c r="O66" s="96"/>
      <c r="P66" s="96"/>
      <c r="Q66" s="96"/>
      <c r="U66" s="247">
        <v>44713</v>
      </c>
      <c r="V66" s="109">
        <f>'Precio vino Nac.'!G9/40*100</f>
        <v>30000</v>
      </c>
      <c r="W66" s="109">
        <v>38232.399799999999</v>
      </c>
      <c r="X66" s="242">
        <f>'Precio vino Nac.'!G$60/40*100</f>
        <v>55000</v>
      </c>
      <c r="Y66" s="243">
        <v>33652.135900000001</v>
      </c>
      <c r="Z66" s="94"/>
      <c r="AA66" s="81"/>
    </row>
    <row r="67" spans="12:27" x14ac:dyDescent="0.25">
      <c r="L67" s="172"/>
      <c r="M67" s="172"/>
      <c r="N67" s="96"/>
      <c r="O67" s="96"/>
      <c r="P67" s="96"/>
      <c r="Q67" s="96"/>
      <c r="U67" s="247">
        <v>44743</v>
      </c>
      <c r="V67" s="31"/>
      <c r="W67" s="94"/>
      <c r="X67" s="31"/>
      <c r="Y67" s="94"/>
      <c r="Z67" s="94"/>
      <c r="AA67" s="81"/>
    </row>
    <row r="68" spans="12:27" x14ac:dyDescent="0.25">
      <c r="L68" s="172"/>
      <c r="M68" s="172"/>
      <c r="N68" s="96"/>
      <c r="O68" s="96"/>
      <c r="P68" s="96"/>
      <c r="Q68" s="96"/>
      <c r="U68" s="88"/>
      <c r="V68" s="31"/>
      <c r="W68" s="94"/>
      <c r="X68" s="31"/>
      <c r="Y68" s="94"/>
      <c r="Z68" s="94"/>
      <c r="AA68" s="81"/>
    </row>
    <row r="69" spans="12:27" x14ac:dyDescent="0.25">
      <c r="L69" s="172"/>
      <c r="M69" s="172"/>
      <c r="N69" s="96"/>
      <c r="O69" s="96"/>
      <c r="P69" s="96"/>
      <c r="Q69" s="96"/>
      <c r="U69" s="88"/>
      <c r="V69" s="31"/>
      <c r="W69" s="94"/>
      <c r="X69" s="31"/>
      <c r="Y69" s="94"/>
      <c r="Z69" s="94"/>
      <c r="AA69" s="81"/>
    </row>
    <row r="70" spans="12:27" x14ac:dyDescent="0.25">
      <c r="L70" s="172"/>
      <c r="M70" s="172"/>
      <c r="N70" s="96"/>
      <c r="O70" s="96"/>
      <c r="P70" s="96"/>
      <c r="Q70" s="96"/>
      <c r="U70" s="88"/>
      <c r="V70" s="31"/>
      <c r="W70" s="94"/>
      <c r="X70" s="31"/>
      <c r="Y70" s="94"/>
      <c r="Z70" s="94"/>
      <c r="AA70" s="81"/>
    </row>
    <row r="71" spans="12:27" x14ac:dyDescent="0.25">
      <c r="L71" s="172"/>
      <c r="M71" s="172"/>
      <c r="N71" s="96"/>
      <c r="O71" s="96"/>
      <c r="P71" s="96"/>
      <c r="Q71" s="96"/>
      <c r="U71" s="88"/>
      <c r="V71" s="31"/>
      <c r="W71" s="94"/>
      <c r="X71" s="31"/>
      <c r="Y71" s="94"/>
      <c r="Z71" s="95"/>
      <c r="AA71" s="81"/>
    </row>
    <row r="72" spans="12:27" x14ac:dyDescent="0.25">
      <c r="L72" s="172"/>
      <c r="M72" s="172"/>
      <c r="N72" s="96"/>
      <c r="O72" s="96"/>
      <c r="P72" s="96"/>
      <c r="Q72" s="96"/>
      <c r="U72" s="88"/>
      <c r="V72" s="31"/>
      <c r="W72" s="94"/>
      <c r="X72" s="31"/>
      <c r="Y72" s="94"/>
      <c r="Z72" s="95"/>
      <c r="AA72" s="81"/>
    </row>
    <row r="73" spans="12:27" x14ac:dyDescent="0.25">
      <c r="L73" s="172"/>
      <c r="M73" s="172"/>
      <c r="N73" s="96"/>
      <c r="O73" s="96"/>
      <c r="P73" s="96"/>
      <c r="Q73" s="96"/>
      <c r="U73" s="88"/>
      <c r="V73" s="31"/>
      <c r="W73" s="94"/>
      <c r="X73" s="31"/>
      <c r="Y73" s="94"/>
      <c r="Z73" s="95"/>
      <c r="AA73" s="81"/>
    </row>
    <row r="74" spans="12:27" x14ac:dyDescent="0.25">
      <c r="M74" s="172"/>
      <c r="N74" s="96"/>
      <c r="O74" s="96"/>
      <c r="P74" s="96"/>
      <c r="Q74" s="96"/>
      <c r="U74" s="88"/>
      <c r="V74" s="31"/>
      <c r="W74" s="31"/>
      <c r="X74" s="31"/>
      <c r="Y74" s="31"/>
      <c r="Z74" s="95"/>
      <c r="AA74" s="81"/>
    </row>
    <row r="75" spans="12:27" x14ac:dyDescent="0.25">
      <c r="M75" s="172"/>
      <c r="N75" s="96"/>
      <c r="O75" s="96"/>
      <c r="P75" s="96"/>
      <c r="Q75" s="96"/>
      <c r="U75" s="31"/>
      <c r="V75" s="82"/>
      <c r="W75" s="82"/>
      <c r="X75" s="82"/>
      <c r="Y75" s="82"/>
      <c r="Z75" s="94"/>
      <c r="AA75" s="81"/>
    </row>
    <row r="76" spans="12:27" x14ac:dyDescent="0.25">
      <c r="M76" s="172"/>
      <c r="N76" s="96"/>
      <c r="O76" s="96"/>
      <c r="P76" s="96"/>
      <c r="Q76" s="96"/>
      <c r="U76" s="31"/>
      <c r="V76" s="31"/>
      <c r="W76" s="31"/>
      <c r="X76" s="31"/>
      <c r="Y76" s="31"/>
      <c r="Z76" s="94"/>
      <c r="AA76" s="81"/>
    </row>
    <row r="77" spans="12:27" x14ac:dyDescent="0.25">
      <c r="M77" s="172"/>
      <c r="N77" s="96"/>
      <c r="O77" s="96"/>
      <c r="P77" s="96"/>
      <c r="Q77" s="96"/>
      <c r="U77" s="31"/>
      <c r="V77" s="31"/>
      <c r="W77" s="31"/>
      <c r="X77" s="31"/>
      <c r="Y77" s="31"/>
      <c r="Z77" s="81"/>
      <c r="AA77" s="81"/>
    </row>
    <row r="78" spans="12:27" x14ac:dyDescent="0.25">
      <c r="M78" s="172"/>
      <c r="N78" s="96"/>
      <c r="O78" s="96"/>
      <c r="P78" s="96"/>
      <c r="Q78" s="96"/>
      <c r="U78" s="31"/>
      <c r="V78" s="31"/>
      <c r="W78" s="31"/>
      <c r="X78" s="31"/>
      <c r="Y78" s="31"/>
      <c r="Z78" s="81"/>
      <c r="AA78" s="81"/>
    </row>
    <row r="79" spans="12:27" x14ac:dyDescent="0.25">
      <c r="U79" s="31"/>
      <c r="V79" s="31"/>
      <c r="W79" s="31"/>
      <c r="X79" s="31"/>
      <c r="Y79" s="31"/>
      <c r="Z79" s="86"/>
      <c r="AA79" s="86"/>
    </row>
    <row r="80" spans="12:27" x14ac:dyDescent="0.25">
      <c r="U80" s="31"/>
      <c r="V80" s="31"/>
      <c r="W80" s="31"/>
      <c r="X80" s="31"/>
      <c r="Y80" s="31"/>
      <c r="Z80" s="81"/>
      <c r="AA80" s="81"/>
    </row>
    <row r="97" spans="21:27" x14ac:dyDescent="0.25">
      <c r="U97" s="31"/>
      <c r="V97" s="31"/>
      <c r="W97" s="31"/>
      <c r="X97" s="31"/>
      <c r="Y97" s="31"/>
      <c r="Z97" s="81"/>
      <c r="AA97" s="81"/>
    </row>
    <row r="98" spans="21:27" x14ac:dyDescent="0.25">
      <c r="U98" s="31"/>
      <c r="V98" s="31"/>
      <c r="W98" s="31"/>
      <c r="X98" s="31"/>
      <c r="Y98" s="31"/>
      <c r="Z98" s="81"/>
      <c r="AA98" s="81"/>
    </row>
    <row r="99" spans="21:27" x14ac:dyDescent="0.25">
      <c r="U99" s="31"/>
      <c r="V99" s="31"/>
      <c r="W99" s="31"/>
      <c r="X99" s="31"/>
      <c r="Y99" s="31"/>
      <c r="Z99" s="81"/>
      <c r="AA99" s="81"/>
    </row>
    <row r="100" spans="21:27" x14ac:dyDescent="0.25">
      <c r="U100" s="31"/>
      <c r="V100" s="31"/>
      <c r="W100" s="31"/>
      <c r="X100" s="31"/>
      <c r="Y100" s="31"/>
      <c r="Z100" s="81"/>
      <c r="AA100" s="81"/>
    </row>
    <row r="101" spans="21:27" x14ac:dyDescent="0.25">
      <c r="U101" s="31"/>
      <c r="V101" s="31"/>
      <c r="W101" s="31"/>
      <c r="X101" s="31"/>
      <c r="Y101" s="31"/>
      <c r="Z101" s="87"/>
      <c r="AA101" s="87"/>
    </row>
    <row r="102" spans="21:27" x14ac:dyDescent="0.25">
      <c r="U102" s="31"/>
      <c r="V102" s="31"/>
      <c r="W102" s="31"/>
      <c r="X102" s="31"/>
      <c r="Y102" s="31"/>
      <c r="Z102" s="81"/>
      <c r="AA102" s="81"/>
    </row>
    <row r="103" spans="21:27" x14ac:dyDescent="0.25">
      <c r="U103" s="31"/>
      <c r="V103" s="31"/>
      <c r="W103" s="31"/>
      <c r="X103" s="31"/>
      <c r="Y103" s="31"/>
      <c r="Z103" s="81"/>
      <c r="AA103" s="81"/>
    </row>
    <row r="104" spans="21:27" x14ac:dyDescent="0.25">
      <c r="U104" s="31"/>
      <c r="V104" s="31"/>
      <c r="W104" s="31"/>
      <c r="X104" s="31"/>
      <c r="Y104" s="31"/>
      <c r="Z104" s="81"/>
      <c r="AA104" s="81"/>
    </row>
    <row r="105" spans="21:27" x14ac:dyDescent="0.25">
      <c r="U105" s="31"/>
      <c r="V105" s="31"/>
      <c r="W105" s="31"/>
      <c r="X105" s="31"/>
      <c r="Y105" s="31"/>
      <c r="Z105" s="81"/>
      <c r="AA105" s="81"/>
    </row>
    <row r="106" spans="21:27" x14ac:dyDescent="0.25">
      <c r="U106" s="31"/>
      <c r="V106" s="31"/>
      <c r="W106" s="31"/>
      <c r="X106" s="31"/>
      <c r="Y106" s="31"/>
      <c r="Z106" s="81"/>
      <c r="AA106" s="81"/>
    </row>
    <row r="107" spans="21:27" x14ac:dyDescent="0.25">
      <c r="U107" s="31"/>
      <c r="V107" s="31"/>
      <c r="W107" s="31"/>
      <c r="X107" s="31"/>
      <c r="Y107" s="31"/>
      <c r="Z107" s="81"/>
      <c r="AA107" s="81"/>
    </row>
    <row r="108" spans="21:27" x14ac:dyDescent="0.25">
      <c r="U108" s="31"/>
      <c r="V108" s="31"/>
      <c r="W108" s="31"/>
      <c r="X108" s="31"/>
      <c r="Y108" s="31"/>
      <c r="Z108" s="81"/>
      <c r="AA108" s="81"/>
    </row>
    <row r="109" spans="21:27" x14ac:dyDescent="0.25">
      <c r="U109" s="88"/>
      <c r="V109" s="81"/>
      <c r="W109" s="81"/>
      <c r="X109" s="81"/>
      <c r="Y109" s="81"/>
      <c r="Z109" s="81"/>
      <c r="AA109" s="81"/>
    </row>
    <row r="110" spans="21:27" x14ac:dyDescent="0.25">
      <c r="U110" s="81"/>
      <c r="V110" s="83" t="s">
        <v>283</v>
      </c>
      <c r="W110" s="84"/>
      <c r="X110" s="83" t="s">
        <v>284</v>
      </c>
      <c r="Y110" s="84"/>
      <c r="Z110" s="81"/>
      <c r="AA110" s="81"/>
    </row>
    <row r="111" spans="21:27" x14ac:dyDescent="0.25">
      <c r="U111" s="81"/>
      <c r="V111" s="82" t="s">
        <v>287</v>
      </c>
      <c r="W111" s="82" t="s">
        <v>288</v>
      </c>
      <c r="X111" s="82" t="s">
        <v>289</v>
      </c>
      <c r="Y111" s="82" t="s">
        <v>290</v>
      </c>
      <c r="Z111" s="81"/>
      <c r="AA111" s="81"/>
    </row>
    <row r="112" spans="21:27" x14ac:dyDescent="0.25">
      <c r="U112" s="31"/>
      <c r="V112" s="31"/>
      <c r="W112" s="31"/>
      <c r="X112" s="31"/>
      <c r="Y112" s="31"/>
      <c r="Z112" s="81"/>
      <c r="AA112" s="81"/>
    </row>
  </sheetData>
  <mergeCells count="6">
    <mergeCell ref="N64:O64"/>
    <mergeCell ref="P64:Q64"/>
    <mergeCell ref="Z2:Z3"/>
    <mergeCell ref="AA2:AA3"/>
    <mergeCell ref="N47:O47"/>
    <mergeCell ref="P47:Q47"/>
  </mergeCells>
  <phoneticPr fontId="59" type="noConversion"/>
  <pageMargins left="1" right="1" top="1" bottom="1" header="0.5" footer="0.5"/>
  <pageSetup fitToWidth="0"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19"/>
  <sheetViews>
    <sheetView zoomScaleNormal="100" workbookViewId="0">
      <selection sqref="A1:J1"/>
    </sheetView>
  </sheetViews>
  <sheetFormatPr baseColWidth="10" defaultColWidth="11.42578125" defaultRowHeight="15" x14ac:dyDescent="0.25"/>
  <cols>
    <col min="1" max="1" width="13.28515625" customWidth="1"/>
    <col min="2" max="2" width="9.42578125" customWidth="1"/>
    <col min="3" max="4" width="10.7109375" customWidth="1"/>
    <col min="7" max="8" width="11.7109375" customWidth="1"/>
  </cols>
  <sheetData>
    <row r="1" spans="1:21" x14ac:dyDescent="0.25">
      <c r="A1" s="466" t="s">
        <v>590</v>
      </c>
      <c r="B1" s="466"/>
      <c r="C1" s="466"/>
      <c r="D1" s="466"/>
      <c r="E1" s="466"/>
      <c r="F1" s="466"/>
      <c r="G1" s="466"/>
      <c r="H1" s="466"/>
      <c r="I1" s="466"/>
      <c r="J1" s="466"/>
      <c r="K1" s="31"/>
    </row>
    <row r="2" spans="1:21" x14ac:dyDescent="0.25">
      <c r="A2" s="430" t="s">
        <v>148</v>
      </c>
      <c r="B2" s="425" t="s">
        <v>234</v>
      </c>
      <c r="C2" s="425"/>
      <c r="D2" s="425"/>
      <c r="E2" s="425"/>
      <c r="F2" s="424" t="s">
        <v>235</v>
      </c>
      <c r="G2" s="425"/>
      <c r="H2" s="425"/>
      <c r="I2" s="425"/>
      <c r="J2" s="426"/>
      <c r="K2" s="31"/>
    </row>
    <row r="3" spans="1:21" ht="15.75" customHeight="1" x14ac:dyDescent="0.25">
      <c r="A3" s="431"/>
      <c r="B3" s="422">
        <v>2021</v>
      </c>
      <c r="C3" s="424" t="s">
        <v>609</v>
      </c>
      <c r="D3" s="425"/>
      <c r="E3" s="425"/>
      <c r="F3" s="427">
        <v>2021</v>
      </c>
      <c r="G3" s="424" t="str">
        <f>C3</f>
        <v>Enero - agosto</v>
      </c>
      <c r="H3" s="425"/>
      <c r="I3" s="425"/>
      <c r="J3" s="426"/>
      <c r="K3" s="31"/>
      <c r="L3" s="242"/>
      <c r="M3" s="242"/>
      <c r="N3" s="242"/>
      <c r="O3" s="243"/>
      <c r="P3" s="242"/>
      <c r="Q3" s="242"/>
      <c r="R3" s="242"/>
      <c r="S3" s="243"/>
      <c r="T3" s="242"/>
      <c r="U3" s="242"/>
    </row>
    <row r="4" spans="1:21" x14ac:dyDescent="0.25">
      <c r="A4" s="432"/>
      <c r="B4" s="423"/>
      <c r="C4" s="287">
        <v>2021</v>
      </c>
      <c r="D4" s="287">
        <v>2022</v>
      </c>
      <c r="E4" s="287" t="s">
        <v>308</v>
      </c>
      <c r="F4" s="428"/>
      <c r="G4" s="287">
        <v>2021</v>
      </c>
      <c r="H4" s="287">
        <v>2022</v>
      </c>
      <c r="I4" s="287" t="s">
        <v>308</v>
      </c>
      <c r="J4" s="288" t="s">
        <v>309</v>
      </c>
      <c r="K4" s="31"/>
      <c r="L4" s="242"/>
      <c r="M4" s="243"/>
      <c r="N4" s="243"/>
      <c r="O4" s="243"/>
      <c r="P4" s="242"/>
      <c r="Q4" s="243"/>
      <c r="R4" s="243"/>
      <c r="S4" s="243"/>
      <c r="T4" s="242"/>
      <c r="U4" s="242"/>
    </row>
    <row r="5" spans="1:21" x14ac:dyDescent="0.25">
      <c r="A5" s="107" t="s">
        <v>316</v>
      </c>
      <c r="B5" s="139">
        <v>0</v>
      </c>
      <c r="C5" s="139">
        <v>0</v>
      </c>
      <c r="D5" s="139">
        <v>200225</v>
      </c>
      <c r="E5" s="168"/>
      <c r="F5" s="139">
        <v>0</v>
      </c>
      <c r="G5" s="139">
        <v>0</v>
      </c>
      <c r="H5" s="139">
        <v>822021</v>
      </c>
      <c r="I5" s="168"/>
      <c r="J5" s="170">
        <f>H5/$H$17</f>
        <v>0.19652630695620804</v>
      </c>
      <c r="K5" s="31"/>
      <c r="L5" s="242"/>
      <c r="M5" s="243"/>
      <c r="N5" s="243"/>
      <c r="O5" s="243"/>
      <c r="P5" s="242"/>
      <c r="Q5" s="243"/>
      <c r="R5" s="243"/>
      <c r="S5" s="243"/>
      <c r="T5" s="242"/>
      <c r="U5" s="242"/>
    </row>
    <row r="6" spans="1:21" x14ac:dyDescent="0.25">
      <c r="A6" s="140" t="s">
        <v>165</v>
      </c>
      <c r="B6" s="139">
        <v>82138</v>
      </c>
      <c r="C6" s="139">
        <v>61769</v>
      </c>
      <c r="D6" s="139">
        <v>147387</v>
      </c>
      <c r="E6" s="168">
        <f t="shared" ref="E6:E12" si="0">D6/C6-1</f>
        <v>1.3860998235360777</v>
      </c>
      <c r="F6" s="139">
        <v>478711</v>
      </c>
      <c r="G6" s="139">
        <v>355056</v>
      </c>
      <c r="H6" s="139">
        <v>767759</v>
      </c>
      <c r="I6" s="168">
        <f t="shared" ref="I6:I12" si="1">H6/G6-1</f>
        <v>1.1623603037267363</v>
      </c>
      <c r="J6" s="170">
        <f>H6/$H$17</f>
        <v>0.18355351128790057</v>
      </c>
      <c r="K6" s="31"/>
      <c r="L6" s="242"/>
      <c r="M6" s="242"/>
      <c r="N6" s="242"/>
      <c r="O6" s="243"/>
      <c r="P6" s="381"/>
      <c r="Q6" s="243"/>
      <c r="R6" s="243"/>
      <c r="S6" s="243"/>
      <c r="T6" s="381"/>
      <c r="U6" s="242"/>
    </row>
    <row r="7" spans="1:21" x14ac:dyDescent="0.25">
      <c r="A7" s="140" t="s">
        <v>155</v>
      </c>
      <c r="B7" s="139">
        <v>135356</v>
      </c>
      <c r="C7" s="139">
        <v>104720</v>
      </c>
      <c r="D7" s="139">
        <v>114675</v>
      </c>
      <c r="E7" s="168">
        <f t="shared" si="0"/>
        <v>9.506302521008414E-2</v>
      </c>
      <c r="F7" s="139">
        <v>628557</v>
      </c>
      <c r="G7" s="139">
        <v>442818</v>
      </c>
      <c r="H7" s="139">
        <v>748082</v>
      </c>
      <c r="I7" s="168">
        <f t="shared" si="1"/>
        <v>0.68936673757615985</v>
      </c>
      <c r="J7" s="170">
        <f t="shared" ref="J7:J17" si="2">H7/$H$17</f>
        <v>0.17884919334227958</v>
      </c>
      <c r="K7" s="31"/>
      <c r="L7" s="242"/>
      <c r="M7" s="243"/>
      <c r="N7" s="243"/>
      <c r="O7" s="243"/>
      <c r="P7" s="242"/>
      <c r="Q7" s="243"/>
      <c r="R7" s="243"/>
      <c r="S7" s="243"/>
      <c r="T7" s="242"/>
      <c r="U7" s="242"/>
    </row>
    <row r="8" spans="1:21" x14ac:dyDescent="0.25">
      <c r="A8" s="140" t="s">
        <v>310</v>
      </c>
      <c r="B8" s="139">
        <v>294</v>
      </c>
      <c r="C8" s="139">
        <v>294</v>
      </c>
      <c r="D8" s="139">
        <v>84312</v>
      </c>
      <c r="E8" s="168">
        <f t="shared" si="0"/>
        <v>285.77551020408163</v>
      </c>
      <c r="F8" s="139">
        <v>6300</v>
      </c>
      <c r="G8" s="139">
        <v>6300</v>
      </c>
      <c r="H8" s="139">
        <v>382645</v>
      </c>
      <c r="I8" s="168">
        <f t="shared" si="1"/>
        <v>59.737301587301587</v>
      </c>
      <c r="J8" s="170">
        <f>H8/$H$17</f>
        <v>9.1481615098955166E-2</v>
      </c>
      <c r="K8" s="31"/>
      <c r="L8" s="242"/>
      <c r="M8" s="243"/>
      <c r="N8" s="243"/>
      <c r="O8" s="243"/>
      <c r="P8" s="242"/>
      <c r="Q8" s="243"/>
      <c r="R8" s="243"/>
      <c r="S8" s="243"/>
      <c r="T8" s="242"/>
      <c r="U8" s="242"/>
    </row>
    <row r="9" spans="1:21" x14ac:dyDescent="0.25">
      <c r="A9" s="140" t="s">
        <v>158</v>
      </c>
      <c r="B9" s="139">
        <v>38666</v>
      </c>
      <c r="C9" s="139">
        <v>26134</v>
      </c>
      <c r="D9" s="139">
        <v>41207</v>
      </c>
      <c r="E9" s="168">
        <f t="shared" si="0"/>
        <v>0.57675824596311309</v>
      </c>
      <c r="F9" s="139">
        <v>280510</v>
      </c>
      <c r="G9" s="139">
        <v>177584</v>
      </c>
      <c r="H9" s="139">
        <v>336919</v>
      </c>
      <c r="I9" s="168">
        <f t="shared" si="1"/>
        <v>0.8972373637264619</v>
      </c>
      <c r="J9" s="170">
        <f t="shared" si="2"/>
        <v>8.0549580623096792E-2</v>
      </c>
      <c r="K9" s="31"/>
      <c r="L9" s="242"/>
      <c r="M9" s="243"/>
      <c r="N9" s="243"/>
      <c r="O9" s="243"/>
      <c r="P9" s="242"/>
      <c r="Q9" s="243"/>
      <c r="R9" s="243"/>
      <c r="S9" s="243"/>
      <c r="T9" s="242"/>
      <c r="U9" s="242"/>
    </row>
    <row r="10" spans="1:21" x14ac:dyDescent="0.25">
      <c r="A10" s="140" t="s">
        <v>236</v>
      </c>
      <c r="B10" s="139">
        <v>28944</v>
      </c>
      <c r="C10" s="139">
        <v>12391</v>
      </c>
      <c r="D10" s="139">
        <v>40497</v>
      </c>
      <c r="E10" s="168">
        <f t="shared" si="0"/>
        <v>2.2682592204019048</v>
      </c>
      <c r="F10" s="139">
        <v>219673</v>
      </c>
      <c r="G10" s="139">
        <v>116797</v>
      </c>
      <c r="H10" s="139">
        <v>236954</v>
      </c>
      <c r="I10" s="168">
        <f t="shared" si="1"/>
        <v>1.028767862188241</v>
      </c>
      <c r="J10" s="170">
        <f t="shared" si="2"/>
        <v>5.6650249249716636E-2</v>
      </c>
      <c r="K10" s="31"/>
      <c r="L10" s="242"/>
      <c r="M10" s="243"/>
      <c r="N10" s="242"/>
      <c r="O10" s="243"/>
      <c r="P10" s="381"/>
      <c r="Q10" s="243"/>
      <c r="R10" s="243"/>
      <c r="S10" s="243"/>
      <c r="T10" s="242"/>
      <c r="U10" s="242"/>
    </row>
    <row r="11" spans="1:21" x14ac:dyDescent="0.25">
      <c r="A11" s="140" t="s">
        <v>151</v>
      </c>
      <c r="B11" s="139">
        <v>33589</v>
      </c>
      <c r="C11" s="139">
        <v>31541</v>
      </c>
      <c r="D11" s="139">
        <v>11893</v>
      </c>
      <c r="E11" s="168">
        <f t="shared" si="0"/>
        <v>-0.62293522716464289</v>
      </c>
      <c r="F11" s="139">
        <v>343352</v>
      </c>
      <c r="G11" s="139">
        <v>339644</v>
      </c>
      <c r="H11" s="139">
        <v>179370</v>
      </c>
      <c r="I11" s="168">
        <f t="shared" si="1"/>
        <v>-0.47188821236353362</v>
      </c>
      <c r="J11" s="170">
        <f t="shared" si="2"/>
        <v>4.2883239818368425E-2</v>
      </c>
      <c r="K11" s="31"/>
      <c r="L11" s="242"/>
      <c r="M11" s="242"/>
      <c r="N11" s="242"/>
      <c r="O11" s="243"/>
      <c r="P11" s="242"/>
      <c r="Q11" s="242"/>
      <c r="R11" s="242"/>
      <c r="S11" s="243"/>
      <c r="T11" s="242"/>
      <c r="U11" s="242"/>
    </row>
    <row r="12" spans="1:21" x14ac:dyDescent="0.25">
      <c r="A12" s="141" t="s">
        <v>153</v>
      </c>
      <c r="B12" s="139">
        <v>7200</v>
      </c>
      <c r="C12" s="139">
        <v>630</v>
      </c>
      <c r="D12" s="139">
        <v>18450</v>
      </c>
      <c r="E12" s="168">
        <f t="shared" si="0"/>
        <v>28.285714285714285</v>
      </c>
      <c r="F12" s="139">
        <v>60311</v>
      </c>
      <c r="G12" s="139">
        <v>13177</v>
      </c>
      <c r="H12" s="139">
        <v>116495</v>
      </c>
      <c r="I12" s="168">
        <f t="shared" si="1"/>
        <v>7.8407831828185479</v>
      </c>
      <c r="J12" s="170">
        <f t="shared" si="2"/>
        <v>2.7851274029329486E-2</v>
      </c>
      <c r="K12" s="31"/>
      <c r="L12" s="242"/>
      <c r="M12" s="243"/>
      <c r="N12" s="243"/>
      <c r="O12" s="243"/>
      <c r="P12" s="242"/>
      <c r="Q12" s="243"/>
      <c r="R12" s="243"/>
      <c r="S12" s="243"/>
      <c r="T12" s="242"/>
      <c r="U12" s="242"/>
    </row>
    <row r="13" spans="1:21" x14ac:dyDescent="0.25">
      <c r="A13" s="140" t="s">
        <v>317</v>
      </c>
      <c r="B13" s="139">
        <v>0</v>
      </c>
      <c r="C13" s="139">
        <v>0</v>
      </c>
      <c r="D13" s="139">
        <v>17120</v>
      </c>
      <c r="E13" s="168"/>
      <c r="F13" s="139">
        <v>0</v>
      </c>
      <c r="G13" s="139">
        <v>0</v>
      </c>
      <c r="H13" s="139">
        <v>79180</v>
      </c>
      <c r="I13" s="168"/>
      <c r="J13" s="170">
        <f t="shared" si="2"/>
        <v>1.8930116122085144E-2</v>
      </c>
      <c r="K13" s="31"/>
      <c r="L13" s="242"/>
      <c r="M13" s="243"/>
      <c r="N13" s="243"/>
      <c r="O13" s="243"/>
      <c r="P13" s="242"/>
      <c r="Q13" s="243"/>
      <c r="R13" s="243"/>
      <c r="S13" s="243"/>
      <c r="T13" s="242"/>
      <c r="U13" s="242"/>
    </row>
    <row r="14" spans="1:21" x14ac:dyDescent="0.25">
      <c r="A14" s="140" t="s">
        <v>563</v>
      </c>
      <c r="B14" s="139">
        <v>6376</v>
      </c>
      <c r="C14" s="139">
        <v>5773</v>
      </c>
      <c r="D14" s="139">
        <v>10827</v>
      </c>
      <c r="E14" s="168">
        <f t="shared" ref="E14:E17" si="3">D14/C14-1</f>
        <v>0.87545470292742067</v>
      </c>
      <c r="F14" s="139">
        <v>42599</v>
      </c>
      <c r="G14" s="139">
        <v>35829</v>
      </c>
      <c r="H14" s="139">
        <v>60683</v>
      </c>
      <c r="I14" s="168">
        <f t="shared" ref="I14:I17" si="4">H14/G14-1</f>
        <v>0.69368388735381958</v>
      </c>
      <c r="J14" s="170">
        <f t="shared" si="2"/>
        <v>1.4507909025467199E-2</v>
      </c>
      <c r="K14" s="31"/>
      <c r="L14" s="242"/>
      <c r="M14" s="243"/>
      <c r="N14" s="243"/>
      <c r="O14" s="243"/>
      <c r="P14" s="242"/>
      <c r="Q14" s="243"/>
      <c r="R14" s="243"/>
      <c r="S14" s="243"/>
      <c r="T14" s="242"/>
      <c r="U14" s="242"/>
    </row>
    <row r="15" spans="1:21" x14ac:dyDescent="0.25">
      <c r="A15" s="142" t="s">
        <v>160</v>
      </c>
      <c r="B15" s="143">
        <v>332563</v>
      </c>
      <c r="C15" s="143">
        <v>243252</v>
      </c>
      <c r="D15" s="143">
        <v>686593</v>
      </c>
      <c r="E15" s="169">
        <f t="shared" si="3"/>
        <v>1.8225584990051469</v>
      </c>
      <c r="F15" s="143">
        <v>2060013</v>
      </c>
      <c r="G15" s="143">
        <v>1487205</v>
      </c>
      <c r="H15" s="143">
        <v>3730108</v>
      </c>
      <c r="I15" s="169">
        <f t="shared" si="4"/>
        <v>1.5081330415107534</v>
      </c>
      <c r="J15" s="171">
        <f t="shared" si="2"/>
        <v>0.89178299555340701</v>
      </c>
      <c r="K15" s="31"/>
      <c r="L15" s="242"/>
      <c r="M15" s="243"/>
      <c r="N15" s="243"/>
      <c r="O15" s="243"/>
      <c r="P15" s="242"/>
      <c r="Q15" s="243"/>
      <c r="R15" s="243"/>
      <c r="S15" s="243"/>
      <c r="T15" s="242"/>
      <c r="U15" s="242"/>
    </row>
    <row r="16" spans="1:21" x14ac:dyDescent="0.25">
      <c r="A16" s="144" t="s">
        <v>161</v>
      </c>
      <c r="B16" s="139">
        <v>91299</v>
      </c>
      <c r="C16" s="139">
        <v>49355</v>
      </c>
      <c r="D16" s="139">
        <v>65440</v>
      </c>
      <c r="E16" s="168">
        <f t="shared" si="3"/>
        <v>0.32590416371188335</v>
      </c>
      <c r="F16" s="139">
        <v>702574</v>
      </c>
      <c r="G16" s="139">
        <v>336487</v>
      </c>
      <c r="H16" s="139">
        <v>452645</v>
      </c>
      <c r="I16" s="168">
        <f t="shared" si="4"/>
        <v>0.34520798723279067</v>
      </c>
      <c r="J16" s="170">
        <f t="shared" si="2"/>
        <v>0.10821700444659295</v>
      </c>
      <c r="K16" s="31"/>
      <c r="L16" s="242"/>
    </row>
    <row r="17" spans="1:11" x14ac:dyDescent="0.25">
      <c r="A17" s="145" t="s">
        <v>162</v>
      </c>
      <c r="B17" s="143">
        <v>423862</v>
      </c>
      <c r="C17" s="143">
        <v>292607</v>
      </c>
      <c r="D17" s="143">
        <v>752033</v>
      </c>
      <c r="E17" s="169">
        <f t="shared" si="3"/>
        <v>1.5701128134323512</v>
      </c>
      <c r="F17" s="143">
        <v>2762587</v>
      </c>
      <c r="G17" s="143">
        <v>1823692</v>
      </c>
      <c r="H17" s="143">
        <v>4182753</v>
      </c>
      <c r="I17" s="169">
        <f t="shared" si="4"/>
        <v>1.2935632771323227</v>
      </c>
      <c r="J17" s="171">
        <f t="shared" si="2"/>
        <v>1</v>
      </c>
      <c r="K17" s="31"/>
    </row>
    <row r="18" spans="1:11" x14ac:dyDescent="0.25">
      <c r="A18" s="524" t="s">
        <v>237</v>
      </c>
      <c r="B18" s="524"/>
      <c r="C18" s="524"/>
      <c r="D18" s="524"/>
      <c r="E18" s="524"/>
      <c r="F18" s="524"/>
      <c r="G18" s="524"/>
      <c r="H18" s="524"/>
      <c r="I18" s="524"/>
      <c r="J18" s="524"/>
      <c r="K18" s="31"/>
    </row>
    <row r="19" spans="1:11" ht="76.5" customHeight="1" x14ac:dyDescent="0.25">
      <c r="A19" s="525" t="s">
        <v>238</v>
      </c>
      <c r="B19" s="525"/>
      <c r="C19" s="525"/>
      <c r="D19" s="525"/>
      <c r="E19" s="525"/>
      <c r="F19" s="525"/>
      <c r="G19" s="525"/>
      <c r="H19" s="525"/>
      <c r="I19" s="525"/>
      <c r="J19" s="525"/>
      <c r="K19" s="31"/>
    </row>
  </sheetData>
  <mergeCells count="10">
    <mergeCell ref="G3:J3"/>
    <mergeCell ref="A18:J18"/>
    <mergeCell ref="A19:J19"/>
    <mergeCell ref="B2:E2"/>
    <mergeCell ref="A1:J1"/>
    <mergeCell ref="A2:A4"/>
    <mergeCell ref="F2:J2"/>
    <mergeCell ref="B3:B4"/>
    <mergeCell ref="F3:F4"/>
    <mergeCell ref="C3:E3"/>
  </mergeCells>
  <phoneticPr fontId="59" type="noConversion"/>
  <pageMargins left="1" right="1" top="1" bottom="1" header="0.5" footer="0.5"/>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G92"/>
  <sheetViews>
    <sheetView topLeftCell="A13" workbookViewId="0">
      <selection activeCell="G32" sqref="G32"/>
    </sheetView>
  </sheetViews>
  <sheetFormatPr baseColWidth="10" defaultColWidth="11.42578125" defaultRowHeight="15" x14ac:dyDescent="0.25"/>
  <cols>
    <col min="1" max="1" width="14.7109375" customWidth="1"/>
    <col min="6" max="6" width="10.140625" customWidth="1"/>
  </cols>
  <sheetData>
    <row r="2" spans="1:7" x14ac:dyDescent="0.25">
      <c r="A2" s="31"/>
      <c r="B2" s="31"/>
      <c r="C2" s="31"/>
      <c r="D2" s="3" t="s">
        <v>10</v>
      </c>
      <c r="E2" s="31"/>
      <c r="F2" s="31"/>
      <c r="G2" s="31"/>
    </row>
    <row r="4" spans="1:7" x14ac:dyDescent="0.25">
      <c r="A4" s="102" t="s">
        <v>11</v>
      </c>
      <c r="B4" s="102" t="s">
        <v>12</v>
      </c>
      <c r="C4" s="102"/>
      <c r="D4" s="102"/>
      <c r="E4" s="102"/>
      <c r="F4" s="102"/>
      <c r="G4" s="102" t="s">
        <v>13</v>
      </c>
    </row>
    <row r="5" spans="1:7" x14ac:dyDescent="0.25">
      <c r="A5" s="31"/>
      <c r="B5" s="13" t="s">
        <v>14</v>
      </c>
      <c r="C5" s="31"/>
      <c r="D5" s="31"/>
      <c r="E5" s="31"/>
      <c r="F5" s="31"/>
      <c r="G5" s="3">
        <v>5</v>
      </c>
    </row>
    <row r="7" spans="1:7" x14ac:dyDescent="0.25">
      <c r="A7" s="102" t="s">
        <v>15</v>
      </c>
      <c r="B7" s="102" t="s">
        <v>12</v>
      </c>
      <c r="C7" s="102"/>
      <c r="D7" s="102"/>
      <c r="E7" s="102"/>
      <c r="F7" s="102"/>
      <c r="G7" s="102" t="s">
        <v>13</v>
      </c>
    </row>
    <row r="8" spans="1:7" x14ac:dyDescent="0.25">
      <c r="A8" s="12"/>
      <c r="B8" s="12"/>
      <c r="C8" s="12"/>
      <c r="D8" s="12"/>
      <c r="E8" s="12"/>
      <c r="F8" s="12"/>
      <c r="G8" s="12"/>
    </row>
    <row r="9" spans="1:7" x14ac:dyDescent="0.25">
      <c r="A9" s="3">
        <v>1</v>
      </c>
      <c r="B9" s="10" t="s">
        <v>314</v>
      </c>
      <c r="C9" s="31"/>
      <c r="D9" s="31"/>
      <c r="E9" s="31"/>
      <c r="F9" s="31"/>
      <c r="G9" s="349">
        <v>6</v>
      </c>
    </row>
    <row r="10" spans="1:7" x14ac:dyDescent="0.25">
      <c r="A10" s="3">
        <v>2</v>
      </c>
      <c r="B10" s="10" t="s">
        <v>16</v>
      </c>
      <c r="C10" s="31"/>
      <c r="D10" s="31"/>
      <c r="E10" s="31"/>
      <c r="F10" s="31"/>
      <c r="G10" s="349">
        <v>10</v>
      </c>
    </row>
    <row r="11" spans="1:7" x14ac:dyDescent="0.25">
      <c r="A11" s="3">
        <v>3</v>
      </c>
      <c r="B11" s="10" t="s">
        <v>17</v>
      </c>
      <c r="C11" s="31"/>
      <c r="D11" s="31"/>
      <c r="E11" s="31"/>
      <c r="F11" s="31"/>
      <c r="G11" s="349">
        <v>11</v>
      </c>
    </row>
    <row r="12" spans="1:7" s="31" customFormat="1" x14ac:dyDescent="0.25">
      <c r="A12" s="173">
        <v>4</v>
      </c>
      <c r="B12" s="10" t="s">
        <v>18</v>
      </c>
      <c r="G12" s="349">
        <v>12</v>
      </c>
    </row>
    <row r="13" spans="1:7" x14ac:dyDescent="0.25">
      <c r="A13" s="3">
        <v>5</v>
      </c>
      <c r="B13" s="10" t="s">
        <v>19</v>
      </c>
      <c r="C13" s="31"/>
      <c r="D13" s="31"/>
      <c r="E13" s="31"/>
      <c r="F13" s="31"/>
      <c r="G13" s="349">
        <v>17</v>
      </c>
    </row>
    <row r="14" spans="1:7" x14ac:dyDescent="0.25">
      <c r="A14" s="3">
        <v>6</v>
      </c>
      <c r="B14" s="10" t="s">
        <v>20</v>
      </c>
      <c r="C14" s="31"/>
      <c r="D14" s="31"/>
      <c r="E14" s="31"/>
      <c r="F14" s="31"/>
      <c r="G14" s="349">
        <v>18</v>
      </c>
    </row>
    <row r="15" spans="1:7" x14ac:dyDescent="0.25">
      <c r="A15" s="3">
        <v>7</v>
      </c>
      <c r="B15" s="10" t="s">
        <v>21</v>
      </c>
      <c r="C15" s="31"/>
      <c r="D15" s="31"/>
      <c r="E15" s="31"/>
      <c r="F15" s="31"/>
      <c r="G15" s="349">
        <v>19</v>
      </c>
    </row>
    <row r="16" spans="1:7" x14ac:dyDescent="0.25">
      <c r="A16" s="297">
        <v>8</v>
      </c>
      <c r="B16" s="10" t="s">
        <v>22</v>
      </c>
      <c r="C16" s="31"/>
      <c r="D16" s="31"/>
      <c r="E16" s="31"/>
      <c r="F16" s="31"/>
      <c r="G16" s="349">
        <v>20</v>
      </c>
    </row>
    <row r="17" spans="1:7" x14ac:dyDescent="0.25">
      <c r="A17" s="351">
        <v>9</v>
      </c>
      <c r="B17" s="10" t="s">
        <v>449</v>
      </c>
      <c r="C17" s="31"/>
      <c r="D17" s="31"/>
      <c r="E17" s="31"/>
      <c r="F17" s="31"/>
      <c r="G17" s="349">
        <v>22</v>
      </c>
    </row>
    <row r="18" spans="1:7" x14ac:dyDescent="0.25">
      <c r="A18" s="351">
        <v>10</v>
      </c>
      <c r="B18" s="10" t="s">
        <v>450</v>
      </c>
      <c r="C18" s="31"/>
      <c r="D18" s="31"/>
      <c r="E18" s="31"/>
      <c r="F18" s="31"/>
      <c r="G18" s="349" t="s">
        <v>593</v>
      </c>
    </row>
    <row r="19" spans="1:7" s="31" customFormat="1" x14ac:dyDescent="0.25">
      <c r="A19" s="351">
        <v>11</v>
      </c>
      <c r="B19" s="10" t="s">
        <v>451</v>
      </c>
      <c r="G19" s="349" t="s">
        <v>594</v>
      </c>
    </row>
    <row r="20" spans="1:7" x14ac:dyDescent="0.25">
      <c r="A20" s="351">
        <v>12</v>
      </c>
      <c r="B20" s="10" t="s">
        <v>452</v>
      </c>
      <c r="C20" s="31"/>
      <c r="D20" s="31"/>
      <c r="E20" s="31"/>
      <c r="F20" s="31"/>
      <c r="G20" s="349" t="s">
        <v>595</v>
      </c>
    </row>
    <row r="21" spans="1:7" x14ac:dyDescent="0.25">
      <c r="A21" s="351">
        <v>13</v>
      </c>
      <c r="B21" s="10" t="s">
        <v>453</v>
      </c>
      <c r="C21" s="31"/>
      <c r="D21" s="31"/>
      <c r="E21" s="31"/>
      <c r="F21" s="31"/>
      <c r="G21" s="349" t="s">
        <v>596</v>
      </c>
    </row>
    <row r="22" spans="1:7" x14ac:dyDescent="0.25">
      <c r="A22" s="351">
        <v>14</v>
      </c>
      <c r="B22" s="10" t="s">
        <v>454</v>
      </c>
      <c r="C22" s="31"/>
      <c r="D22" s="31"/>
      <c r="E22" s="31"/>
      <c r="F22" s="31"/>
      <c r="G22" s="350" t="s">
        <v>597</v>
      </c>
    </row>
    <row r="23" spans="1:7" x14ac:dyDescent="0.25">
      <c r="A23" s="351">
        <v>15</v>
      </c>
      <c r="B23" s="10" t="s">
        <v>445</v>
      </c>
      <c r="C23" s="31"/>
      <c r="D23" s="31"/>
      <c r="E23" s="31"/>
      <c r="F23" s="31"/>
      <c r="G23" s="349">
        <v>35</v>
      </c>
    </row>
    <row r="24" spans="1:7" x14ac:dyDescent="0.25">
      <c r="A24" s="351">
        <v>16</v>
      </c>
      <c r="B24" s="10" t="s">
        <v>446</v>
      </c>
      <c r="C24" s="31"/>
      <c r="D24" s="31"/>
      <c r="E24" s="31"/>
      <c r="F24" s="31"/>
      <c r="G24" s="349">
        <v>35</v>
      </c>
    </row>
    <row r="25" spans="1:7" x14ac:dyDescent="0.25">
      <c r="A25" s="351">
        <v>17</v>
      </c>
      <c r="B25" s="10" t="s">
        <v>447</v>
      </c>
      <c r="C25" s="31"/>
      <c r="D25" s="31"/>
      <c r="E25" s="31"/>
      <c r="F25" s="31"/>
      <c r="G25" s="349">
        <v>36</v>
      </c>
    </row>
    <row r="26" spans="1:7" x14ac:dyDescent="0.25">
      <c r="A26" s="351">
        <v>18</v>
      </c>
      <c r="B26" s="10" t="s">
        <v>448</v>
      </c>
      <c r="C26" s="31"/>
      <c r="D26" s="31"/>
      <c r="E26" s="31"/>
      <c r="F26" s="31"/>
      <c r="G26" s="349">
        <v>36</v>
      </c>
    </row>
    <row r="27" spans="1:7" x14ac:dyDescent="0.25">
      <c r="A27" s="351">
        <v>19</v>
      </c>
      <c r="B27" s="11" t="s">
        <v>27</v>
      </c>
      <c r="C27" s="31"/>
      <c r="D27" s="31"/>
      <c r="E27" s="31"/>
      <c r="F27" s="31"/>
      <c r="G27" s="349">
        <v>37</v>
      </c>
    </row>
    <row r="28" spans="1:7" x14ac:dyDescent="0.25">
      <c r="A28" s="351">
        <v>20</v>
      </c>
      <c r="B28" s="11" t="s">
        <v>294</v>
      </c>
      <c r="G28" s="349">
        <v>38</v>
      </c>
    </row>
    <row r="29" spans="1:7" x14ac:dyDescent="0.25">
      <c r="A29" s="351">
        <v>21</v>
      </c>
      <c r="B29" s="11" t="s">
        <v>24</v>
      </c>
      <c r="C29" s="31"/>
      <c r="D29" s="31"/>
      <c r="E29" s="31"/>
      <c r="F29" s="31"/>
      <c r="G29" s="349">
        <v>40</v>
      </c>
    </row>
    <row r="30" spans="1:7" x14ac:dyDescent="0.25">
      <c r="A30" s="351">
        <v>22</v>
      </c>
      <c r="B30" s="11" t="s">
        <v>25</v>
      </c>
      <c r="C30" s="31"/>
      <c r="D30" s="31"/>
      <c r="E30" s="31"/>
      <c r="F30" s="31"/>
      <c r="G30" s="349">
        <v>41</v>
      </c>
    </row>
    <row r="31" spans="1:7" x14ac:dyDescent="0.25">
      <c r="A31" s="351">
        <v>23</v>
      </c>
      <c r="B31" s="11" t="s">
        <v>28</v>
      </c>
      <c r="G31" s="349">
        <v>42</v>
      </c>
    </row>
    <row r="32" spans="1:7" x14ac:dyDescent="0.25">
      <c r="A32" s="351">
        <v>24</v>
      </c>
      <c r="B32" s="11" t="s">
        <v>29</v>
      </c>
      <c r="G32" s="349">
        <v>43</v>
      </c>
    </row>
    <row r="33" spans="1:7" x14ac:dyDescent="0.25">
      <c r="A33" s="351">
        <v>25</v>
      </c>
      <c r="B33" s="11" t="s">
        <v>30</v>
      </c>
      <c r="G33" s="349">
        <v>44</v>
      </c>
    </row>
    <row r="34" spans="1:7" x14ac:dyDescent="0.25">
      <c r="A34" s="351">
        <v>26</v>
      </c>
      <c r="B34" s="10" t="s">
        <v>23</v>
      </c>
      <c r="C34" s="31"/>
      <c r="D34" s="31"/>
      <c r="E34" s="31"/>
      <c r="F34" s="31"/>
      <c r="G34" s="349">
        <v>45</v>
      </c>
    </row>
    <row r="35" spans="1:7" x14ac:dyDescent="0.25">
      <c r="A35" s="351">
        <v>27</v>
      </c>
      <c r="B35" s="10" t="s">
        <v>26</v>
      </c>
      <c r="C35" s="31"/>
      <c r="D35" s="31"/>
      <c r="E35" s="31"/>
      <c r="F35" s="31"/>
      <c r="G35" s="349">
        <v>47</v>
      </c>
    </row>
    <row r="45" spans="1:7" s="31" customFormat="1" x14ac:dyDescent="0.25"/>
    <row r="47" spans="1:7" s="31" customFormat="1" x14ac:dyDescent="0.25"/>
    <row r="48" spans="1:7" s="31" customFormat="1" x14ac:dyDescent="0.25"/>
    <row r="49" spans="1:7" s="31" customFormat="1" x14ac:dyDescent="0.25"/>
    <row r="50" spans="1:7" s="31" customFormat="1" x14ac:dyDescent="0.25"/>
    <row r="51" spans="1:7" s="31" customFormat="1" x14ac:dyDescent="0.25"/>
    <row r="53" spans="1:7" s="242" customFormat="1" x14ac:dyDescent="0.25"/>
    <row r="56" spans="1:7" x14ac:dyDescent="0.25">
      <c r="D56" s="3" t="s">
        <v>10</v>
      </c>
    </row>
    <row r="58" spans="1:7" x14ac:dyDescent="0.25">
      <c r="A58" s="102" t="s">
        <v>31</v>
      </c>
      <c r="B58" s="103" t="s">
        <v>12</v>
      </c>
      <c r="C58" s="102"/>
      <c r="D58" s="102"/>
      <c r="E58" s="102"/>
      <c r="F58" s="102"/>
      <c r="G58" s="102" t="s">
        <v>13</v>
      </c>
    </row>
    <row r="59" spans="1:7" x14ac:dyDescent="0.25">
      <c r="A59" s="12"/>
      <c r="B59" s="14"/>
      <c r="C59" s="12"/>
      <c r="D59" s="12"/>
      <c r="E59" s="12"/>
      <c r="F59" s="12"/>
      <c r="G59" s="12"/>
    </row>
    <row r="60" spans="1:7" x14ac:dyDescent="0.25">
      <c r="A60" s="3">
        <v>1</v>
      </c>
      <c r="B60" s="10" t="s">
        <v>32</v>
      </c>
      <c r="C60" s="31"/>
      <c r="D60" s="31"/>
      <c r="E60" s="31"/>
      <c r="F60" s="31"/>
      <c r="G60" s="349">
        <v>7</v>
      </c>
    </row>
    <row r="61" spans="1:7" x14ac:dyDescent="0.25">
      <c r="A61" s="3">
        <v>2</v>
      </c>
      <c r="B61" s="10" t="s">
        <v>33</v>
      </c>
      <c r="C61" s="31"/>
      <c r="D61" s="31"/>
      <c r="E61" s="31"/>
      <c r="F61" s="31"/>
      <c r="G61" s="349">
        <v>7</v>
      </c>
    </row>
    <row r="62" spans="1:7" x14ac:dyDescent="0.25">
      <c r="A62" s="3">
        <v>3</v>
      </c>
      <c r="B62" s="10" t="s">
        <v>34</v>
      </c>
      <c r="C62" s="31"/>
      <c r="D62" s="31"/>
      <c r="E62" s="31"/>
      <c r="F62" s="31"/>
      <c r="G62" s="349">
        <v>7</v>
      </c>
    </row>
    <row r="63" spans="1:7" x14ac:dyDescent="0.25">
      <c r="A63" s="3">
        <v>4</v>
      </c>
      <c r="B63" s="10" t="s">
        <v>35</v>
      </c>
      <c r="C63" s="31"/>
      <c r="D63" s="31"/>
      <c r="E63" s="31"/>
      <c r="F63" s="31"/>
      <c r="G63" s="349">
        <v>8</v>
      </c>
    </row>
    <row r="64" spans="1:7" x14ac:dyDescent="0.25">
      <c r="A64" s="3">
        <v>5</v>
      </c>
      <c r="B64" s="10" t="s">
        <v>36</v>
      </c>
      <c r="C64" s="31"/>
      <c r="D64" s="31"/>
      <c r="E64" s="31"/>
      <c r="F64" s="31"/>
      <c r="G64" s="349">
        <v>8</v>
      </c>
    </row>
    <row r="65" spans="1:7" x14ac:dyDescent="0.25">
      <c r="A65" s="3">
        <v>6</v>
      </c>
      <c r="B65" s="10" t="s">
        <v>37</v>
      </c>
      <c r="C65" s="31"/>
      <c r="D65" s="31"/>
      <c r="E65" s="31"/>
      <c r="F65" s="31"/>
      <c r="G65" s="349">
        <v>8</v>
      </c>
    </row>
    <row r="66" spans="1:7" s="31" customFormat="1" x14ac:dyDescent="0.25">
      <c r="A66" s="3">
        <v>7</v>
      </c>
      <c r="B66" s="10" t="s">
        <v>38</v>
      </c>
      <c r="G66" s="349">
        <v>9</v>
      </c>
    </row>
    <row r="67" spans="1:7" x14ac:dyDescent="0.25">
      <c r="A67" s="3">
        <v>8</v>
      </c>
      <c r="B67" s="11" t="s">
        <v>39</v>
      </c>
      <c r="C67" s="31"/>
      <c r="D67" s="31"/>
      <c r="E67" s="31"/>
      <c r="F67" s="31"/>
      <c r="G67" s="349">
        <v>10</v>
      </c>
    </row>
    <row r="68" spans="1:7" x14ac:dyDescent="0.25">
      <c r="A68" s="3">
        <v>9</v>
      </c>
      <c r="B68" s="11" t="s">
        <v>40</v>
      </c>
      <c r="C68" s="31"/>
      <c r="D68" s="31"/>
      <c r="E68" s="31"/>
      <c r="F68" s="31"/>
      <c r="G68" s="349">
        <v>11</v>
      </c>
    </row>
    <row r="69" spans="1:7" x14ac:dyDescent="0.25">
      <c r="A69" s="351">
        <v>10</v>
      </c>
      <c r="B69" s="10" t="s">
        <v>41</v>
      </c>
      <c r="C69" s="31"/>
      <c r="D69" s="31"/>
      <c r="E69" s="31"/>
      <c r="F69" s="31"/>
      <c r="G69" s="349">
        <v>13</v>
      </c>
    </row>
    <row r="70" spans="1:7" x14ac:dyDescent="0.25">
      <c r="A70" s="351">
        <v>11</v>
      </c>
      <c r="B70" s="10" t="s">
        <v>42</v>
      </c>
      <c r="C70" s="31"/>
      <c r="D70" s="31"/>
      <c r="E70" s="31"/>
      <c r="F70" s="31"/>
      <c r="G70" s="349">
        <v>13</v>
      </c>
    </row>
    <row r="71" spans="1:7" x14ac:dyDescent="0.25">
      <c r="A71" s="351">
        <v>12</v>
      </c>
      <c r="B71" s="10" t="s">
        <v>43</v>
      </c>
      <c r="C71" s="31"/>
      <c r="D71" s="31"/>
      <c r="E71" s="31"/>
      <c r="F71" s="31"/>
      <c r="G71" s="349">
        <v>13</v>
      </c>
    </row>
    <row r="72" spans="1:7" x14ac:dyDescent="0.25">
      <c r="A72" s="351">
        <v>13</v>
      </c>
      <c r="B72" s="10" t="s">
        <v>44</v>
      </c>
      <c r="C72" s="31"/>
      <c r="D72" s="31"/>
      <c r="E72" s="31"/>
      <c r="F72" s="31"/>
      <c r="G72" s="349">
        <v>14</v>
      </c>
    </row>
    <row r="73" spans="1:7" x14ac:dyDescent="0.25">
      <c r="A73" s="351">
        <v>14</v>
      </c>
      <c r="B73" s="10" t="s">
        <v>45</v>
      </c>
      <c r="C73" s="31"/>
      <c r="D73" s="31"/>
      <c r="E73" s="31"/>
      <c r="F73" s="31"/>
      <c r="G73" s="349">
        <v>14</v>
      </c>
    </row>
    <row r="74" spans="1:7" x14ac:dyDescent="0.25">
      <c r="A74" s="351">
        <v>15</v>
      </c>
      <c r="B74" s="10" t="s">
        <v>46</v>
      </c>
      <c r="C74" s="31"/>
      <c r="D74" s="31"/>
      <c r="E74" s="31"/>
      <c r="F74" s="31"/>
      <c r="G74" s="349">
        <v>14</v>
      </c>
    </row>
    <row r="75" spans="1:7" x14ac:dyDescent="0.25">
      <c r="A75" s="351">
        <v>16</v>
      </c>
      <c r="B75" s="10" t="s">
        <v>47</v>
      </c>
      <c r="C75" s="31"/>
      <c r="D75" s="31"/>
      <c r="E75" s="31"/>
      <c r="F75" s="31"/>
      <c r="G75" s="349">
        <v>15</v>
      </c>
    </row>
    <row r="76" spans="1:7" x14ac:dyDescent="0.25">
      <c r="A76" s="351">
        <v>17</v>
      </c>
      <c r="B76" s="10" t="s">
        <v>48</v>
      </c>
      <c r="C76" s="31"/>
      <c r="D76" s="31"/>
      <c r="E76" s="31"/>
      <c r="F76" s="31"/>
      <c r="G76" s="349">
        <v>15</v>
      </c>
    </row>
    <row r="77" spans="1:7" x14ac:dyDescent="0.25">
      <c r="A77" s="351">
        <v>18</v>
      </c>
      <c r="B77" s="10" t="s">
        <v>49</v>
      </c>
      <c r="C77" s="31"/>
      <c r="D77" s="31"/>
      <c r="E77" s="31"/>
      <c r="F77" s="31"/>
      <c r="G77" s="349">
        <v>15</v>
      </c>
    </row>
    <row r="78" spans="1:7" x14ac:dyDescent="0.25">
      <c r="A78" s="351">
        <v>19</v>
      </c>
      <c r="B78" s="10" t="s">
        <v>50</v>
      </c>
      <c r="C78" s="31"/>
      <c r="D78" s="31"/>
      <c r="E78" s="31"/>
      <c r="F78" s="31"/>
      <c r="G78" s="349">
        <v>16</v>
      </c>
    </row>
    <row r="79" spans="1:7" x14ac:dyDescent="0.25">
      <c r="A79" s="351">
        <v>20</v>
      </c>
      <c r="B79" s="10" t="s">
        <v>51</v>
      </c>
      <c r="C79" s="31"/>
      <c r="D79" s="31"/>
      <c r="E79" s="31"/>
      <c r="F79" s="31"/>
      <c r="G79" s="349">
        <v>16</v>
      </c>
    </row>
    <row r="80" spans="1:7" x14ac:dyDescent="0.25">
      <c r="A80" s="351">
        <v>21</v>
      </c>
      <c r="B80" s="10" t="s">
        <v>52</v>
      </c>
      <c r="C80" s="31"/>
      <c r="D80" s="31"/>
      <c r="E80" s="31"/>
      <c r="F80" s="31"/>
      <c r="G80" s="349">
        <v>16</v>
      </c>
    </row>
    <row r="81" spans="1:7" x14ac:dyDescent="0.25">
      <c r="A81" s="351">
        <v>22</v>
      </c>
      <c r="B81" s="11" t="s">
        <v>443</v>
      </c>
      <c r="C81" s="31"/>
      <c r="D81" s="31"/>
      <c r="E81" s="31"/>
      <c r="F81" s="31"/>
      <c r="G81" s="349">
        <v>21</v>
      </c>
    </row>
    <row r="82" spans="1:7" x14ac:dyDescent="0.25">
      <c r="A82" s="351">
        <v>23</v>
      </c>
      <c r="B82" s="11" t="s">
        <v>444</v>
      </c>
      <c r="C82" s="31"/>
      <c r="D82" s="31"/>
      <c r="E82" s="31"/>
      <c r="F82" s="31"/>
      <c r="G82" s="349">
        <v>21</v>
      </c>
    </row>
    <row r="83" spans="1:7" s="31" customFormat="1" x14ac:dyDescent="0.25">
      <c r="A83" s="351">
        <v>24</v>
      </c>
      <c r="B83" s="11" t="s">
        <v>294</v>
      </c>
      <c r="G83" s="349">
        <v>38</v>
      </c>
    </row>
    <row r="84" spans="1:7" x14ac:dyDescent="0.25">
      <c r="A84" s="351">
        <v>25</v>
      </c>
      <c r="B84" s="11" t="s">
        <v>296</v>
      </c>
      <c r="C84" s="31"/>
      <c r="D84" s="31"/>
      <c r="E84" s="31"/>
      <c r="F84" s="31"/>
      <c r="G84" s="349">
        <v>39</v>
      </c>
    </row>
    <row r="85" spans="1:7" x14ac:dyDescent="0.25">
      <c r="A85" s="351">
        <v>26</v>
      </c>
      <c r="B85" s="11" t="s">
        <v>54</v>
      </c>
      <c r="C85" s="31"/>
      <c r="D85" s="31"/>
      <c r="E85" s="31"/>
      <c r="F85" s="31"/>
      <c r="G85" s="349">
        <v>39</v>
      </c>
    </row>
    <row r="86" spans="1:7" x14ac:dyDescent="0.25">
      <c r="A86" s="351">
        <v>27</v>
      </c>
      <c r="B86" s="11" t="s">
        <v>53</v>
      </c>
      <c r="C86" s="31"/>
      <c r="D86" s="31"/>
      <c r="E86" s="31"/>
      <c r="F86" s="31"/>
      <c r="G86" s="349">
        <v>40</v>
      </c>
    </row>
    <row r="87" spans="1:7" x14ac:dyDescent="0.25">
      <c r="A87" s="351">
        <v>28</v>
      </c>
      <c r="B87" s="11" t="s">
        <v>55</v>
      </c>
      <c r="C87" s="31"/>
      <c r="D87" s="31"/>
      <c r="E87" s="31"/>
      <c r="F87" s="31"/>
      <c r="G87" s="349">
        <v>44</v>
      </c>
    </row>
    <row r="88" spans="1:7" x14ac:dyDescent="0.25">
      <c r="A88" s="351">
        <v>29</v>
      </c>
      <c r="B88" s="11" t="s">
        <v>56</v>
      </c>
      <c r="C88" s="31"/>
      <c r="D88" s="31"/>
      <c r="E88" s="31"/>
      <c r="F88" s="31"/>
      <c r="G88" s="349">
        <v>46</v>
      </c>
    </row>
    <row r="89" spans="1:7" x14ac:dyDescent="0.25">
      <c r="A89" s="351"/>
    </row>
    <row r="90" spans="1:7" x14ac:dyDescent="0.25">
      <c r="A90" s="351"/>
    </row>
    <row r="91" spans="1:7" x14ac:dyDescent="0.25">
      <c r="A91" s="351"/>
    </row>
    <row r="92" spans="1:7" x14ac:dyDescent="0.25">
      <c r="A92" s="351"/>
    </row>
  </sheetData>
  <phoneticPr fontId="59" type="noConversion"/>
  <hyperlinks>
    <hyperlink ref="G9" location="Exportaciones!A1" display="Exportaciones!A1" xr:uid="{D7503360-154D-428C-889F-3FE33F9235DD}"/>
    <hyperlink ref="G10" location="'expo anual rango precios'!A1" display="'expo anual rango precios'!A1" xr:uid="{243B5BB9-7FD2-4A61-BAD2-153F0EADC655}"/>
    <hyperlink ref="G11" location="'expo anual rango precios'!A1" display="'expo anual rango precios'!A1" xr:uid="{887E14B6-4520-456C-AAFE-9DEE73DD10F8}"/>
    <hyperlink ref="G23" location="'Precio vino Nac.'!A1" display="'Precio vino Nac.'!A1" xr:uid="{7372004B-0CB5-43A0-ADC6-C7043C2FEACC}"/>
    <hyperlink ref="G24" location="'Precio vino Nac.'!A1" display="'Precio vino Nac.'!A1" xr:uid="{CC250B5C-9BAD-44FA-BCBA-523CFE78D18B}"/>
    <hyperlink ref="G25" location="'Precio vino Nac.'!A1" display="'Precio vino Nac.'!A1" xr:uid="{43BC9E60-61ED-4E56-95F5-6CF78DB93F6A}"/>
    <hyperlink ref="G26" location="'Precio vino Nac.'!A1" display="'Precio vino Nac.'!A1" xr:uid="{39584E7F-961B-44EF-BF06-EBC36DFEB2C8}"/>
    <hyperlink ref="G17" location="'Precio uva'!A1" display="'Precio uva'!A1" xr:uid="{FB644023-C75D-411F-870D-84E885C354CA}"/>
    <hyperlink ref="G18" location="'Precio uva'!A1" display="15 - 16" xr:uid="{A5180128-41A1-404A-B89F-9271CF7BB949}"/>
    <hyperlink ref="G19" location="'Precio uva'!A1" display="'Precio uva'!A1" xr:uid="{EED96C49-E16F-4832-855B-143C9EA9D305}"/>
    <hyperlink ref="G20" location="'Precio uva'!A1" display="18-19-20-21-22-23" xr:uid="{C2FC7E4D-C5E9-4B89-9323-48C00FBE6D5C}"/>
    <hyperlink ref="G21" location="'Precio uva'!A1" display="23 - 24" xr:uid="{EA4C744A-A336-414C-8317-CA6172A8D531}"/>
    <hyperlink ref="G22" location="'Precio uva'!A1" display="'Precio uva'!A1" xr:uid="{8586CCAF-BF45-4824-84B3-07C67925A588}"/>
    <hyperlink ref="G12" location="'Expo var DO'!A1" display="'Expo var DO'!A1" xr:uid="{230FBC27-921A-4A43-B54D-C147132AFBAB}"/>
    <hyperlink ref="G13" location="'Expo vinos por mercado'!A1" display="'Expo vinos por mercado'!A1" xr:uid="{4446D74C-2AB0-4C9C-A931-0F19B5C62373}"/>
    <hyperlink ref="G14" location="'Expo vinos por mercado'!A1" display="'Expo vinos por mercado'!A1" xr:uid="{6ECF7442-B341-4769-904D-CFF2DCCAC51A}"/>
    <hyperlink ref="G15" location="'Expo vinos por mercado'!A1" display="'Expo vinos por mercado'!A1" xr:uid="{E89DBCF0-2569-4EB7-8AA8-3280F09F2B6C}"/>
    <hyperlink ref="G16" location="'Expo vinos por mercado'!A1" display="'Expo vinos por mercado'!A1" xr:uid="{120BAC0E-B41A-4740-BC23-EDAF80C4978B}"/>
    <hyperlink ref="G34" location="Estadisticas!A1" display="Estadisticas!A1" xr:uid="{645BBD50-7586-4D3F-9757-F4B25B3EA24E}"/>
    <hyperlink ref="G29" location="Existencias!A1" display="Existencias!A1" xr:uid="{5BE0EB55-BAAE-45AB-AFED-AFABDE974AB4}"/>
    <hyperlink ref="G30" location="Existencias!A1" display="Existencias!A1" xr:uid="{4992CAA0-A199-4A9C-A6F0-6FB6819C5853}"/>
    <hyperlink ref="G35" location="'Pisco x mercado'!A1" display="'Pisco x mercado'!A1" xr:uid="{F4553F7F-9816-486C-B13A-1B3CDADC8F6D}"/>
    <hyperlink ref="G27" location="'Prod vino '!A1" display="'Prod vino '!A1" xr:uid="{5FF9C450-17EB-49FE-9784-4135D2A79BED}"/>
    <hyperlink ref="G28" location="'Evol. prod. vino DO por cepa'!A1" display="'Evol. prod. vino DO por cepa'!A1" xr:uid="{C1B4DF1C-FBCB-4C8A-9D91-39EDD492FEDF}"/>
    <hyperlink ref="G31" location="'Sup plantada vides'!A1" display="'Sup plantada vides'!A1" xr:uid="{D9AC12F4-34AA-470A-BB4D-DAD45A9D4B0D}"/>
    <hyperlink ref="G32" location="'Sup plantada vides'!A1" display="'Sup plantada vides'!A1" xr:uid="{B8E67620-C69A-4AFF-8F5A-B3AA1CA3F6D2}"/>
    <hyperlink ref="G33" location="'Sup plantada vides (2)'!A1" display="'Sup plantada vides (2)'!A1" xr:uid="{1B58C35C-6AF2-422D-857B-3723B293DEFD}"/>
    <hyperlink ref="G60" location="'Evol export'!A1" display="'Evol export'!A1" xr:uid="{DE478E84-4DD9-41FE-A854-B881F0AEBB4A}"/>
    <hyperlink ref="G61" location="'Evol export'!A1" display="'Evol export'!A1" xr:uid="{9854BB27-A10E-485A-9F66-FEB5DFA7E3C2}"/>
    <hyperlink ref="G62" location="'Evol export'!A1" display="'Evol export'!A1" xr:uid="{F945DDA5-244D-493B-B46C-B8F7E800F910}"/>
    <hyperlink ref="G63" location="'Evol export'!A1" display="'Evol export'!A1" xr:uid="{45E75A9E-B0F2-47A1-9993-D8D1EC8EB15C}"/>
    <hyperlink ref="G64" location="'Evol export'!A1" display="'Evol export'!A1" xr:uid="{39A3A0AF-E63C-45F3-A723-99B062DAB152}"/>
    <hyperlink ref="G65" location="'Evol export'!A1" display="'Evol export'!A1" xr:uid="{EDCB38D6-DC56-4D27-AD5F-6A6DEC336F4F}"/>
    <hyperlink ref="G66" location="'Evol export'!A1" display="'Evol export'!A1" xr:uid="{8214A2E2-1CC8-458B-8617-ECA5065AA58D}"/>
    <hyperlink ref="G67" location="'expo anual rango precios'!A1" display="'expo anual rango precios'!A1" xr:uid="{FC9CE494-3864-4D90-A8C1-3F3906563751}"/>
    <hyperlink ref="G68" location="'expo anual rango precios'!A1" display="'expo anual rango precios'!A1" xr:uid="{9355F1CB-A94A-4C6A-B152-34449CE2E09E}"/>
    <hyperlink ref="G81" location="'Valor granel exp'!A1" display="'Valor granel exp'!A1" xr:uid="{72FC6D39-1079-4A1E-BA88-7CEE4F4F1A12}"/>
    <hyperlink ref="G82" location="'Valor granel exp'!A1" display="'Valor granel exp'!A1" xr:uid="{39CC9C8F-DCD5-44E2-85B4-03CAA16E9482}"/>
    <hyperlink ref="G69" location="'Graficos vinos DO'!A1" display="'Graficos vinos DO'!A1" xr:uid="{833D9AE9-DE09-42DD-A056-40477A6E7211}"/>
    <hyperlink ref="G70" location="'Graficos vinos DO'!A1" display="'Graficos vinos DO'!A1" xr:uid="{2818BA4A-0285-48CE-9522-9F7F8E4FAC55}"/>
    <hyperlink ref="G71" location="'Graficos vinos DO'!A1" display="'Graficos vinos DO'!A1" xr:uid="{5E319BD2-340D-460A-B197-9E8D29766647}"/>
    <hyperlink ref="G72:G74" location="'Gráficos vino granel'!A1" display="'Gráficos vino granel'!A1" xr:uid="{CBD0AE76-9485-4DCE-B006-EF5D9F928D2C}"/>
    <hyperlink ref="G75:G77" location="'Gráfico vino entre 2 y 10 lts'!A1" display="'Gráfico vino entre 2 y 10 lts'!A1" xr:uid="{E8A1AD8B-E770-4A8B-94E0-EAEEDE795EEB}"/>
    <hyperlink ref="G78:G80" location="'Gráficos vino espumoso'!A1" display="'Gráficos vino espumoso'!A1" xr:uid="{8C8701A8-524D-4082-833B-2519859F82CB}"/>
    <hyperlink ref="G86" location="Existencias!A1" display="Existencias!A1" xr:uid="{D39AB404-6084-4F7A-A085-CC268D93FF79}"/>
    <hyperlink ref="G83" location="'Evol. prod. vino DO por cepa'!A1" display="'Evol. prod. vino DO por cepa'!A1" xr:uid="{8112CDA8-736E-45B9-88E7-150788939C38}"/>
    <hyperlink ref="G84" location="'Prod vino graf'!A1" display="'Prod vino graf'!A1" xr:uid="{FA14D959-F530-4FF3-AC63-252CC143DFB1}"/>
    <hyperlink ref="G85" location="'Prod vino graf'!A1" display="'Prod vino graf'!A1" xr:uid="{64AE60DD-F318-4750-8F17-708838920310}"/>
    <hyperlink ref="G87" location="'Sup plantada vides (2)'!A1" display="'Sup plantada vides (2)'!A1" xr:uid="{844FBE87-D008-4529-B236-E714C8F414A4}"/>
    <hyperlink ref="G88" location="'Precios comparativos'!A1" display="'Precios comparativos'!A1" xr:uid="{D641D39B-1684-434C-B9D0-0B01124AD014}"/>
  </hyperlinks>
  <pageMargins left="1" right="1" top="1" bottom="1" header="0.5" footer="0.5"/>
  <pageSetup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J4:J6"/>
  <sheetViews>
    <sheetView zoomScaleNormal="100" zoomScaleSheetLayoutView="120" workbookViewId="0"/>
  </sheetViews>
  <sheetFormatPr baseColWidth="10" defaultColWidth="11.42578125" defaultRowHeight="15" x14ac:dyDescent="0.25"/>
  <sheetData>
    <row r="4" spans="10:10" ht="18" x14ac:dyDescent="0.25">
      <c r="J4" s="101"/>
    </row>
    <row r="5" spans="10:10" ht="18" x14ac:dyDescent="0.25">
      <c r="J5" s="101"/>
    </row>
    <row r="6" spans="10:10" ht="18" x14ac:dyDescent="0.25">
      <c r="J6" s="101"/>
    </row>
  </sheetData>
  <phoneticPr fontId="59" type="noConversion"/>
  <pageMargins left="1" right="1" top="1" bottom="1" header="0.5" footer="0.5"/>
  <pageSetup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9"/>
  <sheetViews>
    <sheetView zoomScale="80" zoomScaleNormal="80" zoomScalePageLayoutView="80" workbookViewId="0">
      <selection sqref="A1:K1"/>
    </sheetView>
  </sheetViews>
  <sheetFormatPr baseColWidth="10" defaultColWidth="11.42578125" defaultRowHeight="15" x14ac:dyDescent="0.25"/>
  <cols>
    <col min="1" max="1" width="38" customWidth="1"/>
    <col min="2" max="4" width="12.28515625" customWidth="1"/>
    <col min="5" max="5" width="10" customWidth="1"/>
    <col min="6" max="7" width="10" style="31" customWidth="1"/>
    <col min="8" max="9" width="10" customWidth="1"/>
    <col min="10" max="10" width="10.140625" customWidth="1"/>
    <col min="11" max="11" width="9.5703125" customWidth="1"/>
    <col min="12" max="12" width="12" bestFit="1" customWidth="1"/>
  </cols>
  <sheetData>
    <row r="1" spans="1:12" ht="15" customHeight="1" thickBot="1" x14ac:dyDescent="0.3">
      <c r="A1" s="391" t="s">
        <v>306</v>
      </c>
      <c r="B1" s="392"/>
      <c r="C1" s="392"/>
      <c r="D1" s="392"/>
      <c r="E1" s="392"/>
      <c r="F1" s="392"/>
      <c r="G1" s="392"/>
      <c r="H1" s="392"/>
      <c r="I1" s="392"/>
      <c r="J1" s="392"/>
      <c r="K1" s="393"/>
    </row>
    <row r="2" spans="1:12" ht="15" customHeight="1" thickBot="1" x14ac:dyDescent="0.3">
      <c r="A2" s="394"/>
      <c r="B2" s="397" t="s">
        <v>57</v>
      </c>
      <c r="C2" s="398"/>
      <c r="D2" s="398"/>
      <c r="E2" s="398"/>
      <c r="F2" s="398"/>
      <c r="G2" s="398"/>
      <c r="H2" s="398"/>
      <c r="I2" s="398"/>
      <c r="J2" s="398"/>
      <c r="K2" s="399"/>
    </row>
    <row r="3" spans="1:12" ht="15" customHeight="1" x14ac:dyDescent="0.25">
      <c r="A3" s="395"/>
      <c r="B3" s="400" t="s">
        <v>302</v>
      </c>
      <c r="C3" s="402" t="s">
        <v>311</v>
      </c>
      <c r="D3" s="403"/>
      <c r="E3" s="404"/>
      <c r="F3" s="402" t="s">
        <v>58</v>
      </c>
      <c r="G3" s="403"/>
      <c r="H3" s="404"/>
      <c r="I3" s="402" t="s">
        <v>305</v>
      </c>
      <c r="J3" s="403"/>
      <c r="K3" s="404"/>
    </row>
    <row r="4" spans="1:12" ht="39" thickBot="1" x14ac:dyDescent="0.3">
      <c r="A4" s="396"/>
      <c r="B4" s="401"/>
      <c r="C4" s="236" t="s">
        <v>604</v>
      </c>
      <c r="D4" s="236" t="s">
        <v>605</v>
      </c>
      <c r="E4" s="238" t="s">
        <v>59</v>
      </c>
      <c r="F4" s="236">
        <v>44409</v>
      </c>
      <c r="G4" s="240">
        <v>44774</v>
      </c>
      <c r="H4" s="238" t="s">
        <v>59</v>
      </c>
      <c r="I4" s="236" t="s">
        <v>606</v>
      </c>
      <c r="J4" s="240" t="s">
        <v>607</v>
      </c>
      <c r="K4" s="238" t="s">
        <v>59</v>
      </c>
    </row>
    <row r="5" spans="1:12" ht="15" customHeight="1" x14ac:dyDescent="0.25">
      <c r="A5" s="254" t="s">
        <v>60</v>
      </c>
      <c r="B5" s="255">
        <v>448.1851345149999</v>
      </c>
      <c r="C5" s="197">
        <v>289.5767570575</v>
      </c>
      <c r="D5" s="198">
        <v>308.14685510040005</v>
      </c>
      <c r="E5" s="256">
        <v>6.4128413590917699E-2</v>
      </c>
      <c r="F5" s="197">
        <v>37.119260229999988</v>
      </c>
      <c r="G5" s="198">
        <v>46.650925100000002</v>
      </c>
      <c r="H5" s="256">
        <v>0.25678488232091623</v>
      </c>
      <c r="I5" s="197">
        <v>441.47534694270001</v>
      </c>
      <c r="J5" s="198">
        <v>466.75523255789994</v>
      </c>
      <c r="K5" s="241">
        <v>5.7262281552679983E-2</v>
      </c>
    </row>
    <row r="6" spans="1:12" ht="15" customHeight="1" x14ac:dyDescent="0.25">
      <c r="A6" s="257" t="s">
        <v>61</v>
      </c>
      <c r="B6" s="258">
        <v>353.03793121770002</v>
      </c>
      <c r="C6" s="199">
        <v>225.6809152177</v>
      </c>
      <c r="D6" s="200">
        <v>232.29105407999998</v>
      </c>
      <c r="E6" s="259">
        <v>2.9289755653124638E-2</v>
      </c>
      <c r="F6" s="199">
        <v>30.644948420000002</v>
      </c>
      <c r="G6" s="200">
        <v>28.40885608</v>
      </c>
      <c r="H6" s="259">
        <v>-7.2967730581678714E-2</v>
      </c>
      <c r="I6" s="199">
        <v>331.49055021769999</v>
      </c>
      <c r="J6" s="200">
        <v>359.64807007999997</v>
      </c>
      <c r="K6" s="201">
        <v>8.4942149463410166E-2</v>
      </c>
      <c r="L6" s="242"/>
    </row>
    <row r="7" spans="1:12" ht="15" customHeight="1" x14ac:dyDescent="0.25">
      <c r="A7" s="257" t="s">
        <v>297</v>
      </c>
      <c r="B7" s="258">
        <v>39.216195233699999</v>
      </c>
      <c r="C7" s="199">
        <v>24.954828133699998</v>
      </c>
      <c r="D7" s="200">
        <v>27.298306870100003</v>
      </c>
      <c r="E7" s="260">
        <v>9.3908830942228683E-2</v>
      </c>
      <c r="F7" s="199">
        <v>2.9652479999999999</v>
      </c>
      <c r="G7" s="200">
        <v>4.1455986899999999</v>
      </c>
      <c r="H7" s="260">
        <v>0.39806137294418553</v>
      </c>
      <c r="I7" s="199">
        <v>38.899582453699999</v>
      </c>
      <c r="J7" s="200">
        <v>41.559673970100008</v>
      </c>
      <c r="K7" s="202">
        <v>6.8383549349563477E-2</v>
      </c>
      <c r="L7" s="242"/>
    </row>
    <row r="8" spans="1:12" x14ac:dyDescent="0.25">
      <c r="A8" s="257" t="s">
        <v>62</v>
      </c>
      <c r="B8" s="258">
        <v>21.014181499999999</v>
      </c>
      <c r="C8" s="199">
        <v>14.6731575</v>
      </c>
      <c r="D8" s="200">
        <v>12.57716875</v>
      </c>
      <c r="E8" s="260">
        <v>-0.14284510678768358</v>
      </c>
      <c r="F8" s="199">
        <v>1.445209</v>
      </c>
      <c r="G8" s="200">
        <v>1.3845065000000001</v>
      </c>
      <c r="H8" s="260">
        <v>-4.2002575406048459E-2</v>
      </c>
      <c r="I8" s="199">
        <v>20.852744576700001</v>
      </c>
      <c r="J8" s="200">
        <v>18.918192749999999</v>
      </c>
      <c r="K8" s="202">
        <v>-9.2772048282871666E-2</v>
      </c>
      <c r="L8" s="242"/>
    </row>
    <row r="9" spans="1:12" x14ac:dyDescent="0.25">
      <c r="A9" s="257" t="s">
        <v>63</v>
      </c>
      <c r="B9" s="258">
        <v>3.5844562599999996</v>
      </c>
      <c r="C9" s="199">
        <v>2.2083599999999999</v>
      </c>
      <c r="D9" s="200">
        <v>2.2223774274000001</v>
      </c>
      <c r="E9" s="260">
        <v>6.3474376460361803E-3</v>
      </c>
      <c r="F9" s="199">
        <v>0.41156100000000001</v>
      </c>
      <c r="G9" s="200">
        <v>0.43035125000000002</v>
      </c>
      <c r="H9" s="260">
        <v>4.5656050986366603E-2</v>
      </c>
      <c r="I9" s="199">
        <v>3.5917059999999998</v>
      </c>
      <c r="J9" s="200">
        <v>3.5984736874000003</v>
      </c>
      <c r="K9" s="202">
        <v>1.8842542791643879E-3</v>
      </c>
      <c r="L9" s="242"/>
    </row>
    <row r="10" spans="1:12" ht="15" customHeight="1" x14ac:dyDescent="0.25">
      <c r="A10" s="257" t="s">
        <v>64</v>
      </c>
      <c r="B10" s="261">
        <v>0.58249799999999996</v>
      </c>
      <c r="C10" s="206">
        <v>0.401814</v>
      </c>
      <c r="D10" s="207">
        <v>0.32410800000000001</v>
      </c>
      <c r="E10" s="260">
        <v>-0.19338798548582181</v>
      </c>
      <c r="F10" s="206">
        <v>3.78E-2</v>
      </c>
      <c r="G10" s="207">
        <v>6.2534999999999993E-2</v>
      </c>
      <c r="H10" s="260">
        <v>0.65436507936507926</v>
      </c>
      <c r="I10" s="206">
        <v>0.59959200000000001</v>
      </c>
      <c r="J10" s="207">
        <v>0.50479200000000002</v>
      </c>
      <c r="K10" s="202">
        <v>-0.15810751310891402</v>
      </c>
      <c r="L10" s="242"/>
    </row>
    <row r="11" spans="1:12" ht="15.75" thickBot="1" x14ac:dyDescent="0.3">
      <c r="A11" s="263" t="s">
        <v>66</v>
      </c>
      <c r="B11" s="262">
        <v>865.62039672639992</v>
      </c>
      <c r="C11" s="203">
        <v>557.49583190890007</v>
      </c>
      <c r="D11" s="204">
        <v>582.85987022790005</v>
      </c>
      <c r="E11" s="264">
        <v>4.5496373008120816E-2</v>
      </c>
      <c r="F11" s="203">
        <v>72.62402664999999</v>
      </c>
      <c r="G11" s="204">
        <v>81.08277262</v>
      </c>
      <c r="H11" s="264">
        <v>0.11647310621821605</v>
      </c>
      <c r="I11" s="203">
        <v>836.90952219079998</v>
      </c>
      <c r="J11" s="204">
        <v>890.98443504539989</v>
      </c>
      <c r="K11" s="205">
        <v>6.4612615128391226E-2</v>
      </c>
    </row>
    <row r="12" spans="1:12" ht="15.75" thickBot="1" x14ac:dyDescent="0.3">
      <c r="A12" s="15"/>
      <c r="B12" s="386" t="s">
        <v>65</v>
      </c>
      <c r="C12" s="387"/>
      <c r="D12" s="387"/>
      <c r="E12" s="387"/>
      <c r="F12" s="388"/>
      <c r="G12" s="388"/>
      <c r="H12" s="388"/>
      <c r="I12" s="388"/>
      <c r="J12" s="388"/>
      <c r="K12" s="389"/>
    </row>
    <row r="13" spans="1:12" x14ac:dyDescent="0.25">
      <c r="A13" s="254" t="s">
        <v>60</v>
      </c>
      <c r="B13" s="265">
        <v>1505.5540304499993</v>
      </c>
      <c r="C13" s="197">
        <v>985.58273055999962</v>
      </c>
      <c r="D13" s="198">
        <v>1015.5129935499989</v>
      </c>
      <c r="E13" s="266">
        <v>3.036808789556722E-2</v>
      </c>
      <c r="F13" s="197">
        <v>128.69093210999992</v>
      </c>
      <c r="G13" s="198">
        <v>152.08433544999971</v>
      </c>
      <c r="H13" s="266">
        <v>0.18177973347806686</v>
      </c>
      <c r="I13" s="197">
        <v>1459.5475061699997</v>
      </c>
      <c r="J13" s="198">
        <v>1535.4842934399987</v>
      </c>
      <c r="K13" s="266">
        <v>5.2027622909832427E-2</v>
      </c>
    </row>
    <row r="14" spans="1:12" x14ac:dyDescent="0.25">
      <c r="A14" s="257" t="s">
        <v>61</v>
      </c>
      <c r="B14" s="267">
        <v>308.67399628000004</v>
      </c>
      <c r="C14" s="199">
        <v>198.13830402000002</v>
      </c>
      <c r="D14" s="200">
        <v>217.80632369999992</v>
      </c>
      <c r="E14" s="266">
        <v>9.9264096244684907E-2</v>
      </c>
      <c r="F14" s="199">
        <v>25.697983490000002</v>
      </c>
      <c r="G14" s="200">
        <v>27.561742179999936</v>
      </c>
      <c r="H14" s="266">
        <v>7.2525483983020944E-2</v>
      </c>
      <c r="I14" s="199">
        <v>295.79840813000004</v>
      </c>
      <c r="J14" s="200">
        <v>328.34201595999991</v>
      </c>
      <c r="K14" s="266">
        <v>0.110019550259707</v>
      </c>
      <c r="L14" s="242"/>
    </row>
    <row r="15" spans="1:12" x14ac:dyDescent="0.25">
      <c r="A15" s="257" t="s">
        <v>297</v>
      </c>
      <c r="B15" s="267">
        <v>86.372485900000029</v>
      </c>
      <c r="C15" s="199">
        <v>54.204040910000003</v>
      </c>
      <c r="D15" s="200">
        <v>60.087396859999998</v>
      </c>
      <c r="E15" s="266">
        <v>0.10854091044187419</v>
      </c>
      <c r="F15" s="199">
        <v>6.6046388299999998</v>
      </c>
      <c r="G15" s="200">
        <v>9.1298326200000002</v>
      </c>
      <c r="H15" s="266">
        <v>0.3823363934042705</v>
      </c>
      <c r="I15" s="199">
        <v>84.195700819999999</v>
      </c>
      <c r="J15" s="200">
        <v>92.255841850000039</v>
      </c>
      <c r="K15" s="266">
        <v>9.5731028443264865E-2</v>
      </c>
      <c r="L15" s="242"/>
    </row>
    <row r="16" spans="1:12" x14ac:dyDescent="0.25">
      <c r="A16" s="257" t="s">
        <v>62</v>
      </c>
      <c r="B16" s="267">
        <v>40.270924819999998</v>
      </c>
      <c r="C16" s="199">
        <v>28.21508493</v>
      </c>
      <c r="D16" s="200">
        <v>23.348535790000003</v>
      </c>
      <c r="E16" s="266">
        <v>-0.17248040018570299</v>
      </c>
      <c r="F16" s="199">
        <v>3.2252133999999999</v>
      </c>
      <c r="G16" s="200">
        <v>2.6202215200000003</v>
      </c>
      <c r="H16" s="266">
        <v>-0.18758196899467172</v>
      </c>
      <c r="I16" s="199">
        <v>40.554549760000008</v>
      </c>
      <c r="J16" s="200">
        <v>35.404375680000008</v>
      </c>
      <c r="K16" s="266">
        <v>-0.12699374325392576</v>
      </c>
      <c r="L16" s="242"/>
    </row>
    <row r="17" spans="1:12" x14ac:dyDescent="0.25">
      <c r="A17" s="257" t="s">
        <v>63</v>
      </c>
      <c r="B17" s="267">
        <v>14.482406459999996</v>
      </c>
      <c r="C17" s="199">
        <v>8.9858312199999997</v>
      </c>
      <c r="D17" s="200">
        <v>8.8281918499999978</v>
      </c>
      <c r="E17" s="266">
        <v>-1.7543103819838035E-2</v>
      </c>
      <c r="F17" s="199">
        <v>1.7023689100000001</v>
      </c>
      <c r="G17" s="200">
        <v>1.7280310099999996</v>
      </c>
      <c r="H17" s="266">
        <v>1.5074347193053228E-2</v>
      </c>
      <c r="I17" s="199">
        <v>14.621373090000001</v>
      </c>
      <c r="J17" s="200">
        <v>14.324767089999996</v>
      </c>
      <c r="K17" s="266">
        <v>-2.0285782886072523E-2</v>
      </c>
      <c r="L17" s="242"/>
    </row>
    <row r="18" spans="1:12" x14ac:dyDescent="0.25">
      <c r="A18" s="257" t="s">
        <v>64</v>
      </c>
      <c r="B18" s="267">
        <v>2.3697822099999994</v>
      </c>
      <c r="C18" s="199">
        <v>1.6477499899999997</v>
      </c>
      <c r="D18" s="200">
        <v>1.34506283</v>
      </c>
      <c r="E18" s="266">
        <v>-0.18369726101470019</v>
      </c>
      <c r="F18" s="199">
        <v>0.13629463</v>
      </c>
      <c r="G18" s="200">
        <v>0.27197035999999997</v>
      </c>
      <c r="H18" s="266">
        <v>0.99545910209375066</v>
      </c>
      <c r="I18" s="199">
        <v>2.4659302299999997</v>
      </c>
      <c r="J18" s="200">
        <v>2.0670950500000003</v>
      </c>
      <c r="K18" s="266">
        <v>-0.16173822565936891</v>
      </c>
      <c r="L18" s="242"/>
    </row>
    <row r="19" spans="1:12" ht="15.75" thickBot="1" x14ac:dyDescent="0.3">
      <c r="A19" s="269" t="s">
        <v>66</v>
      </c>
      <c r="B19" s="270">
        <v>1957.7236261199994</v>
      </c>
      <c r="C19" s="203">
        <v>1276.7737416299999</v>
      </c>
      <c r="D19" s="204">
        <v>1326.9285045799984</v>
      </c>
      <c r="E19" s="268">
        <v>3.9282420459217926E-2</v>
      </c>
      <c r="F19" s="203">
        <v>166.0574313699999</v>
      </c>
      <c r="G19" s="208">
        <v>193.39613313999968</v>
      </c>
      <c r="H19" s="268">
        <v>0.16463401574052527</v>
      </c>
      <c r="I19" s="203">
        <v>1897.1834681999997</v>
      </c>
      <c r="J19" s="208">
        <v>2007.8783890699988</v>
      </c>
      <c r="K19" s="268">
        <v>5.8346977361669605E-2</v>
      </c>
      <c r="L19" s="242"/>
    </row>
    <row r="20" spans="1:12" ht="15.75" thickBot="1" x14ac:dyDescent="0.3">
      <c r="A20" s="15"/>
      <c r="B20" s="386" t="s">
        <v>67</v>
      </c>
      <c r="C20" s="387"/>
      <c r="D20" s="387"/>
      <c r="E20" s="387"/>
      <c r="F20" s="387"/>
      <c r="G20" s="387"/>
      <c r="H20" s="387"/>
      <c r="I20" s="387"/>
      <c r="J20" s="387"/>
      <c r="K20" s="390"/>
    </row>
    <row r="21" spans="1:12" x14ac:dyDescent="0.25">
      <c r="A21" s="254" t="s">
        <v>60</v>
      </c>
      <c r="B21" s="271">
        <v>3.3592234871404716</v>
      </c>
      <c r="C21" s="209">
        <v>3.4035284481216035</v>
      </c>
      <c r="D21" s="210">
        <v>3.2955487837743003</v>
      </c>
      <c r="E21" s="211">
        <v>-3.1725800443036412E-2</v>
      </c>
      <c r="F21" s="209">
        <v>3.4669584283899928</v>
      </c>
      <c r="G21" s="210">
        <v>3.2600497230010923</v>
      </c>
      <c r="H21" s="211">
        <v>-5.9680180672078587E-2</v>
      </c>
      <c r="I21" s="209">
        <v>3.3060679747524775</v>
      </c>
      <c r="J21" s="210">
        <v>3.2896991535055267</v>
      </c>
      <c r="K21" s="211">
        <v>-4.9511447955562504E-3</v>
      </c>
    </row>
    <row r="22" spans="1:12" x14ac:dyDescent="0.25">
      <c r="A22" s="257" t="s">
        <v>61</v>
      </c>
      <c r="B22" s="272">
        <v>0.87433663350371527</v>
      </c>
      <c r="C22" s="206">
        <v>0.87795772996076615</v>
      </c>
      <c r="D22" s="207">
        <v>0.93764404558166248</v>
      </c>
      <c r="E22" s="202">
        <v>6.7983131287611798E-2</v>
      </c>
      <c r="F22" s="206">
        <v>0.83857160200761072</v>
      </c>
      <c r="G22" s="207">
        <v>0.97018134423946634</v>
      </c>
      <c r="H22" s="202">
        <v>0.1569451456700548</v>
      </c>
      <c r="I22" s="206">
        <v>0.89232832711442356</v>
      </c>
      <c r="J22" s="207">
        <v>0.91295364350756458</v>
      </c>
      <c r="K22" s="202">
        <v>2.3114044199222361E-2</v>
      </c>
    </row>
    <row r="23" spans="1:12" x14ac:dyDescent="0.25">
      <c r="A23" s="257" t="s">
        <v>297</v>
      </c>
      <c r="B23" s="272">
        <v>2.2024698057851566</v>
      </c>
      <c r="C23" s="206">
        <v>2.1720863241210107</v>
      </c>
      <c r="D23" s="207">
        <v>2.201140061393847</v>
      </c>
      <c r="E23" s="202">
        <v>1.3375958842056557E-2</v>
      </c>
      <c r="F23" s="206">
        <v>2.2273478744442285</v>
      </c>
      <c r="G23" s="207">
        <v>2.2022953263717864</v>
      </c>
      <c r="H23" s="202">
        <v>-1.1247703315627522E-2</v>
      </c>
      <c r="I23" s="206">
        <v>2.1644371355454379</v>
      </c>
      <c r="J23" s="207">
        <v>2.2198403653592962</v>
      </c>
      <c r="K23" s="202">
        <v>2.5597061196187987E-2</v>
      </c>
    </row>
    <row r="24" spans="1:12" x14ac:dyDescent="0.25">
      <c r="A24" s="257" t="s">
        <v>62</v>
      </c>
      <c r="B24" s="272">
        <v>1.9163689444673351</v>
      </c>
      <c r="C24" s="206">
        <v>1.9229047960536101</v>
      </c>
      <c r="D24" s="207">
        <v>1.856422240498284</v>
      </c>
      <c r="E24" s="202">
        <v>-3.4574023473116666E-2</v>
      </c>
      <c r="F24" s="206">
        <v>2.2316588119780598</v>
      </c>
      <c r="G24" s="207">
        <v>1.8925310354267026</v>
      </c>
      <c r="H24" s="202">
        <v>-0.15196219723693649</v>
      </c>
      <c r="I24" s="206">
        <v>1.944806335244426</v>
      </c>
      <c r="J24" s="207">
        <v>1.8714459751976049</v>
      </c>
      <c r="K24" s="202">
        <v>-3.7721164682241293E-2</v>
      </c>
    </row>
    <row r="25" spans="1:12" x14ac:dyDescent="0.25">
      <c r="A25" s="257" t="s">
        <v>63</v>
      </c>
      <c r="B25" s="272">
        <v>4.0403356630720886</v>
      </c>
      <c r="C25" s="206">
        <v>4.0690065116194827</v>
      </c>
      <c r="D25" s="207">
        <v>3.9724088902073942</v>
      </c>
      <c r="E25" s="202">
        <v>-2.3739854221477286E-2</v>
      </c>
      <c r="F25" s="206">
        <v>4.1363708174486895</v>
      </c>
      <c r="G25" s="207">
        <v>4.0153967485861832</v>
      </c>
      <c r="H25" s="202">
        <v>-2.9246427412212284E-2</v>
      </c>
      <c r="I25" s="206">
        <v>4.0708713602950803</v>
      </c>
      <c r="J25" s="207">
        <v>3.9807897276442361</v>
      </c>
      <c r="K25" s="202">
        <v>-2.2128341742617574E-2</v>
      </c>
    </row>
    <row r="26" spans="1:12" ht="14.25" customHeight="1" x14ac:dyDescent="0.25">
      <c r="A26" s="257" t="s">
        <v>64</v>
      </c>
      <c r="B26" s="272">
        <v>4.0683096079299839</v>
      </c>
      <c r="C26" s="206">
        <v>4.1007779470103074</v>
      </c>
      <c r="D26" s="207">
        <v>4.150045139274563</v>
      </c>
      <c r="E26" s="202">
        <v>1.2014108762015363E-2</v>
      </c>
      <c r="F26" s="206">
        <v>3.6056780423280421</v>
      </c>
      <c r="G26" s="207">
        <v>4.3490902694491087</v>
      </c>
      <c r="H26" s="202">
        <v>0.20617820515141583</v>
      </c>
      <c r="I26" s="206">
        <v>4.1126803392973885</v>
      </c>
      <c r="J26" s="207">
        <v>4.0949441552164068</v>
      </c>
      <c r="K26" s="202">
        <v>-4.3125608162417617E-3</v>
      </c>
    </row>
    <row r="27" spans="1:12" ht="15.75" thickBot="1" x14ac:dyDescent="0.3">
      <c r="A27" s="269" t="s">
        <v>598</v>
      </c>
      <c r="B27" s="273">
        <v>2.2616422088986252</v>
      </c>
      <c r="C27" s="212">
        <v>2.2901942374317814</v>
      </c>
      <c r="D27" s="213">
        <v>2.276582369723215</v>
      </c>
      <c r="E27" s="205">
        <v>-5.9435429039550458E-3</v>
      </c>
      <c r="F27" s="274">
        <v>2.2865357241934192</v>
      </c>
      <c r="G27" s="214">
        <v>2.3851692152458077</v>
      </c>
      <c r="H27" s="205">
        <v>4.3136649914875758E-2</v>
      </c>
      <c r="I27" s="212">
        <v>2.2668919613122487</v>
      </c>
      <c r="J27" s="213">
        <v>2.2535504663083006</v>
      </c>
      <c r="K27" s="205">
        <v>-5.8853687037758728E-3</v>
      </c>
    </row>
    <row r="28" spans="1:12" x14ac:dyDescent="0.25">
      <c r="A28" s="382" t="s">
        <v>68</v>
      </c>
      <c r="B28" s="383"/>
      <c r="C28" s="383"/>
      <c r="D28" s="383"/>
      <c r="E28" s="383"/>
      <c r="F28" s="383"/>
      <c r="G28" s="383"/>
      <c r="H28" s="383"/>
      <c r="I28" s="383"/>
      <c r="J28" s="222"/>
    </row>
    <row r="29" spans="1:12" ht="49.5" customHeight="1" x14ac:dyDescent="0.25">
      <c r="A29" s="384" t="s">
        <v>69</v>
      </c>
      <c r="B29" s="385"/>
      <c r="C29" s="385"/>
      <c r="D29" s="385"/>
      <c r="E29" s="385"/>
      <c r="F29" s="385"/>
      <c r="G29" s="385"/>
      <c r="H29" s="385"/>
      <c r="I29" s="385"/>
      <c r="J29" s="222"/>
    </row>
  </sheetData>
  <mergeCells count="11">
    <mergeCell ref="A28:I28"/>
    <mergeCell ref="A29:I29"/>
    <mergeCell ref="B12:K12"/>
    <mergeCell ref="B20:K20"/>
    <mergeCell ref="A1:K1"/>
    <mergeCell ref="A2:A4"/>
    <mergeCell ref="B2:K2"/>
    <mergeCell ref="B3:B4"/>
    <mergeCell ref="C3:E3"/>
    <mergeCell ref="F3:H3"/>
    <mergeCell ref="I3:K3"/>
  </mergeCells>
  <phoneticPr fontId="59" type="noConversion"/>
  <pageMargins left="0.98425196850393704" right="0.98425196850393704" top="0.98425196850393704" bottom="0.98425196850393704" header="0.51181102362204722" footer="0.51181102362204722"/>
  <pageSetup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O2:AP33"/>
  <sheetViews>
    <sheetView showWhiteSpace="0" zoomScaleNormal="100" zoomScaleSheetLayoutView="90" workbookViewId="0"/>
  </sheetViews>
  <sheetFormatPr baseColWidth="10" defaultColWidth="11.42578125" defaultRowHeight="15" x14ac:dyDescent="0.25"/>
  <cols>
    <col min="17" max="17" width="11.42578125" customWidth="1"/>
    <col min="18" max="23" width="5.42578125" customWidth="1"/>
    <col min="24" max="28" width="6" customWidth="1"/>
    <col min="29" max="36" width="6" bestFit="1" customWidth="1"/>
    <col min="37" max="37" width="6" style="31" bestFit="1" customWidth="1"/>
    <col min="38" max="38" width="5.28515625" style="31" customWidth="1"/>
    <col min="40" max="40" width="12" bestFit="1" customWidth="1"/>
  </cols>
  <sheetData>
    <row r="2" spans="15:42" x14ac:dyDescent="0.25">
      <c r="O2" s="16" t="s">
        <v>70</v>
      </c>
      <c r="P2" s="16"/>
      <c r="Q2" s="16"/>
      <c r="R2" s="17">
        <f>R6/Q6-1</f>
        <v>3.3175296121701336E-2</v>
      </c>
      <c r="S2" s="17">
        <f>S6/R6-1</f>
        <v>1.7987214310092314E-2</v>
      </c>
      <c r="T2" s="17">
        <f t="shared" ref="T2:AG2" si="0">T6/S6-1</f>
        <v>0.11349702717252819</v>
      </c>
      <c r="U2" s="17">
        <f t="shared" si="0"/>
        <v>0.24954699849420248</v>
      </c>
      <c r="V2" s="17">
        <f t="shared" si="0"/>
        <v>4.7964708012287804E-2</v>
      </c>
      <c r="W2" s="17">
        <f t="shared" si="0"/>
        <v>9.8144241079429095E-2</v>
      </c>
      <c r="X2" s="17">
        <f t="shared" si="0"/>
        <v>0.30099876730443031</v>
      </c>
      <c r="Y2" s="17">
        <f t="shared" si="0"/>
        <v>9.6464535760310222E-2</v>
      </c>
      <c r="Z2" s="17">
        <f t="shared" si="0"/>
        <v>4.0006110379404713E-3</v>
      </c>
      <c r="AA2" s="17">
        <f t="shared" si="0"/>
        <v>0.11691849358949513</v>
      </c>
      <c r="AB2" s="17">
        <f t="shared" si="0"/>
        <v>9.6259110759669309E-2</v>
      </c>
      <c r="AC2" s="17">
        <f t="shared" si="0"/>
        <v>5.7751878345935648E-2</v>
      </c>
      <c r="AD2" s="17">
        <f t="shared" si="0"/>
        <v>5.0535777007490124E-2</v>
      </c>
      <c r="AE2" s="17">
        <f t="shared" si="0"/>
        <v>-1.7559406408334421E-2</v>
      </c>
      <c r="AF2" s="17">
        <f t="shared" si="0"/>
        <v>5.0507832556421217E-3</v>
      </c>
      <c r="AG2" s="17">
        <f t="shared" si="0"/>
        <v>-8.6790252369350895E-6</v>
      </c>
      <c r="AH2" s="17">
        <f>AH6/AG6-1</f>
        <v>8.8334258199987303E-2</v>
      </c>
      <c r="AI2" s="17">
        <f>AI6/AH6-1</f>
        <v>-1.1340969739138784E-2</v>
      </c>
      <c r="AJ2" s="17">
        <f>AJ6/AI6-1</f>
        <v>-3.1506352087114275E-2</v>
      </c>
      <c r="AK2" s="17">
        <f>AK6/AJ6-1</f>
        <v>-5.0962363307764935E-2</v>
      </c>
      <c r="AL2" s="17">
        <f>AL6/AK6-1</f>
        <v>7.1492859132294528E-2</v>
      </c>
    </row>
    <row r="3" spans="15:42" x14ac:dyDescent="0.25">
      <c r="O3" s="18" t="s">
        <v>71</v>
      </c>
      <c r="P3" s="19"/>
      <c r="Q3" s="20"/>
      <c r="R3" s="20"/>
      <c r="S3" s="20"/>
      <c r="T3" s="20"/>
      <c r="U3" s="20"/>
      <c r="V3" s="20"/>
      <c r="W3" s="20"/>
      <c r="X3" s="20"/>
      <c r="Y3" s="20"/>
      <c r="Z3" s="20"/>
      <c r="AA3" s="20"/>
      <c r="AB3" s="20"/>
      <c r="AC3" s="20"/>
      <c r="AD3" s="20"/>
      <c r="AE3" s="20"/>
      <c r="AF3" s="20"/>
      <c r="AG3" s="20"/>
      <c r="AH3" s="20"/>
      <c r="AI3" s="20"/>
      <c r="AJ3" s="20"/>
      <c r="AK3" s="20"/>
      <c r="AL3" s="20"/>
    </row>
    <row r="4" spans="15:42" x14ac:dyDescent="0.25">
      <c r="O4" s="21"/>
      <c r="P4" s="22"/>
      <c r="Q4" s="22">
        <v>2000</v>
      </c>
      <c r="R4" s="22">
        <v>2001</v>
      </c>
      <c r="S4" s="22">
        <v>2002</v>
      </c>
      <c r="T4" s="22">
        <v>2003</v>
      </c>
      <c r="U4" s="22">
        <v>2004</v>
      </c>
      <c r="V4" s="22">
        <v>2005</v>
      </c>
      <c r="W4" s="22">
        <v>2006</v>
      </c>
      <c r="X4" s="22">
        <v>2007</v>
      </c>
      <c r="Y4" s="22">
        <v>2008</v>
      </c>
      <c r="Z4" s="22">
        <v>2009</v>
      </c>
      <c r="AA4" s="22">
        <v>2010</v>
      </c>
      <c r="AB4" s="22">
        <v>2011</v>
      </c>
      <c r="AC4" s="22">
        <v>2012</v>
      </c>
      <c r="AD4" s="22">
        <v>2013</v>
      </c>
      <c r="AE4" s="22">
        <v>2014</v>
      </c>
      <c r="AF4" s="22">
        <v>2015</v>
      </c>
      <c r="AG4" s="22">
        <v>2016</v>
      </c>
      <c r="AH4" s="22">
        <v>2017</v>
      </c>
      <c r="AI4" s="22">
        <v>2018</v>
      </c>
      <c r="AJ4" s="22">
        <v>2019</v>
      </c>
      <c r="AK4" s="22">
        <v>2020</v>
      </c>
      <c r="AL4" s="22">
        <v>2021</v>
      </c>
    </row>
    <row r="5" spans="15:42" x14ac:dyDescent="0.25">
      <c r="O5" s="23" t="s">
        <v>72</v>
      </c>
      <c r="P5" s="24" t="s">
        <v>73</v>
      </c>
      <c r="Q5" s="24">
        <v>264.75042000000002</v>
      </c>
      <c r="R5" s="24">
        <v>308.94225599999999</v>
      </c>
      <c r="S5" s="24">
        <v>344.06530935310002</v>
      </c>
      <c r="T5" s="24">
        <v>390.96013003370001</v>
      </c>
      <c r="U5" s="24">
        <v>465.3393175571</v>
      </c>
      <c r="V5" s="24">
        <v>413.65611972459999</v>
      </c>
      <c r="W5" s="24">
        <v>470.09455889540004</v>
      </c>
      <c r="X5" s="24">
        <v>599.78646680209988</v>
      </c>
      <c r="Y5" s="24">
        <v>581.72047084199994</v>
      </c>
      <c r="Z5" s="24">
        <v>687.65672542569996</v>
      </c>
      <c r="AA5" s="24">
        <v>725.38451726690005</v>
      </c>
      <c r="AB5" s="24">
        <v>660.04612720440002</v>
      </c>
      <c r="AC5" s="24">
        <v>743.9480811599999</v>
      </c>
      <c r="AD5" s="24">
        <v>873.51530059059996</v>
      </c>
      <c r="AE5" s="24">
        <v>796.43082167889997</v>
      </c>
      <c r="AF5" s="24">
        <v>875.0329999999999</v>
      </c>
      <c r="AG5" s="24">
        <f>AG10+AG15+AG20+AG25</f>
        <v>906.32799999999997</v>
      </c>
      <c r="AH5" s="24">
        <f t="shared" ref="AH5:AL6" si="1">AH10+AH15+AH20+AH25+AH30</f>
        <v>939.54</v>
      </c>
      <c r="AI5" s="24">
        <f t="shared" si="1"/>
        <v>844.7</v>
      </c>
      <c r="AJ5" s="24">
        <f t="shared" si="1"/>
        <v>867.75499999999988</v>
      </c>
      <c r="AK5" s="24">
        <f>AK10+AK15+AK20+AK25+AK30</f>
        <v>849.30000000000007</v>
      </c>
      <c r="AL5" s="24">
        <f>AL10+AL15+AL20+AL25+AL30</f>
        <v>865.08589868920001</v>
      </c>
      <c r="AN5" s="109"/>
    </row>
    <row r="6" spans="15:42" x14ac:dyDescent="0.25">
      <c r="O6" s="23" t="s">
        <v>74</v>
      </c>
      <c r="P6" s="24" t="s">
        <v>75</v>
      </c>
      <c r="Q6" s="24">
        <v>568.92613499999993</v>
      </c>
      <c r="R6" s="24">
        <v>587.8004279999999</v>
      </c>
      <c r="S6" s="24">
        <v>598.37332026999991</v>
      </c>
      <c r="T6" s="24">
        <v>666.28691326000001</v>
      </c>
      <c r="U6" s="24">
        <v>832.55681260000006</v>
      </c>
      <c r="V6" s="24">
        <v>872.49015702000008</v>
      </c>
      <c r="W6" s="24">
        <v>958.12004132999994</v>
      </c>
      <c r="X6" s="24">
        <v>1246.5129926999998</v>
      </c>
      <c r="Y6" s="24">
        <v>1366.7572898600004</v>
      </c>
      <c r="Z6" s="24">
        <v>1372.2251541599999</v>
      </c>
      <c r="AA6" s="24">
        <v>1532.6636520499999</v>
      </c>
      <c r="AB6" s="24">
        <v>1680.1964922900002</v>
      </c>
      <c r="AC6" s="24">
        <v>1777.2309957100001</v>
      </c>
      <c r="AD6" s="24">
        <v>1867.0447450000001</v>
      </c>
      <c r="AE6" s="24">
        <v>1834.2605475400001</v>
      </c>
      <c r="AF6" s="24">
        <v>1843.5249999999999</v>
      </c>
      <c r="AG6" s="24">
        <f>AG11+AG16+AG21+AG26</f>
        <v>1843.509</v>
      </c>
      <c r="AH6" s="24">
        <f t="shared" si="1"/>
        <v>2006.3540000000003</v>
      </c>
      <c r="AI6" s="24">
        <f t="shared" si="1"/>
        <v>1983.6000000000001</v>
      </c>
      <c r="AJ6" s="24">
        <f t="shared" si="1"/>
        <v>1921.1040000000003</v>
      </c>
      <c r="AK6" s="24">
        <f>AK11+AK16+AK21+AK26+AK31</f>
        <v>1823.1999999999998</v>
      </c>
      <c r="AL6" s="24">
        <f t="shared" si="1"/>
        <v>1953.5457807699991</v>
      </c>
      <c r="AN6" s="109"/>
    </row>
    <row r="7" spans="15:42" x14ac:dyDescent="0.25">
      <c r="O7" s="25" t="s">
        <v>76</v>
      </c>
      <c r="P7" s="26" t="s">
        <v>77</v>
      </c>
      <c r="Q7" s="27">
        <f>Q6/Q5</f>
        <v>2.1489149478969662</v>
      </c>
      <c r="R7" s="27">
        <f t="shared" ref="R7:AE7" si="2">R6/R5</f>
        <v>1.9026223075162625</v>
      </c>
      <c r="S7" s="27">
        <f t="shared" si="2"/>
        <v>1.7391271482586874</v>
      </c>
      <c r="T7" s="27">
        <f t="shared" si="2"/>
        <v>1.7042323809401418</v>
      </c>
      <c r="U7" s="27">
        <f t="shared" si="2"/>
        <v>1.7891391962550858</v>
      </c>
      <c r="V7" s="27">
        <f t="shared" si="2"/>
        <v>2.1092161228048028</v>
      </c>
      <c r="W7" s="27">
        <f t="shared" si="2"/>
        <v>2.0381432271442002</v>
      </c>
      <c r="X7" s="27">
        <f t="shared" si="2"/>
        <v>2.0782612841301202</v>
      </c>
      <c r="Y7" s="27">
        <f t="shared" si="2"/>
        <v>2.3495086701723151</v>
      </c>
      <c r="Z7" s="27">
        <f t="shared" si="2"/>
        <v>1.9955089558827652</v>
      </c>
      <c r="AA7" s="27">
        <f t="shared" si="2"/>
        <v>2.1128982154523532</v>
      </c>
      <c r="AB7" s="27">
        <f t="shared" si="2"/>
        <v>2.5455743516084364</v>
      </c>
      <c r="AC7" s="27">
        <f t="shared" si="2"/>
        <v>2.3889180451125775</v>
      </c>
      <c r="AD7" s="27">
        <f t="shared" si="2"/>
        <v>2.1373921484118896</v>
      </c>
      <c r="AE7" s="27">
        <f t="shared" si="2"/>
        <v>2.3031009067094166</v>
      </c>
      <c r="AF7" s="27">
        <v>2.106806257592571</v>
      </c>
      <c r="AG7" s="27">
        <f t="shared" ref="AG7:AL7" si="3">AG6/AG5</f>
        <v>2.0340417597161293</v>
      </c>
      <c r="AH7" s="27">
        <f t="shared" si="3"/>
        <v>2.1354641633139626</v>
      </c>
      <c r="AI7" s="27">
        <f t="shared" si="3"/>
        <v>2.3482893334911803</v>
      </c>
      <c r="AJ7" s="27">
        <f t="shared" si="3"/>
        <v>2.2138783412368706</v>
      </c>
      <c r="AK7" s="27">
        <f t="shared" si="3"/>
        <v>2.1467090545154828</v>
      </c>
      <c r="AL7" s="27">
        <f t="shared" si="3"/>
        <v>2.2582101774286936</v>
      </c>
    </row>
    <row r="8" spans="15:42" x14ac:dyDescent="0.25">
      <c r="O8" s="18" t="s">
        <v>60</v>
      </c>
      <c r="P8" s="19"/>
      <c r="Q8" s="20"/>
      <c r="R8" s="20"/>
      <c r="S8" s="20"/>
      <c r="T8" s="20"/>
      <c r="U8" s="20"/>
      <c r="V8" s="20"/>
      <c r="W8" s="20"/>
      <c r="X8" s="20"/>
      <c r="Y8" s="20"/>
      <c r="Z8" s="20"/>
      <c r="AA8" s="20"/>
      <c r="AB8" s="20"/>
      <c r="AC8" s="20"/>
      <c r="AD8" s="20"/>
      <c r="AE8" s="20"/>
      <c r="AF8" s="20"/>
      <c r="AG8" s="20"/>
      <c r="AH8" s="20"/>
      <c r="AI8" s="20"/>
      <c r="AJ8" s="20"/>
      <c r="AK8" s="20"/>
      <c r="AL8" s="20"/>
    </row>
    <row r="9" spans="15:42" x14ac:dyDescent="0.25">
      <c r="O9" s="21"/>
      <c r="P9" s="22"/>
      <c r="Q9" s="22">
        <v>2000</v>
      </c>
      <c r="R9" s="22">
        <v>2001</v>
      </c>
      <c r="S9" s="22">
        <v>2002</v>
      </c>
      <c r="T9" s="22">
        <v>2003</v>
      </c>
      <c r="U9" s="22">
        <v>2004</v>
      </c>
      <c r="V9" s="22">
        <v>2005</v>
      </c>
      <c r="W9" s="22">
        <v>2006</v>
      </c>
      <c r="X9" s="22">
        <v>2007</v>
      </c>
      <c r="Y9" s="22">
        <v>2008</v>
      </c>
      <c r="Z9" s="22">
        <v>2009</v>
      </c>
      <c r="AA9" s="22">
        <v>2010</v>
      </c>
      <c r="AB9" s="22">
        <v>2011</v>
      </c>
      <c r="AC9" s="22">
        <v>2012</v>
      </c>
      <c r="AD9" s="22">
        <v>2013</v>
      </c>
      <c r="AE9" s="22">
        <v>2014</v>
      </c>
      <c r="AF9" s="22">
        <v>2015</v>
      </c>
      <c r="AG9" s="22">
        <v>2016</v>
      </c>
      <c r="AH9" s="22">
        <v>2017</v>
      </c>
      <c r="AI9" s="22">
        <v>2018</v>
      </c>
      <c r="AJ9" s="22">
        <v>2019</v>
      </c>
      <c r="AK9" s="22">
        <v>2020</v>
      </c>
      <c r="AL9" s="22">
        <v>2021</v>
      </c>
      <c r="AO9" s="109"/>
    </row>
    <row r="10" spans="15:42" x14ac:dyDescent="0.25">
      <c r="O10" s="23" t="s">
        <v>78</v>
      </c>
      <c r="P10" s="24" t="s">
        <v>73</v>
      </c>
      <c r="Q10" s="24">
        <v>150.38057900000001</v>
      </c>
      <c r="R10" s="24">
        <v>158.48778799999999</v>
      </c>
      <c r="S10" s="24">
        <v>175.49329445519999</v>
      </c>
      <c r="T10" s="24">
        <v>192.93670056670001</v>
      </c>
      <c r="U10" s="24">
        <v>233.3400807802</v>
      </c>
      <c r="V10" s="24">
        <v>242.48022453990001</v>
      </c>
      <c r="W10" s="24">
        <v>258.75041966539999</v>
      </c>
      <c r="X10" s="24">
        <v>317.69890552209995</v>
      </c>
      <c r="Y10" s="24">
        <v>326.99190337199997</v>
      </c>
      <c r="Z10" s="24">
        <v>348.41301345569997</v>
      </c>
      <c r="AA10" s="24">
        <v>382.55308354490001</v>
      </c>
      <c r="AB10" s="24">
        <v>396.57615365309999</v>
      </c>
      <c r="AC10" s="24">
        <v>401.84123653259996</v>
      </c>
      <c r="AD10" s="24">
        <v>398.37695106059999</v>
      </c>
      <c r="AE10" s="24">
        <v>413.56919094929998</v>
      </c>
      <c r="AF10" s="24">
        <v>437.84699999999998</v>
      </c>
      <c r="AG10" s="24">
        <v>451.06700000000001</v>
      </c>
      <c r="AH10" s="24">
        <v>477.19299999999998</v>
      </c>
      <c r="AI10" s="24">
        <v>456.7</v>
      </c>
      <c r="AJ10" s="24">
        <v>444.00099999999998</v>
      </c>
      <c r="AK10" s="24">
        <v>445.9</v>
      </c>
      <c r="AL10" s="24">
        <v>448.18783447550004</v>
      </c>
      <c r="AO10" s="109"/>
    </row>
    <row r="11" spans="15:42" x14ac:dyDescent="0.25">
      <c r="O11" s="23" t="s">
        <v>79</v>
      </c>
      <c r="P11" s="24" t="s">
        <v>75</v>
      </c>
      <c r="Q11" s="24">
        <v>434.661993</v>
      </c>
      <c r="R11" s="24">
        <v>453.87927200000001</v>
      </c>
      <c r="S11" s="24">
        <v>471.66601617999999</v>
      </c>
      <c r="T11" s="24">
        <v>524.11470127999996</v>
      </c>
      <c r="U11" s="24">
        <v>650.14249059000008</v>
      </c>
      <c r="V11" s="24">
        <v>696.04023954000002</v>
      </c>
      <c r="W11" s="24">
        <v>772.21546238999997</v>
      </c>
      <c r="X11" s="24">
        <v>1012.17846896</v>
      </c>
      <c r="Y11" s="24">
        <v>1095.4763609000001</v>
      </c>
      <c r="Z11" s="24">
        <v>1069.12207951</v>
      </c>
      <c r="AA11" s="24">
        <v>1186.4632452799999</v>
      </c>
      <c r="AB11" s="24">
        <v>1321.6412109100002</v>
      </c>
      <c r="AC11" s="24">
        <v>1337.7155418900002</v>
      </c>
      <c r="AD11" s="24">
        <v>1362.5547327000002</v>
      </c>
      <c r="AE11" s="24">
        <v>1422.0179057400001</v>
      </c>
      <c r="AF11" s="24">
        <v>1443.4</v>
      </c>
      <c r="AG11" s="24">
        <v>1427.481</v>
      </c>
      <c r="AH11" s="24">
        <v>1520.2370000000001</v>
      </c>
      <c r="AI11" s="24">
        <v>1507.3</v>
      </c>
      <c r="AJ11" s="24">
        <v>1444.989</v>
      </c>
      <c r="AK11" s="24">
        <v>1394.1</v>
      </c>
      <c r="AL11" s="24">
        <v>1503.9203183799993</v>
      </c>
      <c r="AN11" s="109"/>
      <c r="AO11" s="109"/>
    </row>
    <row r="12" spans="15:42" x14ac:dyDescent="0.25">
      <c r="O12" s="25" t="s">
        <v>80</v>
      </c>
      <c r="P12" s="26" t="s">
        <v>77</v>
      </c>
      <c r="Q12" s="27">
        <f t="shared" ref="Q12:AE12" si="4">Q11/Q10</f>
        <v>2.8904130831947388</v>
      </c>
      <c r="R12" s="27">
        <f t="shared" si="4"/>
        <v>2.8638122705075548</v>
      </c>
      <c r="S12" s="27">
        <f t="shared" si="4"/>
        <v>2.6876583384239057</v>
      </c>
      <c r="T12" s="27">
        <f t="shared" si="4"/>
        <v>2.7165111652710605</v>
      </c>
      <c r="U12" s="27">
        <f t="shared" si="4"/>
        <v>2.7862443880887167</v>
      </c>
      <c r="V12" s="27">
        <f t="shared" si="4"/>
        <v>2.8705031136486223</v>
      </c>
      <c r="W12" s="27">
        <f t="shared" si="4"/>
        <v>2.9844027437272609</v>
      </c>
      <c r="X12" s="27">
        <f t="shared" si="4"/>
        <v>3.1859677555281674</v>
      </c>
      <c r="Y12" s="27">
        <f t="shared" si="4"/>
        <v>3.3501635655294479</v>
      </c>
      <c r="Z12" s="27">
        <f t="shared" si="4"/>
        <v>3.0685480685868147</v>
      </c>
      <c r="AA12" s="27">
        <f t="shared" si="4"/>
        <v>3.1014342749134984</v>
      </c>
      <c r="AB12" s="27">
        <f t="shared" si="4"/>
        <v>3.3326290517863288</v>
      </c>
      <c r="AC12" s="27">
        <f t="shared" si="4"/>
        <v>3.3289653233024432</v>
      </c>
      <c r="AD12" s="27">
        <f t="shared" si="4"/>
        <v>3.4202649753517798</v>
      </c>
      <c r="AE12" s="27">
        <f t="shared" si="4"/>
        <v>3.4384038677444115</v>
      </c>
      <c r="AF12" s="27">
        <v>3.2965853368870865</v>
      </c>
      <c r="AG12" s="27">
        <f t="shared" ref="AG12:AL12" si="5">AG11/AG10</f>
        <v>3.164676201096511</v>
      </c>
      <c r="AH12" s="27">
        <f t="shared" si="5"/>
        <v>3.1857906549341672</v>
      </c>
      <c r="AI12" s="27">
        <f t="shared" si="5"/>
        <v>3.3004160280271515</v>
      </c>
      <c r="AJ12" s="27">
        <f t="shared" si="5"/>
        <v>3.2544723998369376</v>
      </c>
      <c r="AK12" s="27">
        <f t="shared" si="5"/>
        <v>3.1264857591388204</v>
      </c>
      <c r="AL12" s="27">
        <f t="shared" si="5"/>
        <v>3.3555581001880372</v>
      </c>
      <c r="AN12" s="109"/>
      <c r="AO12" s="109"/>
    </row>
    <row r="13" spans="15:42" x14ac:dyDescent="0.25">
      <c r="O13" s="18" t="s">
        <v>61</v>
      </c>
      <c r="P13" s="19"/>
      <c r="Q13" s="20"/>
      <c r="R13" s="20"/>
      <c r="S13" s="20"/>
      <c r="T13" s="20"/>
      <c r="U13" s="20"/>
      <c r="V13" s="20"/>
      <c r="W13" s="20"/>
      <c r="X13" s="20"/>
      <c r="Y13" s="20"/>
      <c r="Z13" s="20"/>
      <c r="AA13" s="20"/>
      <c r="AB13" s="20"/>
      <c r="AC13" s="20"/>
      <c r="AD13" s="20"/>
      <c r="AE13" s="20"/>
      <c r="AF13" s="20"/>
      <c r="AG13" s="20"/>
      <c r="AH13" s="20"/>
      <c r="AI13" s="20"/>
      <c r="AJ13" s="20"/>
      <c r="AK13" s="20"/>
      <c r="AL13" s="20"/>
      <c r="AO13" s="109"/>
    </row>
    <row r="14" spans="15:42" x14ac:dyDescent="0.25">
      <c r="O14" s="21"/>
      <c r="P14" s="22"/>
      <c r="Q14" s="22">
        <v>2000</v>
      </c>
      <c r="R14" s="22">
        <v>2001</v>
      </c>
      <c r="S14" s="22">
        <v>2002</v>
      </c>
      <c r="T14" s="22">
        <v>2003</v>
      </c>
      <c r="U14" s="22">
        <v>2004</v>
      </c>
      <c r="V14" s="22">
        <v>2005</v>
      </c>
      <c r="W14" s="22">
        <v>2006</v>
      </c>
      <c r="X14" s="22">
        <v>2007</v>
      </c>
      <c r="Y14" s="22">
        <v>2008</v>
      </c>
      <c r="Z14" s="22">
        <v>2009</v>
      </c>
      <c r="AA14" s="22">
        <v>2010</v>
      </c>
      <c r="AB14" s="22">
        <v>2011</v>
      </c>
      <c r="AC14" s="22">
        <v>2012</v>
      </c>
      <c r="AD14" s="22">
        <v>2013</v>
      </c>
      <c r="AE14" s="22">
        <v>2014</v>
      </c>
      <c r="AF14" s="22">
        <v>2015</v>
      </c>
      <c r="AG14" s="22">
        <v>2016</v>
      </c>
      <c r="AH14" s="22">
        <v>2017</v>
      </c>
      <c r="AI14" s="22">
        <v>2018</v>
      </c>
      <c r="AJ14" s="22">
        <v>2019</v>
      </c>
      <c r="AK14" s="22">
        <v>2020</v>
      </c>
      <c r="AL14" s="22">
        <v>2021</v>
      </c>
      <c r="AP14" s="109"/>
    </row>
    <row r="15" spans="15:42" x14ac:dyDescent="0.25">
      <c r="O15" s="23" t="s">
        <v>81</v>
      </c>
      <c r="P15" s="24" t="s">
        <v>73</v>
      </c>
      <c r="Q15" s="24">
        <v>72.910036000000005</v>
      </c>
      <c r="R15" s="24">
        <v>109.110247</v>
      </c>
      <c r="S15" s="24">
        <v>118.40353100519999</v>
      </c>
      <c r="T15" s="24">
        <v>149.88732758360001</v>
      </c>
      <c r="U15" s="24">
        <v>188.22032426440001</v>
      </c>
      <c r="V15" s="24">
        <v>131.14229065469999</v>
      </c>
      <c r="W15" s="24">
        <v>161.83011181999998</v>
      </c>
      <c r="X15" s="24">
        <v>233.30518985</v>
      </c>
      <c r="Y15" s="24">
        <v>208.40995900999999</v>
      </c>
      <c r="Z15" s="24">
        <v>289.61965530000003</v>
      </c>
      <c r="AA15" s="24">
        <v>290.92445788999999</v>
      </c>
      <c r="AB15" s="24">
        <v>210.15477798930002</v>
      </c>
      <c r="AC15" s="24">
        <v>290.69355034739999</v>
      </c>
      <c r="AD15" s="24">
        <v>410.26098474999998</v>
      </c>
      <c r="AE15" s="24">
        <v>329.41743557000001</v>
      </c>
      <c r="AF15" s="24">
        <v>385.04199999999997</v>
      </c>
      <c r="AG15" s="24">
        <v>401.93400000000003</v>
      </c>
      <c r="AH15" s="24">
        <v>393.92899999999997</v>
      </c>
      <c r="AI15" s="24">
        <v>319.5</v>
      </c>
      <c r="AJ15" s="24">
        <v>360.04599999999999</v>
      </c>
      <c r="AK15" s="24">
        <v>339.8</v>
      </c>
      <c r="AL15" s="24">
        <v>353.08593122000002</v>
      </c>
      <c r="AP15" s="109"/>
    </row>
    <row r="16" spans="15:42" x14ac:dyDescent="0.25">
      <c r="O16" s="23" t="s">
        <v>82</v>
      </c>
      <c r="P16" s="24" t="s">
        <v>75</v>
      </c>
      <c r="Q16" s="24">
        <v>66.290965999999997</v>
      </c>
      <c r="R16" s="24">
        <v>69.168778000000003</v>
      </c>
      <c r="S16" s="24">
        <v>54.666370960000002</v>
      </c>
      <c r="T16" s="24">
        <v>74.318585330000005</v>
      </c>
      <c r="U16" s="24">
        <v>116.18971509000001</v>
      </c>
      <c r="V16" s="24">
        <v>114.17217457</v>
      </c>
      <c r="W16" s="24">
        <v>114.31705675000001</v>
      </c>
      <c r="X16" s="24">
        <v>150.5098686</v>
      </c>
      <c r="Y16" s="24">
        <v>182.46038066</v>
      </c>
      <c r="Z16" s="24">
        <v>211.21099818000002</v>
      </c>
      <c r="AA16" s="24">
        <v>243.25538308</v>
      </c>
      <c r="AB16" s="24">
        <v>245.24177114</v>
      </c>
      <c r="AC16" s="24">
        <v>330.16294305999998</v>
      </c>
      <c r="AD16" s="24">
        <v>390.96416416000005</v>
      </c>
      <c r="AE16" s="24">
        <v>296.75839437000002</v>
      </c>
      <c r="AF16" s="24">
        <v>292.47399999999999</v>
      </c>
      <c r="AG16" s="24">
        <v>303.22699999999998</v>
      </c>
      <c r="AH16" s="24">
        <v>340.12900000000002</v>
      </c>
      <c r="AI16" s="24">
        <v>327.2</v>
      </c>
      <c r="AJ16" s="24">
        <v>335.96699999999998</v>
      </c>
      <c r="AK16" s="24">
        <v>293.10000000000002</v>
      </c>
      <c r="AL16" s="24">
        <v>308.49193701000002</v>
      </c>
      <c r="AP16" s="109"/>
    </row>
    <row r="17" spans="15:42" x14ac:dyDescent="0.25">
      <c r="O17" s="25" t="s">
        <v>83</v>
      </c>
      <c r="P17" s="26" t="s">
        <v>77</v>
      </c>
      <c r="Q17" s="27">
        <f t="shared" ref="Q17:AE17" si="6">Q16/Q15</f>
        <v>0.90921592742047186</v>
      </c>
      <c r="R17" s="27">
        <f t="shared" si="6"/>
        <v>0.6339347577501131</v>
      </c>
      <c r="S17" s="27">
        <f t="shared" si="6"/>
        <v>0.46169544519410649</v>
      </c>
      <c r="T17" s="27">
        <f t="shared" si="6"/>
        <v>0.49582967771940983</v>
      </c>
      <c r="U17" s="27">
        <f t="shared" si="6"/>
        <v>0.61730695419897397</v>
      </c>
      <c r="V17" s="27">
        <f t="shared" si="6"/>
        <v>0.87059768439318619</v>
      </c>
      <c r="W17" s="27">
        <f t="shared" si="6"/>
        <v>0.70640164221818191</v>
      </c>
      <c r="X17" s="27">
        <f t="shared" si="6"/>
        <v>0.64512010511539852</v>
      </c>
      <c r="Y17" s="27">
        <f t="shared" si="6"/>
        <v>0.87548781990425484</v>
      </c>
      <c r="Z17" s="27">
        <f t="shared" si="6"/>
        <v>0.72927024915218175</v>
      </c>
      <c r="AA17" s="27">
        <f t="shared" si="6"/>
        <v>0.83614621075267626</v>
      </c>
      <c r="AB17" s="27">
        <f t="shared" si="6"/>
        <v>1.1669578654665964</v>
      </c>
      <c r="AC17" s="27">
        <f t="shared" si="6"/>
        <v>1.1357766371680114</v>
      </c>
      <c r="AD17" s="27">
        <f t="shared" si="6"/>
        <v>0.95296452427286304</v>
      </c>
      <c r="AE17" s="27">
        <f t="shared" si="6"/>
        <v>0.90085818880992397</v>
      </c>
      <c r="AF17" s="27">
        <v>0.75958986292404462</v>
      </c>
      <c r="AG17" s="27">
        <f t="shared" ref="AG17:AL17" si="7">AG16/AG15</f>
        <v>0.7544198798807763</v>
      </c>
      <c r="AH17" s="27">
        <f t="shared" si="7"/>
        <v>0.8634271658090672</v>
      </c>
      <c r="AI17" s="27">
        <f t="shared" si="7"/>
        <v>1.0241001564945227</v>
      </c>
      <c r="AJ17" s="27">
        <f t="shared" si="7"/>
        <v>0.93312243435561004</v>
      </c>
      <c r="AK17" s="27">
        <f t="shared" si="7"/>
        <v>0.86256621542083578</v>
      </c>
      <c r="AL17" s="27">
        <f t="shared" si="7"/>
        <v>0.8737021493438818</v>
      </c>
      <c r="AP17" s="109"/>
    </row>
    <row r="18" spans="15:42" x14ac:dyDescent="0.25">
      <c r="O18" s="18" t="s">
        <v>84</v>
      </c>
      <c r="P18" s="19"/>
      <c r="Q18" s="20"/>
      <c r="R18" s="20"/>
      <c r="S18" s="20"/>
      <c r="T18" s="20"/>
      <c r="U18" s="20"/>
      <c r="V18" s="20"/>
      <c r="W18" s="20"/>
      <c r="X18" s="20"/>
      <c r="Y18" s="20"/>
      <c r="Z18" s="20"/>
      <c r="AA18" s="20"/>
      <c r="AB18" s="20"/>
      <c r="AC18" s="20"/>
      <c r="AD18" s="20"/>
      <c r="AE18" s="20"/>
      <c r="AF18" s="20"/>
      <c r="AG18" s="20"/>
      <c r="AH18" s="20"/>
      <c r="AI18" s="20"/>
      <c r="AJ18" s="20"/>
      <c r="AK18" s="20"/>
      <c r="AL18" s="20"/>
      <c r="AP18" s="109"/>
    </row>
    <row r="19" spans="15:42" x14ac:dyDescent="0.25">
      <c r="O19" s="21"/>
      <c r="P19" s="22"/>
      <c r="Q19" s="22">
        <v>2000</v>
      </c>
      <c r="R19" s="22">
        <v>2001</v>
      </c>
      <c r="S19" s="22">
        <v>2002</v>
      </c>
      <c r="T19" s="22">
        <v>2003</v>
      </c>
      <c r="U19" s="22">
        <v>2004</v>
      </c>
      <c r="V19" s="22">
        <v>2005</v>
      </c>
      <c r="W19" s="22">
        <v>2006</v>
      </c>
      <c r="X19" s="22">
        <v>2007</v>
      </c>
      <c r="Y19" s="22">
        <v>2008</v>
      </c>
      <c r="Z19" s="22">
        <v>2009</v>
      </c>
      <c r="AA19" s="22">
        <v>2010</v>
      </c>
      <c r="AB19" s="22">
        <v>2011</v>
      </c>
      <c r="AC19" s="22">
        <v>2012</v>
      </c>
      <c r="AD19" s="22">
        <v>2013</v>
      </c>
      <c r="AE19" s="22">
        <v>2014</v>
      </c>
      <c r="AF19" s="22">
        <v>2015</v>
      </c>
      <c r="AG19" s="22">
        <v>2016</v>
      </c>
      <c r="AH19" s="22">
        <v>2017</v>
      </c>
      <c r="AI19" s="22">
        <v>2018</v>
      </c>
      <c r="AJ19" s="22">
        <v>2019</v>
      </c>
      <c r="AK19" s="22">
        <v>2020</v>
      </c>
      <c r="AL19" s="22">
        <v>2021</v>
      </c>
      <c r="AP19" s="109"/>
    </row>
    <row r="20" spans="15:42" x14ac:dyDescent="0.25">
      <c r="O20" s="23" t="s">
        <v>85</v>
      </c>
      <c r="P20" s="24" t="s">
        <v>73</v>
      </c>
      <c r="Q20" s="24">
        <v>39.981855000000003</v>
      </c>
      <c r="R20" s="24">
        <v>40.052982999999998</v>
      </c>
      <c r="S20" s="24">
        <v>49.388238392700003</v>
      </c>
      <c r="T20" s="24">
        <v>47.342706783399997</v>
      </c>
      <c r="U20" s="24">
        <v>42.646569212499998</v>
      </c>
      <c r="V20" s="24">
        <v>38.658926530000002</v>
      </c>
      <c r="W20" s="24">
        <v>47.957571909999999</v>
      </c>
      <c r="X20" s="24">
        <v>46.841828729999996</v>
      </c>
      <c r="Y20" s="24">
        <v>43.590714210000002</v>
      </c>
      <c r="Z20" s="24">
        <v>47.185891670000004</v>
      </c>
      <c r="AA20" s="24">
        <v>48.600438652000001</v>
      </c>
      <c r="AB20" s="24">
        <v>49.518246762000004</v>
      </c>
      <c r="AC20" s="24">
        <v>47.411845679999999</v>
      </c>
      <c r="AD20" s="24">
        <v>61.3923323</v>
      </c>
      <c r="AE20" s="24">
        <v>49.354199690000002</v>
      </c>
      <c r="AF20" s="24">
        <v>47.796999999999997</v>
      </c>
      <c r="AG20" s="24">
        <v>48.23</v>
      </c>
      <c r="AH20" s="24">
        <v>43.374000000000002</v>
      </c>
      <c r="AI20" s="24">
        <v>43.8</v>
      </c>
      <c r="AJ20" s="24">
        <v>41.093000000000004</v>
      </c>
      <c r="AK20" s="24">
        <v>37.700000000000003</v>
      </c>
      <c r="AL20" s="24">
        <v>39.216195233699999</v>
      </c>
      <c r="AP20" s="109"/>
    </row>
    <row r="21" spans="15:42" x14ac:dyDescent="0.25">
      <c r="O21" s="23" t="s">
        <v>86</v>
      </c>
      <c r="P21" s="24" t="s">
        <v>75</v>
      </c>
      <c r="Q21" s="24">
        <v>64.322484000000003</v>
      </c>
      <c r="R21" s="24">
        <v>61.564771999999998</v>
      </c>
      <c r="S21" s="24">
        <v>70.012456389999997</v>
      </c>
      <c r="T21" s="24">
        <v>65.760063479999999</v>
      </c>
      <c r="U21" s="24">
        <v>63.218226420000001</v>
      </c>
      <c r="V21" s="24">
        <v>58.501507850000003</v>
      </c>
      <c r="W21" s="24">
        <v>66.993644709999998</v>
      </c>
      <c r="X21" s="24">
        <v>78.070875520000001</v>
      </c>
      <c r="Y21" s="24">
        <v>78.936040340000005</v>
      </c>
      <c r="Z21" s="24">
        <v>82.32576641</v>
      </c>
      <c r="AA21" s="24">
        <v>90.073937659999999</v>
      </c>
      <c r="AB21" s="24">
        <v>98.660379769999992</v>
      </c>
      <c r="AC21" s="24">
        <v>93.425791289999992</v>
      </c>
      <c r="AD21" s="24">
        <v>98.948317870000011</v>
      </c>
      <c r="AE21" s="24">
        <v>98.224757839999995</v>
      </c>
      <c r="AF21" s="24">
        <v>89.888999999999996</v>
      </c>
      <c r="AG21" s="24">
        <v>92.328000000000003</v>
      </c>
      <c r="AH21" s="24">
        <v>87.179000000000002</v>
      </c>
      <c r="AI21" s="24">
        <v>90.2</v>
      </c>
      <c r="AJ21" s="24">
        <v>87.796000000000006</v>
      </c>
      <c r="AK21" s="24">
        <v>79.8</v>
      </c>
      <c r="AL21" s="24">
        <v>86.390422040000033</v>
      </c>
      <c r="AP21" s="109"/>
    </row>
    <row r="22" spans="15:42" x14ac:dyDescent="0.25">
      <c r="O22" s="25" t="s">
        <v>87</v>
      </c>
      <c r="P22" s="26" t="s">
        <v>77</v>
      </c>
      <c r="Q22" s="27">
        <f t="shared" ref="Q22:AE22" si="8">Q21/Q20</f>
        <v>1.6087918882202938</v>
      </c>
      <c r="R22" s="27">
        <f t="shared" si="8"/>
        <v>1.53708331786424</v>
      </c>
      <c r="S22" s="27">
        <f t="shared" si="8"/>
        <v>1.4175937160040197</v>
      </c>
      <c r="T22" s="27">
        <f t="shared" si="8"/>
        <v>1.3890220468563865</v>
      </c>
      <c r="U22" s="27">
        <f t="shared" si="8"/>
        <v>1.4823754310691495</v>
      </c>
      <c r="V22" s="27">
        <f t="shared" si="8"/>
        <v>1.5132729514515053</v>
      </c>
      <c r="W22" s="27">
        <f t="shared" si="8"/>
        <v>1.3969357088328871</v>
      </c>
      <c r="X22" s="27">
        <f t="shared" si="8"/>
        <v>1.6666914515657938</v>
      </c>
      <c r="Y22" s="27">
        <f t="shared" si="8"/>
        <v>1.810845308928009</v>
      </c>
      <c r="Z22" s="27">
        <f t="shared" si="8"/>
        <v>1.7447114698129429</v>
      </c>
      <c r="AA22" s="27">
        <f t="shared" si="8"/>
        <v>1.8533564749274807</v>
      </c>
      <c r="AB22" s="27">
        <f t="shared" si="8"/>
        <v>1.992404542192139</v>
      </c>
      <c r="AC22" s="27">
        <f t="shared" si="8"/>
        <v>1.9705158057031791</v>
      </c>
      <c r="AD22" s="27">
        <f t="shared" si="8"/>
        <v>1.6117373972123878</v>
      </c>
      <c r="AE22" s="27">
        <f t="shared" si="8"/>
        <v>1.9902006000900061</v>
      </c>
      <c r="AF22" s="27">
        <v>1.8806410444170136</v>
      </c>
      <c r="AG22" s="27">
        <f t="shared" ref="AG22:AL22" si="9">AG21/AG20</f>
        <v>1.9143271822517107</v>
      </c>
      <c r="AH22" s="27">
        <f t="shared" si="9"/>
        <v>2.0099368285147783</v>
      </c>
      <c r="AI22" s="27">
        <f t="shared" si="9"/>
        <v>2.0593607305936077</v>
      </c>
      <c r="AJ22" s="27">
        <f t="shared" si="9"/>
        <v>2.1365196018786654</v>
      </c>
      <c r="AK22" s="27">
        <f t="shared" si="9"/>
        <v>2.1167108753315649</v>
      </c>
      <c r="AL22" s="27">
        <f t="shared" si="9"/>
        <v>2.2029271714192555</v>
      </c>
      <c r="AP22" s="109"/>
    </row>
    <row r="23" spans="15:42" x14ac:dyDescent="0.25">
      <c r="O23" s="18" t="s">
        <v>88</v>
      </c>
      <c r="P23" s="19"/>
      <c r="Q23" s="20"/>
      <c r="R23" s="20"/>
      <c r="S23" s="20"/>
      <c r="T23" s="20"/>
      <c r="U23" s="20"/>
      <c r="V23" s="20"/>
      <c r="W23" s="20"/>
      <c r="X23" s="20"/>
      <c r="Y23" s="20"/>
      <c r="Z23" s="20"/>
      <c r="AA23" s="20"/>
      <c r="AB23" s="20"/>
      <c r="AC23" s="20"/>
      <c r="AD23" s="20"/>
      <c r="AE23" s="20"/>
      <c r="AF23" s="20"/>
      <c r="AG23" s="20"/>
      <c r="AH23" s="20"/>
      <c r="AI23" s="20"/>
      <c r="AJ23" s="20"/>
      <c r="AK23" s="20"/>
      <c r="AL23" s="20"/>
      <c r="AP23" s="109"/>
    </row>
    <row r="24" spans="15:42" x14ac:dyDescent="0.25">
      <c r="O24" s="21"/>
      <c r="P24" s="22"/>
      <c r="Q24" s="22">
        <v>2000</v>
      </c>
      <c r="R24" s="22">
        <v>2001</v>
      </c>
      <c r="S24" s="22">
        <v>2002</v>
      </c>
      <c r="T24" s="22">
        <v>2003</v>
      </c>
      <c r="U24" s="22">
        <v>2004</v>
      </c>
      <c r="V24" s="22">
        <v>2005</v>
      </c>
      <c r="W24" s="22">
        <v>2006</v>
      </c>
      <c r="X24" s="22">
        <v>2007</v>
      </c>
      <c r="Y24" s="22">
        <v>2008</v>
      </c>
      <c r="Z24" s="22">
        <v>2009</v>
      </c>
      <c r="AA24" s="22">
        <v>2010</v>
      </c>
      <c r="AB24" s="22">
        <v>2011</v>
      </c>
      <c r="AC24" s="22">
        <v>2012</v>
      </c>
      <c r="AD24" s="22">
        <v>2013</v>
      </c>
      <c r="AE24" s="22">
        <v>2014</v>
      </c>
      <c r="AF24" s="22">
        <v>2015</v>
      </c>
      <c r="AG24" s="22">
        <v>2016</v>
      </c>
      <c r="AH24" s="22">
        <v>2017</v>
      </c>
      <c r="AI24" s="22">
        <v>2018</v>
      </c>
      <c r="AJ24" s="22">
        <v>2019</v>
      </c>
      <c r="AK24" s="22">
        <v>2020</v>
      </c>
      <c r="AL24" s="22">
        <v>2021</v>
      </c>
      <c r="AP24" s="109"/>
    </row>
    <row r="25" spans="15:42" x14ac:dyDescent="0.25">
      <c r="O25" s="23" t="s">
        <v>89</v>
      </c>
      <c r="P25" s="24" t="s">
        <v>73</v>
      </c>
      <c r="Q25" s="24">
        <v>1.4779500000000001</v>
      </c>
      <c r="R25" s="24">
        <v>1.2912380000000001</v>
      </c>
      <c r="S25" s="24">
        <v>0.78024550000000004</v>
      </c>
      <c r="T25" s="24">
        <v>0.79339510000000002</v>
      </c>
      <c r="U25" s="24">
        <v>1.1323433000000001</v>
      </c>
      <c r="V25" s="24">
        <v>1.3746780000000001</v>
      </c>
      <c r="W25" s="24">
        <v>1.5564555</v>
      </c>
      <c r="X25" s="24">
        <v>1.9405427</v>
      </c>
      <c r="Y25" s="24">
        <v>2.7278942499999999</v>
      </c>
      <c r="Z25" s="24">
        <v>2.4381650000000001</v>
      </c>
      <c r="AA25" s="24">
        <v>3.3065371800000003</v>
      </c>
      <c r="AB25" s="24">
        <v>3.7969488</v>
      </c>
      <c r="AC25" s="24">
        <v>4.0014485999999998</v>
      </c>
      <c r="AD25" s="24">
        <v>3.4850324800000001</v>
      </c>
      <c r="AE25" s="24">
        <v>4.0899954695999998</v>
      </c>
      <c r="AF25" s="24">
        <v>4.3470000000000004</v>
      </c>
      <c r="AG25" s="24">
        <v>5.0970000000000004</v>
      </c>
      <c r="AH25" s="24">
        <v>5.444</v>
      </c>
      <c r="AI25" s="24">
        <v>4.5999999999999996</v>
      </c>
      <c r="AJ25" s="24">
        <v>4.6079999999999997</v>
      </c>
      <c r="AK25" s="24">
        <v>3.5</v>
      </c>
      <c r="AL25" s="24">
        <v>3.5817562599999997</v>
      </c>
      <c r="AP25" s="109"/>
    </row>
    <row r="26" spans="15:42" x14ac:dyDescent="0.25">
      <c r="O26" s="23" t="s">
        <v>90</v>
      </c>
      <c r="P26" s="24" t="s">
        <v>75</v>
      </c>
      <c r="Q26" s="24">
        <v>3.6506919999999998</v>
      </c>
      <c r="R26" s="24">
        <v>3.1876060000000002</v>
      </c>
      <c r="S26" s="24">
        <v>2.0284767399999999</v>
      </c>
      <c r="T26" s="24">
        <v>2.0935631699999999</v>
      </c>
      <c r="U26" s="24">
        <v>3.0063805000000001</v>
      </c>
      <c r="V26" s="24">
        <v>3.7762350599999999</v>
      </c>
      <c r="W26" s="24">
        <v>4.5938774800000006</v>
      </c>
      <c r="X26" s="24">
        <v>5.7537796200000004</v>
      </c>
      <c r="Y26" s="24">
        <v>9.8845079600000005</v>
      </c>
      <c r="Z26" s="24">
        <v>9.5663100600000011</v>
      </c>
      <c r="AA26" s="24">
        <v>12.871086029999999</v>
      </c>
      <c r="AB26" s="24">
        <v>14.653130470000001</v>
      </c>
      <c r="AC26" s="24">
        <v>15.92671947</v>
      </c>
      <c r="AD26" s="24">
        <v>14.577530269999999</v>
      </c>
      <c r="AE26" s="24">
        <v>17.259489590000001</v>
      </c>
      <c r="AF26" s="24">
        <v>17.762</v>
      </c>
      <c r="AG26" s="24">
        <v>20.472999999999999</v>
      </c>
      <c r="AH26" s="24">
        <v>21.908999999999999</v>
      </c>
      <c r="AI26" s="24">
        <f>19.2</f>
        <v>19.2</v>
      </c>
      <c r="AJ26" s="24">
        <v>18.536999999999999</v>
      </c>
      <c r="AK26" s="24">
        <v>14.7</v>
      </c>
      <c r="AL26" s="24">
        <v>14.47550646</v>
      </c>
      <c r="AP26" s="172"/>
    </row>
    <row r="27" spans="15:42" x14ac:dyDescent="0.25">
      <c r="O27" s="25" t="s">
        <v>91</v>
      </c>
      <c r="P27" s="26" t="s">
        <v>77</v>
      </c>
      <c r="Q27" s="27">
        <f t="shared" ref="Q27:AE27" si="10">Q26/Q25</f>
        <v>2.470105213302209</v>
      </c>
      <c r="R27" s="27">
        <f t="shared" si="10"/>
        <v>2.4686432710313668</v>
      </c>
      <c r="S27" s="27">
        <f t="shared" si="10"/>
        <v>2.5997929369666339</v>
      </c>
      <c r="T27" s="27">
        <f t="shared" si="10"/>
        <v>2.638739727532978</v>
      </c>
      <c r="U27" s="27">
        <f t="shared" si="10"/>
        <v>2.6550079821199102</v>
      </c>
      <c r="V27" s="27">
        <f t="shared" si="10"/>
        <v>2.7469960674427027</v>
      </c>
      <c r="W27" s="27">
        <f t="shared" si="10"/>
        <v>2.951499403612889</v>
      </c>
      <c r="X27" s="27">
        <f t="shared" si="10"/>
        <v>2.9650363375152735</v>
      </c>
      <c r="Y27" s="27">
        <f t="shared" si="10"/>
        <v>3.6234938212872443</v>
      </c>
      <c r="Z27" s="27">
        <f t="shared" si="10"/>
        <v>3.923569594346568</v>
      </c>
      <c r="AA27" s="27">
        <f t="shared" si="10"/>
        <v>3.8926179653603645</v>
      </c>
      <c r="AB27" s="27">
        <f t="shared" si="10"/>
        <v>3.8591856887825298</v>
      </c>
      <c r="AC27" s="27">
        <f t="shared" si="10"/>
        <v>3.9802384241546926</v>
      </c>
      <c r="AD27" s="27">
        <f t="shared" si="10"/>
        <v>4.1828965307089474</v>
      </c>
      <c r="AE27" s="27">
        <f t="shared" si="10"/>
        <v>4.2199287794536291</v>
      </c>
      <c r="AF27" s="27">
        <v>4.086036346905912</v>
      </c>
      <c r="AG27" s="27">
        <f t="shared" ref="AG27:AL27" si="11">AG26/AG25</f>
        <v>4.0166764763586418</v>
      </c>
      <c r="AH27" s="27">
        <f t="shared" si="11"/>
        <v>4.0244305657604702</v>
      </c>
      <c r="AI27" s="27">
        <f t="shared" si="11"/>
        <v>4.1739130434782608</v>
      </c>
      <c r="AJ27" s="27">
        <f t="shared" si="11"/>
        <v>4.022786458333333</v>
      </c>
      <c r="AK27" s="27">
        <f t="shared" si="11"/>
        <v>4.2</v>
      </c>
      <c r="AL27" s="27">
        <f t="shared" si="11"/>
        <v>4.0414549202183849</v>
      </c>
      <c r="AP27" s="109"/>
    </row>
    <row r="28" spans="15:42" x14ac:dyDescent="0.25">
      <c r="O28" s="18" t="s">
        <v>92</v>
      </c>
      <c r="P28" s="19"/>
      <c r="Q28" s="20"/>
      <c r="R28" s="20"/>
      <c r="S28" s="20"/>
      <c r="T28" s="20"/>
      <c r="U28" s="20"/>
      <c r="V28" s="20"/>
      <c r="W28" s="20"/>
      <c r="X28" s="20"/>
      <c r="Y28" s="20"/>
      <c r="Z28" s="20"/>
      <c r="AA28" s="20"/>
      <c r="AB28" s="20"/>
      <c r="AC28" s="20"/>
      <c r="AD28" s="20"/>
      <c r="AE28" s="20"/>
      <c r="AF28" s="20"/>
      <c r="AG28" s="20"/>
      <c r="AH28" s="20"/>
      <c r="AI28" s="20"/>
      <c r="AJ28" s="20"/>
      <c r="AK28" s="20"/>
      <c r="AL28" s="20"/>
    </row>
    <row r="29" spans="15:42" x14ac:dyDescent="0.25">
      <c r="O29" s="21"/>
      <c r="P29" s="22"/>
      <c r="Q29" s="22">
        <v>2000</v>
      </c>
      <c r="R29" s="22">
        <v>2001</v>
      </c>
      <c r="S29" s="22">
        <v>2002</v>
      </c>
      <c r="T29" s="22">
        <v>2003</v>
      </c>
      <c r="U29" s="22">
        <v>2004</v>
      </c>
      <c r="V29" s="22">
        <v>2005</v>
      </c>
      <c r="W29" s="22">
        <v>2006</v>
      </c>
      <c r="X29" s="22">
        <v>2007</v>
      </c>
      <c r="Y29" s="22">
        <v>2008</v>
      </c>
      <c r="Z29" s="22">
        <v>2009</v>
      </c>
      <c r="AA29" s="22">
        <v>2010</v>
      </c>
      <c r="AB29" s="22">
        <v>2011</v>
      </c>
      <c r="AC29" s="22">
        <v>2012</v>
      </c>
      <c r="AD29" s="22">
        <v>2013</v>
      </c>
      <c r="AE29" s="22">
        <v>2014</v>
      </c>
      <c r="AF29" s="22">
        <v>2015</v>
      </c>
      <c r="AG29" s="22">
        <v>2016</v>
      </c>
      <c r="AH29" s="22">
        <v>2017</v>
      </c>
      <c r="AI29" s="22">
        <v>2018</v>
      </c>
      <c r="AJ29" s="22">
        <v>2019</v>
      </c>
      <c r="AK29" s="22">
        <v>2020</v>
      </c>
      <c r="AL29" s="22">
        <v>2021</v>
      </c>
      <c r="AP29" s="226"/>
    </row>
    <row r="30" spans="15:42" x14ac:dyDescent="0.25">
      <c r="O30" s="23" t="s">
        <v>93</v>
      </c>
      <c r="P30" s="24" t="s">
        <v>73</v>
      </c>
      <c r="Q30" s="24"/>
      <c r="R30" s="24"/>
      <c r="S30" s="24"/>
      <c r="T30" s="24"/>
      <c r="U30" s="24"/>
      <c r="V30" s="24"/>
      <c r="W30" s="24"/>
      <c r="X30" s="24"/>
      <c r="Y30" s="24"/>
      <c r="Z30" s="24"/>
      <c r="AA30" s="24"/>
      <c r="AB30" s="24"/>
      <c r="AC30" s="24"/>
      <c r="AD30" s="24"/>
      <c r="AE30" s="24"/>
      <c r="AF30" s="24"/>
      <c r="AG30" s="24"/>
      <c r="AH30" s="24">
        <v>19.600000000000001</v>
      </c>
      <c r="AI30" s="24">
        <v>20.100000000000001</v>
      </c>
      <c r="AJ30" s="24">
        <v>18.007000000000001</v>
      </c>
      <c r="AK30" s="24">
        <v>22.4</v>
      </c>
      <c r="AL30" s="24">
        <v>21.014181499999999</v>
      </c>
      <c r="AP30" s="226"/>
    </row>
    <row r="31" spans="15:42" x14ac:dyDescent="0.25">
      <c r="O31" s="23" t="s">
        <v>94</v>
      </c>
      <c r="P31" s="24" t="s">
        <v>75</v>
      </c>
      <c r="Q31" s="24"/>
      <c r="R31" s="24"/>
      <c r="S31" s="24"/>
      <c r="T31" s="24"/>
      <c r="U31" s="24"/>
      <c r="V31" s="24"/>
      <c r="W31" s="24"/>
      <c r="X31" s="24"/>
      <c r="Y31" s="24"/>
      <c r="Z31" s="24"/>
      <c r="AA31" s="24"/>
      <c r="AB31" s="24"/>
      <c r="AC31" s="24"/>
      <c r="AD31" s="24"/>
      <c r="AE31" s="24"/>
      <c r="AF31" s="24"/>
      <c r="AG31" s="24"/>
      <c r="AH31" s="24">
        <v>36.9</v>
      </c>
      <c r="AI31" s="24">
        <v>39.700000000000003</v>
      </c>
      <c r="AJ31" s="24">
        <v>33.814999999999998</v>
      </c>
      <c r="AK31" s="24">
        <v>41.5</v>
      </c>
      <c r="AL31" s="24">
        <v>40.267596879999985</v>
      </c>
      <c r="AP31" s="226"/>
    </row>
    <row r="32" spans="15:42" x14ac:dyDescent="0.25">
      <c r="O32" s="25" t="s">
        <v>95</v>
      </c>
      <c r="P32" s="26" t="s">
        <v>77</v>
      </c>
      <c r="Q32" s="27"/>
      <c r="R32" s="27"/>
      <c r="S32" s="27"/>
      <c r="T32" s="27"/>
      <c r="U32" s="27"/>
      <c r="V32" s="27"/>
      <c r="W32" s="27"/>
      <c r="X32" s="27"/>
      <c r="Y32" s="27"/>
      <c r="Z32" s="27"/>
      <c r="AA32" s="27"/>
      <c r="AB32" s="27"/>
      <c r="AC32" s="27"/>
      <c r="AD32" s="27"/>
      <c r="AE32" s="27"/>
      <c r="AF32" s="27"/>
      <c r="AG32" s="27"/>
      <c r="AH32" s="27">
        <f>AH31/AH30</f>
        <v>1.8826530612244896</v>
      </c>
      <c r="AI32" s="27">
        <f>AI31/AI30</f>
        <v>1.9751243781094527</v>
      </c>
      <c r="AJ32" s="27">
        <f>AJ31/AJ30</f>
        <v>1.8778808241239515</v>
      </c>
      <c r="AK32" s="27">
        <f>AK31/AK30</f>
        <v>1.8526785714285716</v>
      </c>
      <c r="AL32" s="27">
        <f>AL31/AL30</f>
        <v>1.9162105780803305</v>
      </c>
      <c r="AP32" s="226"/>
    </row>
    <row r="33" spans="42:42" x14ac:dyDescent="0.25">
      <c r="AP33" s="226"/>
    </row>
  </sheetData>
  <phoneticPr fontId="59" type="noConversion"/>
  <pageMargins left="0.98425196850393704" right="0.98425196850393704" top="0.98425196850393704" bottom="0.98425196850393704" header="0.51181102362204722" footer="0.51181102362204722"/>
  <pageSetup scale="95"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42"/>
  <sheetViews>
    <sheetView workbookViewId="0">
      <selection sqref="A1:J1"/>
    </sheetView>
  </sheetViews>
  <sheetFormatPr baseColWidth="10" defaultColWidth="11.42578125" defaultRowHeight="15" x14ac:dyDescent="0.25"/>
  <cols>
    <col min="1" max="1" width="27.85546875" customWidth="1"/>
    <col min="2" max="2" width="9.42578125" bestFit="1" customWidth="1"/>
    <col min="3" max="3" width="10.42578125" bestFit="1" customWidth="1"/>
    <col min="4" max="4" width="8.85546875" bestFit="1" customWidth="1"/>
    <col min="5" max="5" width="9.42578125" bestFit="1" customWidth="1"/>
    <col min="6" max="6" width="10.42578125" bestFit="1" customWidth="1"/>
    <col min="7" max="7" width="8.85546875" bestFit="1" customWidth="1"/>
    <col min="8" max="8" width="9.42578125" bestFit="1" customWidth="1"/>
    <col min="9" max="9" width="10.42578125" bestFit="1" customWidth="1"/>
    <col min="10" max="10" width="8.85546875" bestFit="1" customWidth="1"/>
    <col min="12" max="12" width="28.28515625" bestFit="1" customWidth="1"/>
    <col min="14" max="14" width="14.42578125" customWidth="1"/>
    <col min="15" max="15" width="11.42578125" style="31"/>
  </cols>
  <sheetData>
    <row r="1" spans="1:18" ht="29.25" customHeight="1" x14ac:dyDescent="0.25">
      <c r="A1" s="408" t="s">
        <v>562</v>
      </c>
      <c r="B1" s="409"/>
      <c r="C1" s="409"/>
      <c r="D1" s="409"/>
      <c r="E1" s="409"/>
      <c r="F1" s="409"/>
      <c r="G1" s="409"/>
      <c r="H1" s="409"/>
      <c r="I1" s="409"/>
      <c r="J1" s="409"/>
    </row>
    <row r="2" spans="1:18" x14ac:dyDescent="0.25">
      <c r="A2" s="111"/>
      <c r="B2" s="112" t="s">
        <v>96</v>
      </c>
      <c r="C2" s="112" t="s">
        <v>97</v>
      </c>
      <c r="D2" s="112" t="s">
        <v>98</v>
      </c>
      <c r="E2" s="227" t="s">
        <v>96</v>
      </c>
      <c r="F2" s="227" t="s">
        <v>97</v>
      </c>
      <c r="G2" s="227" t="s">
        <v>98</v>
      </c>
      <c r="H2" s="227" t="s">
        <v>96</v>
      </c>
      <c r="I2" s="227" t="s">
        <v>97</v>
      </c>
      <c r="J2" s="112" t="s">
        <v>98</v>
      </c>
    </row>
    <row r="3" spans="1:18" x14ac:dyDescent="0.25">
      <c r="A3" s="111"/>
      <c r="B3" s="231" t="s">
        <v>99</v>
      </c>
      <c r="C3" s="231" t="s">
        <v>100</v>
      </c>
      <c r="D3" s="112" t="s">
        <v>99</v>
      </c>
      <c r="E3" s="227" t="s">
        <v>101</v>
      </c>
      <c r="F3" s="227" t="s">
        <v>102</v>
      </c>
      <c r="G3" s="227" t="s">
        <v>101</v>
      </c>
      <c r="H3" s="227" t="s">
        <v>303</v>
      </c>
      <c r="I3" s="227" t="s">
        <v>304</v>
      </c>
      <c r="J3" s="112" t="s">
        <v>303</v>
      </c>
      <c r="L3" s="229"/>
      <c r="M3" s="31"/>
      <c r="N3" s="31"/>
      <c r="P3" s="28"/>
      <c r="Q3" s="28"/>
      <c r="R3" s="31"/>
    </row>
    <row r="4" spans="1:18" x14ac:dyDescent="0.25">
      <c r="A4" s="111" t="s">
        <v>103</v>
      </c>
      <c r="B4" s="250">
        <v>213.44108900000001</v>
      </c>
      <c r="C4" s="250">
        <v>12.419422000000001</v>
      </c>
      <c r="D4" s="251">
        <f t="shared" ref="D4:D9" si="0">B4/(SUM($B$4:$B$9))</f>
        <v>0.14771120305668284</v>
      </c>
      <c r="E4" s="252">
        <v>243.245497</v>
      </c>
      <c r="F4" s="252">
        <v>14.622400000000001</v>
      </c>
      <c r="G4" s="251">
        <f t="shared" ref="G4:G9" si="1">E4/SUM($E$4:$E$9)</f>
        <v>0.17449545294702834</v>
      </c>
      <c r="H4" s="252">
        <v>234.57264577000092</v>
      </c>
      <c r="I4" s="252">
        <v>13.844855222222222</v>
      </c>
      <c r="J4" s="251">
        <f t="shared" ref="J4:J9" si="2">H4/SUM($H$4:$H$9)</f>
        <v>0.15597411837794706</v>
      </c>
      <c r="L4" s="230"/>
      <c r="M4" s="31"/>
      <c r="N4" s="31"/>
      <c r="P4" s="28"/>
      <c r="Q4" s="28"/>
      <c r="R4" s="166"/>
    </row>
    <row r="5" spans="1:18" x14ac:dyDescent="0.25">
      <c r="A5" s="111" t="s">
        <v>104</v>
      </c>
      <c r="B5" s="250">
        <v>517.40012100000001</v>
      </c>
      <c r="C5" s="250">
        <v>22.222055000000001</v>
      </c>
      <c r="D5" s="251">
        <f t="shared" si="0"/>
        <v>0.35806505060786709</v>
      </c>
      <c r="E5" s="252">
        <v>516.70932500000004</v>
      </c>
      <c r="F5" s="252">
        <v>22.027394999999999</v>
      </c>
      <c r="G5" s="251">
        <f>E5/SUM($E$4:$E$9)</f>
        <v>0.3706684350577239</v>
      </c>
      <c r="H5" s="252">
        <v>501.93888110999256</v>
      </c>
      <c r="I5" s="252">
        <v>21.095279746666527</v>
      </c>
      <c r="J5" s="251">
        <f t="shared" si="2"/>
        <v>0.33375364038613142</v>
      </c>
      <c r="L5" s="234"/>
      <c r="M5" s="31"/>
      <c r="N5" s="31"/>
      <c r="P5" s="28"/>
      <c r="Q5" s="28"/>
      <c r="R5" s="166"/>
    </row>
    <row r="6" spans="1:18" x14ac:dyDescent="0.25">
      <c r="A6" s="111" t="s">
        <v>105</v>
      </c>
      <c r="B6" s="250">
        <v>281.08668599999999</v>
      </c>
      <c r="C6" s="250">
        <v>8.2078319999999998</v>
      </c>
      <c r="D6" s="251">
        <f t="shared" si="0"/>
        <v>0.19452511579097145</v>
      </c>
      <c r="E6" s="252">
        <v>250.59459200000001</v>
      </c>
      <c r="F6" s="252">
        <v>7.3115259999999997</v>
      </c>
      <c r="G6" s="251">
        <f t="shared" si="1"/>
        <v>0.17976742581637908</v>
      </c>
      <c r="H6" s="252">
        <v>263.23259948000083</v>
      </c>
      <c r="I6" s="252">
        <v>7.6221088911111092</v>
      </c>
      <c r="J6" s="251">
        <f t="shared" si="2"/>
        <v>0.17503094829089888</v>
      </c>
      <c r="L6" s="229"/>
      <c r="M6" s="31"/>
      <c r="N6" s="31"/>
      <c r="P6" s="28"/>
      <c r="Q6" s="28"/>
      <c r="R6" s="166"/>
    </row>
    <row r="7" spans="1:18" x14ac:dyDescent="0.25">
      <c r="A7" s="111" t="s">
        <v>106</v>
      </c>
      <c r="B7" s="250">
        <v>204.20909800000001</v>
      </c>
      <c r="C7" s="250">
        <v>4.4205009999999998</v>
      </c>
      <c r="D7" s="251">
        <f t="shared" si="0"/>
        <v>0.14132223407415265</v>
      </c>
      <c r="E7" s="252">
        <v>177.58604800000001</v>
      </c>
      <c r="F7" s="252">
        <v>3.835998</v>
      </c>
      <c r="G7" s="251">
        <f>E7/SUM($E$4:$E$9)</f>
        <v>0.12739375760297308</v>
      </c>
      <c r="H7" s="252">
        <v>226.92550004999924</v>
      </c>
      <c r="I7" s="252">
        <v>4.8754200733333324</v>
      </c>
      <c r="J7" s="251">
        <f t="shared" si="2"/>
        <v>0.15088931060818495</v>
      </c>
      <c r="L7" s="28"/>
      <c r="M7" s="31"/>
      <c r="N7" s="31"/>
      <c r="P7" s="28"/>
      <c r="Q7" s="28"/>
      <c r="R7" s="166"/>
    </row>
    <row r="8" spans="1:18" x14ac:dyDescent="0.25">
      <c r="A8" s="111" t="s">
        <v>107</v>
      </c>
      <c r="B8" s="250">
        <v>120.66380599999999</v>
      </c>
      <c r="C8" s="250">
        <v>1.6102890000000001</v>
      </c>
      <c r="D8" s="251">
        <f t="shared" si="0"/>
        <v>8.3504989752269221E-2</v>
      </c>
      <c r="E8" s="252">
        <v>101.86844000000001</v>
      </c>
      <c r="F8" s="252">
        <v>1.349445</v>
      </c>
      <c r="G8" s="251">
        <f t="shared" si="1"/>
        <v>7.3076705624717811E-2</v>
      </c>
      <c r="H8" s="252">
        <v>134.84044649999973</v>
      </c>
      <c r="I8" s="252">
        <v>1.7680794822222223</v>
      </c>
      <c r="J8" s="251">
        <f t="shared" si="2"/>
        <v>8.9659302326102211E-2</v>
      </c>
      <c r="L8" s="28"/>
      <c r="M8" s="31"/>
      <c r="N8" s="31"/>
      <c r="P8" s="28"/>
      <c r="Q8" s="28"/>
      <c r="R8" s="166"/>
    </row>
    <row r="9" spans="1:18" x14ac:dyDescent="0.25">
      <c r="A9" s="111" t="s">
        <v>108</v>
      </c>
      <c r="B9" s="250">
        <v>108.188372</v>
      </c>
      <c r="C9" s="250">
        <v>0.45341700000000001</v>
      </c>
      <c r="D9" s="251">
        <f t="shared" si="0"/>
        <v>7.4871406718056713E-2</v>
      </c>
      <c r="E9" s="252">
        <v>103.989425</v>
      </c>
      <c r="F9" s="252">
        <v>0.40153899999999998</v>
      </c>
      <c r="G9" s="251">
        <f t="shared" si="1"/>
        <v>7.4598222951177726E-2</v>
      </c>
      <c r="H9" s="252">
        <v>142.41024547000029</v>
      </c>
      <c r="I9" s="252">
        <v>0.59290485999999987</v>
      </c>
      <c r="J9" s="251">
        <f t="shared" si="2"/>
        <v>9.469268001073558E-2</v>
      </c>
      <c r="L9" s="28"/>
      <c r="M9" s="31"/>
      <c r="N9" s="31"/>
      <c r="P9" s="28"/>
      <c r="Q9" s="28"/>
      <c r="R9" s="166"/>
    </row>
    <row r="10" spans="1:18" x14ac:dyDescent="0.25">
      <c r="A10" s="410" t="s">
        <v>109</v>
      </c>
      <c r="B10" s="410"/>
      <c r="C10" s="410"/>
      <c r="D10" s="410"/>
      <c r="E10" s="410"/>
      <c r="F10" s="410"/>
      <c r="G10" s="410"/>
      <c r="H10" s="410"/>
      <c r="I10" s="410"/>
      <c r="J10" s="410"/>
      <c r="L10" s="28"/>
      <c r="M10" s="31"/>
      <c r="N10" s="31"/>
      <c r="P10" s="109"/>
      <c r="Q10" s="221"/>
      <c r="R10" s="166"/>
    </row>
    <row r="11" spans="1:18" x14ac:dyDescent="0.25">
      <c r="A11" s="410" t="s">
        <v>110</v>
      </c>
      <c r="B11" s="410"/>
      <c r="C11" s="410"/>
      <c r="D11" s="410"/>
      <c r="E11" s="410"/>
      <c r="F11" s="410"/>
      <c r="G11" s="410"/>
      <c r="H11" s="410"/>
      <c r="I11" s="410"/>
      <c r="J11" s="410"/>
      <c r="L11" s="31"/>
      <c r="M11" s="31"/>
      <c r="N11" s="31"/>
      <c r="P11" s="31"/>
      <c r="Q11" s="31"/>
      <c r="R11" s="31"/>
    </row>
    <row r="12" spans="1:18" x14ac:dyDescent="0.25">
      <c r="L12" s="31"/>
      <c r="M12" s="31"/>
      <c r="N12" s="31"/>
      <c r="P12" s="31"/>
      <c r="Q12" s="31"/>
      <c r="R12" s="31"/>
    </row>
    <row r="13" spans="1:18" x14ac:dyDescent="0.25">
      <c r="L13" s="31"/>
      <c r="M13" s="31"/>
      <c r="N13" s="31"/>
      <c r="P13" s="31"/>
      <c r="Q13" s="31"/>
      <c r="R13" s="31"/>
    </row>
    <row r="29" s="31" customFormat="1" x14ac:dyDescent="0.25"/>
    <row r="30" s="31" customFormat="1" x14ac:dyDescent="0.25"/>
    <row r="31" s="31" customFormat="1" x14ac:dyDescent="0.25"/>
    <row r="32" s="31" customFormat="1" x14ac:dyDescent="0.25"/>
    <row r="33" spans="1:16" ht="30" customHeight="1" x14ac:dyDescent="0.25">
      <c r="A33" s="408" t="s">
        <v>459</v>
      </c>
      <c r="B33" s="409"/>
      <c r="C33" s="409"/>
      <c r="D33" s="409"/>
      <c r="E33" s="409"/>
      <c r="F33" s="409"/>
      <c r="G33" s="409"/>
      <c r="H33" s="409"/>
      <c r="I33" s="409"/>
      <c r="J33" s="409"/>
      <c r="K33" s="31"/>
      <c r="L33" s="31"/>
    </row>
    <row r="34" spans="1:16" x14ac:dyDescent="0.25">
      <c r="A34" s="111"/>
      <c r="B34" s="112" t="s">
        <v>96</v>
      </c>
      <c r="C34" s="112" t="s">
        <v>73</v>
      </c>
      <c r="D34" s="112" t="s">
        <v>98</v>
      </c>
      <c r="E34" s="112" t="s">
        <v>96</v>
      </c>
      <c r="F34" s="112" t="s">
        <v>73</v>
      </c>
      <c r="G34" s="112" t="s">
        <v>98</v>
      </c>
      <c r="H34" s="112" t="s">
        <v>96</v>
      </c>
      <c r="I34" s="112" t="s">
        <v>73</v>
      </c>
      <c r="J34" s="112" t="s">
        <v>98</v>
      </c>
      <c r="K34" s="31"/>
      <c r="L34" s="31"/>
    </row>
    <row r="35" spans="1:16" x14ac:dyDescent="0.25">
      <c r="A35" s="111"/>
      <c r="B35" s="112" t="s">
        <v>99</v>
      </c>
      <c r="C35" s="112" t="s">
        <v>100</v>
      </c>
      <c r="D35" s="112" t="s">
        <v>99</v>
      </c>
      <c r="E35" s="112" t="s">
        <v>101</v>
      </c>
      <c r="F35" s="112" t="s">
        <v>102</v>
      </c>
      <c r="G35" s="112" t="s">
        <v>101</v>
      </c>
      <c r="H35" s="112" t="s">
        <v>303</v>
      </c>
      <c r="I35" s="112" t="s">
        <v>304</v>
      </c>
      <c r="J35" s="112" t="s">
        <v>303</v>
      </c>
      <c r="K35" s="31"/>
      <c r="L35" s="31"/>
      <c r="O35" s="225"/>
      <c r="P35" s="228"/>
    </row>
    <row r="36" spans="1:16" x14ac:dyDescent="0.25">
      <c r="A36" s="111" t="s">
        <v>111</v>
      </c>
      <c r="B36" s="232">
        <v>87.236891999999997</v>
      </c>
      <c r="C36" s="232">
        <v>140.716948</v>
      </c>
      <c r="D36" s="253">
        <f t="shared" ref="D36:D41" si="3">B36/(SUM($B$36:$B$41))</f>
        <v>0.24056456923509656</v>
      </c>
      <c r="E36" s="232">
        <v>135.076401</v>
      </c>
      <c r="F36" s="232">
        <v>200.890736</v>
      </c>
      <c r="G36" s="253">
        <f t="shared" ref="G36:G41" si="4">E36/SUM($E$36:$E$41)</f>
        <v>0.46049424458222327</v>
      </c>
      <c r="H36" s="233">
        <v>131.64190890999987</v>
      </c>
      <c r="I36" s="233">
        <v>197.34202999999999</v>
      </c>
      <c r="J36" s="253">
        <f t="shared" ref="J36:J41" si="5">H36/(SUM($H$36:$H$41))</f>
        <v>0.42635547974145205</v>
      </c>
      <c r="K36" s="31"/>
      <c r="L36" s="28"/>
      <c r="O36" s="28"/>
      <c r="P36" s="28"/>
    </row>
    <row r="37" spans="1:16" x14ac:dyDescent="0.25">
      <c r="A37" s="111" t="s">
        <v>112</v>
      </c>
      <c r="B37" s="232">
        <v>76.575999999999993</v>
      </c>
      <c r="C37" s="232">
        <v>86.941073000000003</v>
      </c>
      <c r="D37" s="253">
        <f t="shared" si="3"/>
        <v>0.2111660792975838</v>
      </c>
      <c r="E37" s="232">
        <v>83.787846000000002</v>
      </c>
      <c r="F37" s="232">
        <v>96.573428000000007</v>
      </c>
      <c r="G37" s="253">
        <f t="shared" si="4"/>
        <v>0.28564442466113427</v>
      </c>
      <c r="H37" s="233">
        <v>86.444160560000199</v>
      </c>
      <c r="I37" s="233">
        <v>99.539377999999999</v>
      </c>
      <c r="J37" s="253">
        <f t="shared" si="5"/>
        <v>0.27997118737926718</v>
      </c>
      <c r="K37" s="31"/>
      <c r="L37" s="28"/>
      <c r="O37" s="28"/>
      <c r="P37" s="28"/>
    </row>
    <row r="38" spans="1:16" x14ac:dyDescent="0.25">
      <c r="A38" s="111" t="s">
        <v>113</v>
      </c>
      <c r="B38" s="232">
        <v>121.524142</v>
      </c>
      <c r="C38" s="232">
        <v>109.39868300000001</v>
      </c>
      <c r="D38" s="253">
        <f t="shared" si="3"/>
        <v>0.33511513537064924</v>
      </c>
      <c r="E38" s="232">
        <v>28.767187</v>
      </c>
      <c r="F38" s="232">
        <v>23.634761999999998</v>
      </c>
      <c r="G38" s="253">
        <f t="shared" si="4"/>
        <v>9.8071342945542012E-2</v>
      </c>
      <c r="H38" s="233">
        <v>37.874594289999983</v>
      </c>
      <c r="I38" s="233">
        <v>32.173422729999999</v>
      </c>
      <c r="J38" s="253">
        <f t="shared" si="5"/>
        <v>0.12266641339549243</v>
      </c>
      <c r="K38" s="31"/>
      <c r="L38" s="28"/>
      <c r="O38" s="28"/>
      <c r="P38" s="28"/>
    </row>
    <row r="39" spans="1:16" x14ac:dyDescent="0.25">
      <c r="A39" s="111" t="s">
        <v>114</v>
      </c>
      <c r="B39" s="232">
        <v>62.097760999999998</v>
      </c>
      <c r="C39" s="232">
        <v>40.163291999999998</v>
      </c>
      <c r="D39" s="253">
        <f t="shared" si="3"/>
        <v>0.17124086820320214</v>
      </c>
      <c r="E39" s="232">
        <v>27.738354999999999</v>
      </c>
      <c r="F39" s="232">
        <v>15.657431000000001</v>
      </c>
      <c r="G39" s="253">
        <f t="shared" si="4"/>
        <v>9.4563911513148288E-2</v>
      </c>
      <c r="H39" s="233">
        <v>40.624077769999921</v>
      </c>
      <c r="I39" s="233">
        <v>21.005174490000002</v>
      </c>
      <c r="J39" s="253">
        <f t="shared" si="5"/>
        <v>0.13157130818061755</v>
      </c>
      <c r="K39" s="31"/>
      <c r="L39" s="28"/>
      <c r="O39" s="28"/>
      <c r="P39" s="28"/>
    </row>
    <row r="40" spans="1:16" x14ac:dyDescent="0.25">
      <c r="A40" s="111" t="s">
        <v>115</v>
      </c>
      <c r="B40" s="232">
        <v>14.746649</v>
      </c>
      <c r="C40" s="232">
        <v>2.3683730000000001</v>
      </c>
      <c r="D40" s="253">
        <f t="shared" si="3"/>
        <v>4.0665378866846465E-2</v>
      </c>
      <c r="E40" s="232">
        <v>9.2970079999999999</v>
      </c>
      <c r="F40" s="232">
        <v>2.1593499999999999</v>
      </c>
      <c r="G40" s="253">
        <f t="shared" si="4"/>
        <v>3.1694793791810359E-2</v>
      </c>
      <c r="H40" s="233">
        <v>12.166170699999999</v>
      </c>
      <c r="I40" s="233">
        <v>3.0258180000000001</v>
      </c>
      <c r="J40" s="253">
        <f t="shared" si="5"/>
        <v>3.9403208205991531E-2</v>
      </c>
      <c r="K40" s="31"/>
      <c r="L40" s="28"/>
      <c r="O40" s="28"/>
      <c r="P40" s="28"/>
    </row>
    <row r="41" spans="1:16" x14ac:dyDescent="0.25">
      <c r="A41" s="111" t="s">
        <v>116</v>
      </c>
      <c r="B41" s="232">
        <v>0.45255600000000001</v>
      </c>
      <c r="C41" s="232">
        <v>3.1947999999999997E-2</v>
      </c>
      <c r="D41" s="253">
        <f t="shared" si="3"/>
        <v>1.2479690266218833E-3</v>
      </c>
      <c r="E41" s="232">
        <v>8.6623870000000007</v>
      </c>
      <c r="F41" s="232">
        <v>0.84043800000000002</v>
      </c>
      <c r="G41" s="253">
        <f t="shared" si="4"/>
        <v>2.9531282506141628E-2</v>
      </c>
      <c r="H41" s="233">
        <v>1.0004809999999999E-2</v>
      </c>
      <c r="I41" s="233">
        <v>1.08E-4</v>
      </c>
      <c r="J41" s="253">
        <f t="shared" si="5"/>
        <v>3.240309717924525E-5</v>
      </c>
      <c r="K41" s="31"/>
      <c r="L41" s="28"/>
      <c r="O41" s="28"/>
      <c r="P41" s="28"/>
    </row>
    <row r="42" spans="1:16" x14ac:dyDescent="0.25">
      <c r="A42" s="405" t="s">
        <v>109</v>
      </c>
      <c r="B42" s="406"/>
      <c r="C42" s="406"/>
      <c r="D42" s="406"/>
      <c r="E42" s="406"/>
      <c r="F42" s="406"/>
      <c r="G42" s="406"/>
      <c r="H42" s="406"/>
      <c r="I42" s="406"/>
      <c r="J42" s="407"/>
      <c r="K42" s="31"/>
      <c r="L42" s="31"/>
      <c r="O42" s="28"/>
      <c r="P42" s="28"/>
    </row>
  </sheetData>
  <mergeCells count="5">
    <mergeCell ref="A42:J42"/>
    <mergeCell ref="A33:J33"/>
    <mergeCell ref="A1:J1"/>
    <mergeCell ref="A10:J10"/>
    <mergeCell ref="A11:J11"/>
  </mergeCells>
  <phoneticPr fontId="59" type="noConversion"/>
  <pageMargins left="0.98425196850393704" right="0.98425196850393704" top="0.98425196850393704" bottom="0.98425196850393704" header="0.51181102362204722" footer="0.51181102362204722"/>
  <pageSetup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42"/>
  <sheetViews>
    <sheetView zoomScale="90" zoomScaleNormal="90" workbookViewId="0">
      <selection sqref="A1:I1"/>
    </sheetView>
  </sheetViews>
  <sheetFormatPr baseColWidth="10" defaultColWidth="11.42578125" defaultRowHeight="15" x14ac:dyDescent="0.25"/>
  <cols>
    <col min="1" max="1" width="26.85546875" customWidth="1"/>
    <col min="2" max="3" width="8" customWidth="1"/>
    <col min="4" max="4" width="8.7109375" customWidth="1"/>
    <col min="5" max="5" width="7.28515625" style="29" customWidth="1"/>
    <col min="6" max="6" width="9.42578125" customWidth="1"/>
    <col min="7" max="8" width="9.7109375" bestFit="1" customWidth="1"/>
    <col min="9" max="9" width="7.28515625" customWidth="1"/>
    <col min="10" max="10" width="2.42578125" style="242" customWidth="1"/>
    <col min="11" max="11" width="4.42578125" customWidth="1"/>
  </cols>
  <sheetData>
    <row r="1" spans="1:10" ht="14.45" customHeight="1" x14ac:dyDescent="0.25">
      <c r="A1" s="412" t="s">
        <v>567</v>
      </c>
      <c r="B1" s="412"/>
      <c r="C1" s="412"/>
      <c r="D1" s="412"/>
      <c r="E1" s="412"/>
      <c r="F1" s="412"/>
      <c r="G1" s="412"/>
      <c r="H1" s="412"/>
      <c r="I1" s="412"/>
      <c r="J1" s="278"/>
    </row>
    <row r="2" spans="1:10" ht="14.45" customHeight="1" x14ac:dyDescent="0.25">
      <c r="A2" s="275"/>
      <c r="B2" s="416" t="s">
        <v>149</v>
      </c>
      <c r="C2" s="416"/>
      <c r="D2" s="416"/>
      <c r="E2" s="416"/>
      <c r="F2" s="416" t="s">
        <v>150</v>
      </c>
      <c r="G2" s="416"/>
      <c r="H2" s="416"/>
      <c r="I2" s="416"/>
      <c r="J2" s="279"/>
    </row>
    <row r="3" spans="1:10" x14ac:dyDescent="0.25">
      <c r="A3" s="417" t="s">
        <v>117</v>
      </c>
      <c r="B3" s="417">
        <v>2021</v>
      </c>
      <c r="C3" s="419" t="s">
        <v>608</v>
      </c>
      <c r="D3" s="420"/>
      <c r="E3" s="421"/>
      <c r="F3" s="417">
        <v>2021</v>
      </c>
      <c r="G3" s="419" t="str">
        <f>C3</f>
        <v>Ene - ago</v>
      </c>
      <c r="H3" s="420"/>
      <c r="I3" s="421"/>
      <c r="J3" s="280"/>
    </row>
    <row r="4" spans="1:10" ht="25.5" x14ac:dyDescent="0.25">
      <c r="A4" s="418"/>
      <c r="B4" s="418"/>
      <c r="C4" s="276">
        <v>2021</v>
      </c>
      <c r="D4" s="276">
        <v>2022</v>
      </c>
      <c r="E4" s="277" t="s">
        <v>307</v>
      </c>
      <c r="F4" s="418"/>
      <c r="G4" s="276">
        <v>2021</v>
      </c>
      <c r="H4" s="276">
        <v>2022</v>
      </c>
      <c r="I4" s="277" t="s">
        <v>307</v>
      </c>
      <c r="J4" s="279"/>
    </row>
    <row r="5" spans="1:10" x14ac:dyDescent="0.25">
      <c r="A5" s="413"/>
      <c r="B5" s="414"/>
      <c r="C5" s="414"/>
      <c r="D5" s="414"/>
      <c r="E5" s="414"/>
      <c r="F5" s="414"/>
      <c r="G5" s="414"/>
      <c r="H5" s="414"/>
      <c r="I5" s="415"/>
      <c r="J5" s="281"/>
    </row>
    <row r="6" spans="1:10" ht="14.45" customHeight="1" x14ac:dyDescent="0.25">
      <c r="A6" s="159" t="s">
        <v>118</v>
      </c>
      <c r="B6" s="160">
        <v>881240.32461579994</v>
      </c>
      <c r="C6" s="160">
        <v>566797.27925830008</v>
      </c>
      <c r="D6" s="160">
        <v>594389.84497679991</v>
      </c>
      <c r="E6" s="161">
        <v>4.8681542287230002</v>
      </c>
      <c r="F6" s="160">
        <v>1974641.9728599994</v>
      </c>
      <c r="G6" s="160">
        <v>1287838.2860099999</v>
      </c>
      <c r="H6" s="160">
        <v>1341825.9363399998</v>
      </c>
      <c r="I6" s="161">
        <v>4.1921140966592247</v>
      </c>
      <c r="J6" s="279"/>
    </row>
    <row r="7" spans="1:10" x14ac:dyDescent="0.25">
      <c r="A7" s="413"/>
      <c r="B7" s="414"/>
      <c r="C7" s="414"/>
      <c r="D7" s="414"/>
      <c r="E7" s="414"/>
      <c r="F7" s="414"/>
      <c r="G7" s="414"/>
      <c r="H7" s="414"/>
      <c r="I7" s="415"/>
      <c r="J7" s="281"/>
    </row>
    <row r="8" spans="1:10" x14ac:dyDescent="0.25">
      <c r="A8" s="159" t="s">
        <v>60</v>
      </c>
      <c r="B8" s="160">
        <v>448185.13451499998</v>
      </c>
      <c r="C8" s="160">
        <v>289576.75705750001</v>
      </c>
      <c r="D8" s="160">
        <v>308152.50708449999</v>
      </c>
      <c r="E8" s="161">
        <v>6.4147931677097461</v>
      </c>
      <c r="F8" s="160">
        <v>1505670.3209199994</v>
      </c>
      <c r="G8" s="160">
        <v>985582.73055999994</v>
      </c>
      <c r="H8" s="160">
        <v>1015570.9950699998</v>
      </c>
      <c r="I8" s="161">
        <v>3.0426937871527855</v>
      </c>
      <c r="J8" s="282"/>
    </row>
    <row r="9" spans="1:10" x14ac:dyDescent="0.25">
      <c r="A9" s="378" t="s">
        <v>119</v>
      </c>
      <c r="B9" s="114">
        <v>35173.29829359999</v>
      </c>
      <c r="C9" s="114">
        <v>21911.759090200001</v>
      </c>
      <c r="D9" s="114">
        <v>25019.640442099993</v>
      </c>
      <c r="E9" s="115">
        <v>14.183623227630278</v>
      </c>
      <c r="F9" s="114">
        <v>112030.25192000002</v>
      </c>
      <c r="G9" s="114">
        <v>70188.366899999979</v>
      </c>
      <c r="H9" s="114">
        <v>77975.229430000079</v>
      </c>
      <c r="I9" s="115">
        <v>11.094235232876045</v>
      </c>
      <c r="J9" s="282"/>
    </row>
    <row r="10" spans="1:10" x14ac:dyDescent="0.25">
      <c r="A10" s="378" t="s">
        <v>120</v>
      </c>
      <c r="B10" s="114">
        <v>5.3775000000000004</v>
      </c>
      <c r="C10" s="114">
        <v>1.8314999999999999</v>
      </c>
      <c r="D10" s="114">
        <v>4.8262999999999998</v>
      </c>
      <c r="E10" s="215">
        <v>163.51624351624355</v>
      </c>
      <c r="F10" s="114">
        <v>37.932520000000004</v>
      </c>
      <c r="G10" s="114">
        <v>13.686200000000001</v>
      </c>
      <c r="H10" s="114">
        <v>33.378</v>
      </c>
      <c r="I10" s="115">
        <v>143.8806973447706</v>
      </c>
      <c r="J10" s="282"/>
    </row>
    <row r="11" spans="1:10" x14ac:dyDescent="0.25">
      <c r="A11" s="378" t="s">
        <v>121</v>
      </c>
      <c r="B11" s="114">
        <v>97.674000000000007</v>
      </c>
      <c r="C11" s="114">
        <v>64.394999999999996</v>
      </c>
      <c r="D11" s="114">
        <v>41.827500000000001</v>
      </c>
      <c r="E11" s="215">
        <v>-35.045422781271824</v>
      </c>
      <c r="F11" s="114">
        <v>253.86865</v>
      </c>
      <c r="G11" s="114">
        <v>206.09375</v>
      </c>
      <c r="H11" s="114">
        <v>171.44484</v>
      </c>
      <c r="I11" s="115">
        <v>-16.812208036391212</v>
      </c>
      <c r="J11" s="283"/>
    </row>
    <row r="12" spans="1:10" x14ac:dyDescent="0.25">
      <c r="A12" s="378" t="s">
        <v>122</v>
      </c>
      <c r="B12" s="114">
        <v>1774.2735</v>
      </c>
      <c r="C12" s="114">
        <v>1437.1514999999999</v>
      </c>
      <c r="D12" s="114">
        <v>1321.9780000000001</v>
      </c>
      <c r="E12" s="215">
        <v>-8.0140124405812401</v>
      </c>
      <c r="F12" s="114">
        <v>5608.5127000000002</v>
      </c>
      <c r="G12" s="114">
        <v>4627.7146399999992</v>
      </c>
      <c r="H12" s="114">
        <v>3862.4692999999997</v>
      </c>
      <c r="I12" s="215">
        <v>-16.536139315625547</v>
      </c>
      <c r="J12" s="282"/>
    </row>
    <row r="13" spans="1:10" x14ac:dyDescent="0.25">
      <c r="A13" s="378" t="s">
        <v>123</v>
      </c>
      <c r="B13" s="114">
        <v>2006.9905000000001</v>
      </c>
      <c r="C13" s="114">
        <v>1319.57025</v>
      </c>
      <c r="D13" s="114">
        <v>1573.9675</v>
      </c>
      <c r="E13" s="115">
        <v>19.278795501793098</v>
      </c>
      <c r="F13" s="114">
        <v>7150.8613399999995</v>
      </c>
      <c r="G13" s="114">
        <v>4800.29943</v>
      </c>
      <c r="H13" s="114">
        <v>5287.4129399999983</v>
      </c>
      <c r="I13" s="115">
        <v>10.147565107204116</v>
      </c>
      <c r="J13" s="282"/>
    </row>
    <row r="14" spans="1:10" x14ac:dyDescent="0.25">
      <c r="A14" s="378" t="s">
        <v>124</v>
      </c>
      <c r="B14" s="114">
        <v>39710.340615299996</v>
      </c>
      <c r="C14" s="114">
        <v>24418.278075799994</v>
      </c>
      <c r="D14" s="114">
        <v>29142.259438300003</v>
      </c>
      <c r="E14" s="115">
        <v>19.34608717222271</v>
      </c>
      <c r="F14" s="114">
        <v>116730.87853999992</v>
      </c>
      <c r="G14" s="114">
        <v>72511.046349999975</v>
      </c>
      <c r="H14" s="114">
        <v>84057.695589999988</v>
      </c>
      <c r="I14" s="115">
        <v>15.923986511332444</v>
      </c>
      <c r="J14" s="282"/>
    </row>
    <row r="15" spans="1:10" x14ac:dyDescent="0.25">
      <c r="A15" s="378" t="s">
        <v>125</v>
      </c>
      <c r="B15" s="114">
        <v>5228.8736124999996</v>
      </c>
      <c r="C15" s="114">
        <v>2846.6605910999997</v>
      </c>
      <c r="D15" s="114">
        <v>2328.7946978999998</v>
      </c>
      <c r="E15" s="115">
        <v>-18.192049126583342</v>
      </c>
      <c r="F15" s="114">
        <v>15667.551609999999</v>
      </c>
      <c r="G15" s="114">
        <v>8678.6269600000014</v>
      </c>
      <c r="H15" s="114">
        <v>7117.9994900000002</v>
      </c>
      <c r="I15" s="115">
        <v>-17.982423685140176</v>
      </c>
      <c r="J15" s="282"/>
    </row>
    <row r="16" spans="1:10" x14ac:dyDescent="0.25">
      <c r="A16" s="378" t="s">
        <v>126</v>
      </c>
      <c r="B16" s="114">
        <v>37883.485858</v>
      </c>
      <c r="C16" s="114">
        <v>24653.746625099997</v>
      </c>
      <c r="D16" s="114">
        <v>28662.281918599998</v>
      </c>
      <c r="E16" s="115">
        <v>16.25933516092401</v>
      </c>
      <c r="F16" s="114">
        <v>105358.23002999995</v>
      </c>
      <c r="G16" s="114">
        <v>68408.647929999992</v>
      </c>
      <c r="H16" s="114">
        <v>77123.132190000077</v>
      </c>
      <c r="I16" s="115">
        <v>12.738863467842961</v>
      </c>
      <c r="J16" s="282"/>
    </row>
    <row r="17" spans="1:10" x14ac:dyDescent="0.25">
      <c r="A17" s="378" t="s">
        <v>127</v>
      </c>
      <c r="B17" s="114">
        <v>253.166</v>
      </c>
      <c r="C17" s="114">
        <v>134.63999999999999</v>
      </c>
      <c r="D17" s="114">
        <v>207.39599999999999</v>
      </c>
      <c r="E17" s="115">
        <v>54.037433155080237</v>
      </c>
      <c r="F17" s="114">
        <v>1609.3034199999997</v>
      </c>
      <c r="G17" s="114">
        <v>895.48348000000021</v>
      </c>
      <c r="H17" s="114">
        <v>1382.9249</v>
      </c>
      <c r="I17" s="115">
        <v>54.433323549419327</v>
      </c>
      <c r="J17" s="282"/>
    </row>
    <row r="18" spans="1:10" x14ac:dyDescent="0.25">
      <c r="A18" s="378" t="s">
        <v>128</v>
      </c>
      <c r="B18" s="114">
        <v>89928.699088099995</v>
      </c>
      <c r="C18" s="114">
        <v>56683.508489199994</v>
      </c>
      <c r="D18" s="114">
        <v>62136.333446199998</v>
      </c>
      <c r="E18" s="115">
        <v>9.6197731974176293</v>
      </c>
      <c r="F18" s="114">
        <v>307580.67237999983</v>
      </c>
      <c r="G18" s="114">
        <v>200043.87918999995</v>
      </c>
      <c r="H18" s="114">
        <v>217523.80707999988</v>
      </c>
      <c r="I18" s="115">
        <v>8.7380468529095339</v>
      </c>
      <c r="J18" s="282"/>
    </row>
    <row r="19" spans="1:10" x14ac:dyDescent="0.25">
      <c r="A19" s="378" t="s">
        <v>129</v>
      </c>
      <c r="B19" s="114">
        <v>29765.969417899996</v>
      </c>
      <c r="C19" s="114">
        <v>19057.208510299999</v>
      </c>
      <c r="D19" s="114">
        <v>20674.014703699999</v>
      </c>
      <c r="E19" s="115">
        <v>8.4839612922645671</v>
      </c>
      <c r="F19" s="114">
        <v>109599.36292999996</v>
      </c>
      <c r="G19" s="114">
        <v>70056.237740000011</v>
      </c>
      <c r="H19" s="114">
        <v>71735.908139999956</v>
      </c>
      <c r="I19" s="115">
        <v>2.3976029175784674</v>
      </c>
      <c r="J19" s="282"/>
    </row>
    <row r="20" spans="1:10" x14ac:dyDescent="0.25">
      <c r="A20" s="378" t="s">
        <v>130</v>
      </c>
      <c r="B20" s="114">
        <v>5541.857390000001</v>
      </c>
      <c r="C20" s="114">
        <v>3600.97858</v>
      </c>
      <c r="D20" s="114">
        <v>3536.453</v>
      </c>
      <c r="E20" s="115">
        <v>-1.7918901367083464</v>
      </c>
      <c r="F20" s="114">
        <v>18332.954099999999</v>
      </c>
      <c r="G20" s="114">
        <v>11954.483440000002</v>
      </c>
      <c r="H20" s="114">
        <v>11055.432540000002</v>
      </c>
      <c r="I20" s="115">
        <v>-7.5206168841369845</v>
      </c>
      <c r="J20" s="282"/>
    </row>
    <row r="21" spans="1:10" x14ac:dyDescent="0.25">
      <c r="A21" s="378" t="s">
        <v>131</v>
      </c>
      <c r="B21" s="114">
        <v>33680.635899599998</v>
      </c>
      <c r="C21" s="114">
        <v>21280.071179800001</v>
      </c>
      <c r="D21" s="114">
        <v>23589.943172700001</v>
      </c>
      <c r="E21" s="115">
        <v>10.854625312967144</v>
      </c>
      <c r="F21" s="114">
        <v>92213.346299999976</v>
      </c>
      <c r="G21" s="114">
        <v>59990.052770000002</v>
      </c>
      <c r="H21" s="114">
        <v>65279.738550000046</v>
      </c>
      <c r="I21" s="115">
        <v>8.8176048123853548</v>
      </c>
      <c r="J21" s="282"/>
    </row>
    <row r="22" spans="1:10" x14ac:dyDescent="0.25">
      <c r="A22" s="378" t="s">
        <v>132</v>
      </c>
      <c r="B22" s="114">
        <v>8809.4010934000016</v>
      </c>
      <c r="C22" s="114">
        <v>5790.3311918999998</v>
      </c>
      <c r="D22" s="114">
        <v>5868.0515147999995</v>
      </c>
      <c r="E22" s="115">
        <v>1.3422431347056829</v>
      </c>
      <c r="F22" s="114">
        <v>38786.56727</v>
      </c>
      <c r="G22" s="114">
        <v>25300.385690000003</v>
      </c>
      <c r="H22" s="114">
        <v>25978.873029999992</v>
      </c>
      <c r="I22" s="115">
        <v>2.68172726026134</v>
      </c>
      <c r="J22" s="282"/>
    </row>
    <row r="23" spans="1:10" x14ac:dyDescent="0.25">
      <c r="A23" s="378" t="s">
        <v>133</v>
      </c>
      <c r="B23" s="114">
        <v>7367.4041874999994</v>
      </c>
      <c r="C23" s="114">
        <v>4677.4100274999992</v>
      </c>
      <c r="D23" s="114">
        <v>4341.6216344999993</v>
      </c>
      <c r="E23" s="115">
        <v>-7.1789385798078769</v>
      </c>
      <c r="F23" s="114">
        <v>32601.680020000003</v>
      </c>
      <c r="G23" s="114">
        <v>20483.118870000006</v>
      </c>
      <c r="H23" s="114">
        <v>19358.429190000003</v>
      </c>
      <c r="I23" s="115">
        <v>-5.490812640096749</v>
      </c>
      <c r="J23" s="282"/>
    </row>
    <row r="24" spans="1:10" x14ac:dyDescent="0.25">
      <c r="A24" s="378" t="s">
        <v>134</v>
      </c>
      <c r="B24" s="114">
        <v>5914.7368203999995</v>
      </c>
      <c r="C24" s="114">
        <v>3648.8901204000003</v>
      </c>
      <c r="D24" s="114">
        <v>3844.5835167999999</v>
      </c>
      <c r="E24" s="115">
        <v>5.3630937063828839</v>
      </c>
      <c r="F24" s="114">
        <v>24743.181829999994</v>
      </c>
      <c r="G24" s="114">
        <v>15336.433829999998</v>
      </c>
      <c r="H24" s="114">
        <v>15134.863330000002</v>
      </c>
      <c r="I24" s="115">
        <v>-1.314324452700987</v>
      </c>
      <c r="J24" s="282"/>
    </row>
    <row r="25" spans="1:10" x14ac:dyDescent="0.25">
      <c r="A25" s="378" t="s">
        <v>135</v>
      </c>
      <c r="B25" s="114">
        <v>133524.42953909998</v>
      </c>
      <c r="C25" s="114">
        <v>90592.739439099998</v>
      </c>
      <c r="D25" s="114">
        <v>86902.020338900009</v>
      </c>
      <c r="E25" s="115">
        <v>-4.0739678731991944</v>
      </c>
      <c r="F25" s="114">
        <v>486324.1176499998</v>
      </c>
      <c r="G25" s="114">
        <v>331363.48167000001</v>
      </c>
      <c r="H25" s="114">
        <v>308270.08610999992</v>
      </c>
      <c r="I25" s="115">
        <v>-6.9692035596724082</v>
      </c>
      <c r="J25" s="282"/>
    </row>
    <row r="26" spans="1:10" x14ac:dyDescent="0.25">
      <c r="A26" s="113" t="s">
        <v>136</v>
      </c>
      <c r="B26" s="114">
        <v>11518.521199599998</v>
      </c>
      <c r="C26" s="114">
        <v>7457.5868870999993</v>
      </c>
      <c r="D26" s="114">
        <v>8956.5139600000002</v>
      </c>
      <c r="E26" s="115">
        <v>20.099357816304078</v>
      </c>
      <c r="F26" s="114">
        <v>31041.047709999992</v>
      </c>
      <c r="G26" s="114">
        <v>20724.691719999999</v>
      </c>
      <c r="H26" s="114">
        <v>24222.170419999995</v>
      </c>
      <c r="I26" s="115">
        <v>16.875902171441311</v>
      </c>
      <c r="J26" s="279"/>
    </row>
    <row r="27" spans="1:10" x14ac:dyDescent="0.25">
      <c r="A27" s="413"/>
      <c r="B27" s="414"/>
      <c r="C27" s="414"/>
      <c r="D27" s="414"/>
      <c r="E27" s="414"/>
      <c r="F27" s="414"/>
      <c r="G27" s="414"/>
      <c r="H27" s="414"/>
      <c r="I27" s="415"/>
      <c r="J27" s="281"/>
    </row>
    <row r="28" spans="1:10" x14ac:dyDescent="0.25">
      <c r="A28" s="159" t="s">
        <v>137</v>
      </c>
      <c r="B28" s="160">
        <v>65120.173073700011</v>
      </c>
      <c r="C28" s="160">
        <v>42881.014633700004</v>
      </c>
      <c r="D28" s="160">
        <v>42710.326977500001</v>
      </c>
      <c r="E28" s="161">
        <v>-0.39804948100706383</v>
      </c>
      <c r="F28" s="160">
        <v>144889.24590999994</v>
      </c>
      <c r="G28" s="160">
        <v>94289.706810000003</v>
      </c>
      <c r="H28" s="160">
        <v>94203.22782</v>
      </c>
      <c r="I28" s="161">
        <v>-9.1716257188352301E-2</v>
      </c>
      <c r="J28" s="282"/>
    </row>
    <row r="29" spans="1:10" x14ac:dyDescent="0.25">
      <c r="A29" s="113" t="s">
        <v>138</v>
      </c>
      <c r="B29" s="114">
        <v>21014.181499999999</v>
      </c>
      <c r="C29" s="114">
        <v>14673.157499999999</v>
      </c>
      <c r="D29" s="114">
        <v>12577.168750000001</v>
      </c>
      <c r="E29" s="115">
        <v>-14.284510678768342</v>
      </c>
      <c r="F29" s="114">
        <v>40270.92482</v>
      </c>
      <c r="G29" s="114">
        <v>28215.084930000008</v>
      </c>
      <c r="H29" s="114">
        <v>23348.535790000002</v>
      </c>
      <c r="I29" s="115">
        <v>-17.248040018570322</v>
      </c>
      <c r="J29" s="282"/>
    </row>
    <row r="30" spans="1:10" x14ac:dyDescent="0.25">
      <c r="A30" s="113" t="s">
        <v>139</v>
      </c>
      <c r="B30" s="114">
        <v>39216.195233700011</v>
      </c>
      <c r="C30" s="114">
        <v>24954.828133700004</v>
      </c>
      <c r="D30" s="114">
        <v>27298.306872100002</v>
      </c>
      <c r="E30" s="115">
        <v>9.3908831022373249</v>
      </c>
      <c r="F30" s="114">
        <v>86374.09587999995</v>
      </c>
      <c r="G30" s="114">
        <v>54204.040909999996</v>
      </c>
      <c r="H30" s="114">
        <v>60087.417459999982</v>
      </c>
      <c r="I30" s="115">
        <v>10.854129048734023</v>
      </c>
      <c r="J30" s="282"/>
    </row>
    <row r="31" spans="1:10" x14ac:dyDescent="0.25">
      <c r="A31" s="113" t="s">
        <v>140</v>
      </c>
      <c r="B31" s="114">
        <v>1305.3400799999999</v>
      </c>
      <c r="C31" s="114">
        <v>1044.6690000000001</v>
      </c>
      <c r="D31" s="114">
        <v>612.473928</v>
      </c>
      <c r="E31" s="115">
        <v>-41.371484364904099</v>
      </c>
      <c r="F31" s="114">
        <v>3761.8187500000004</v>
      </c>
      <c r="G31" s="114">
        <v>2884.7497499999999</v>
      </c>
      <c r="H31" s="114">
        <v>1939.0827200000001</v>
      </c>
      <c r="I31" s="115">
        <v>-32.781596739890517</v>
      </c>
      <c r="J31" s="282"/>
    </row>
    <row r="32" spans="1:10" x14ac:dyDescent="0.25">
      <c r="A32" s="113" t="s">
        <v>141</v>
      </c>
      <c r="B32" s="114">
        <v>3584.4562599999999</v>
      </c>
      <c r="C32" s="114">
        <v>2208.36</v>
      </c>
      <c r="D32" s="114">
        <v>2222.3774274000002</v>
      </c>
      <c r="E32" s="115">
        <v>0.63474376460359849</v>
      </c>
      <c r="F32" s="114">
        <v>14482.406459999995</v>
      </c>
      <c r="G32" s="114">
        <v>8985.8312199999964</v>
      </c>
      <c r="H32" s="114">
        <v>8828.1918499999992</v>
      </c>
      <c r="I32" s="115">
        <v>-1.7543103819837427</v>
      </c>
      <c r="J32" s="279"/>
    </row>
    <row r="33" spans="1:10" x14ac:dyDescent="0.25">
      <c r="A33" s="413"/>
      <c r="B33" s="414"/>
      <c r="C33" s="414"/>
      <c r="D33" s="414"/>
      <c r="E33" s="414"/>
      <c r="F33" s="414"/>
      <c r="G33" s="414"/>
      <c r="H33" s="414"/>
      <c r="I33" s="415"/>
      <c r="J33" s="281"/>
    </row>
    <row r="34" spans="1:10" x14ac:dyDescent="0.25">
      <c r="A34" s="159" t="s">
        <v>61</v>
      </c>
      <c r="B34" s="160">
        <v>353037.93121770001</v>
      </c>
      <c r="C34" s="160">
        <v>225680.91521770001</v>
      </c>
      <c r="D34" s="160">
        <v>232291.05408</v>
      </c>
      <c r="E34" s="161">
        <v>2.9289755653124701</v>
      </c>
      <c r="F34" s="160">
        <v>308876.59557</v>
      </c>
      <c r="G34" s="160">
        <v>198138.30401999998</v>
      </c>
      <c r="H34" s="160">
        <v>217813.22203999999</v>
      </c>
      <c r="I34" s="161">
        <v>9.9298912026692534</v>
      </c>
      <c r="J34" s="284"/>
    </row>
    <row r="35" spans="1:10" x14ac:dyDescent="0.25">
      <c r="A35" s="413"/>
      <c r="B35" s="414"/>
      <c r="C35" s="414"/>
      <c r="D35" s="414"/>
      <c r="E35" s="414"/>
      <c r="F35" s="414"/>
      <c r="G35" s="414"/>
      <c r="H35" s="414"/>
      <c r="I35" s="415"/>
      <c r="J35" s="281"/>
    </row>
    <row r="36" spans="1:10" x14ac:dyDescent="0.25">
      <c r="A36" s="159" t="s">
        <v>142</v>
      </c>
      <c r="B36" s="160">
        <v>14897.0858094</v>
      </c>
      <c r="C36" s="160">
        <v>8658.5923494000017</v>
      </c>
      <c r="D36" s="160">
        <v>11235.956834799999</v>
      </c>
      <c r="E36" s="161">
        <v>29.766553053841335</v>
      </c>
      <c r="F36" s="160">
        <v>15205.810460000002</v>
      </c>
      <c r="G36" s="160">
        <v>9827.5446200000006</v>
      </c>
      <c r="H36" s="160">
        <v>14238.491409999999</v>
      </c>
      <c r="I36" s="161">
        <v>44.88350814529295</v>
      </c>
      <c r="J36" s="282"/>
    </row>
    <row r="37" spans="1:10" x14ac:dyDescent="0.25">
      <c r="A37" s="113" t="s">
        <v>143</v>
      </c>
      <c r="B37" s="114">
        <v>641.80185940000001</v>
      </c>
      <c r="C37" s="114">
        <v>359.38779940000006</v>
      </c>
      <c r="D37" s="114">
        <v>3173.3538967</v>
      </c>
      <c r="E37" s="115">
        <v>782.9887664517081</v>
      </c>
      <c r="F37" s="114">
        <v>1508.65894</v>
      </c>
      <c r="G37" s="114">
        <v>545.61305000000004</v>
      </c>
      <c r="H37" s="114">
        <v>3959.3279499999999</v>
      </c>
      <c r="I37" s="115">
        <v>625.66591836467239</v>
      </c>
      <c r="J37" s="282"/>
    </row>
    <row r="38" spans="1:10" x14ac:dyDescent="0.25">
      <c r="A38" s="113" t="s">
        <v>144</v>
      </c>
      <c r="B38" s="114">
        <v>423.86137000000002</v>
      </c>
      <c r="C38" s="114">
        <v>292.60724000000005</v>
      </c>
      <c r="D38" s="114">
        <v>752.0328199999999</v>
      </c>
      <c r="E38" s="115">
        <v>157.01100902356336</v>
      </c>
      <c r="F38" s="114">
        <v>2762.58682</v>
      </c>
      <c r="G38" s="114">
        <v>1823.6913599999998</v>
      </c>
      <c r="H38" s="114">
        <v>4182.7522300000001</v>
      </c>
      <c r="I38" s="115">
        <v>129.35636598069974</v>
      </c>
      <c r="J38" s="282"/>
    </row>
    <row r="39" spans="1:10" x14ac:dyDescent="0.25">
      <c r="A39" s="113" t="s">
        <v>145</v>
      </c>
      <c r="B39" s="114">
        <v>13831.422579999999</v>
      </c>
      <c r="C39" s="114">
        <v>8006.597310000001</v>
      </c>
      <c r="D39" s="114">
        <v>7310.5701181000004</v>
      </c>
      <c r="E39" s="115">
        <v>-8.6931709557902082</v>
      </c>
      <c r="F39" s="114">
        <v>10934.564700000003</v>
      </c>
      <c r="G39" s="114">
        <v>7458.2402099999999</v>
      </c>
      <c r="H39" s="114">
        <v>6096.4112299999988</v>
      </c>
      <c r="I39" s="115">
        <v>-18.259387491623855</v>
      </c>
      <c r="J39" s="285"/>
    </row>
    <row r="40" spans="1:10" x14ac:dyDescent="0.25">
      <c r="A40" s="413"/>
      <c r="B40" s="414"/>
      <c r="C40" s="414"/>
      <c r="D40" s="414"/>
      <c r="E40" s="414"/>
      <c r="F40" s="414"/>
      <c r="G40" s="414"/>
      <c r="H40" s="414"/>
      <c r="I40" s="415"/>
      <c r="J40" s="286"/>
    </row>
    <row r="41" spans="1:10" x14ac:dyDescent="0.25">
      <c r="A41" s="411" t="s">
        <v>146</v>
      </c>
      <c r="B41" s="411"/>
      <c r="C41" s="411"/>
      <c r="D41" s="411"/>
      <c r="E41" s="411"/>
      <c r="F41" s="411"/>
      <c r="G41" s="411"/>
      <c r="H41" s="411"/>
      <c r="I41" s="411"/>
      <c r="J41" s="286"/>
    </row>
    <row r="42" spans="1:10" x14ac:dyDescent="0.25">
      <c r="A42" s="411" t="s">
        <v>147</v>
      </c>
      <c r="B42" s="411"/>
      <c r="C42" s="411"/>
      <c r="D42" s="411"/>
      <c r="E42" s="411"/>
      <c r="F42" s="411"/>
      <c r="G42" s="411"/>
      <c r="H42" s="411"/>
      <c r="I42" s="411"/>
    </row>
  </sheetData>
  <mergeCells count="16">
    <mergeCell ref="A41:I41"/>
    <mergeCell ref="A42:I42"/>
    <mergeCell ref="A1:I1"/>
    <mergeCell ref="A5:I5"/>
    <mergeCell ref="A7:I7"/>
    <mergeCell ref="A27:I27"/>
    <mergeCell ref="A33:I33"/>
    <mergeCell ref="B2:E2"/>
    <mergeCell ref="F2:I2"/>
    <mergeCell ref="A3:A4"/>
    <mergeCell ref="B3:B4"/>
    <mergeCell ref="C3:E3"/>
    <mergeCell ref="F3:F4"/>
    <mergeCell ref="G3:I3"/>
    <mergeCell ref="A35:I35"/>
    <mergeCell ref="A40:I40"/>
  </mergeCells>
  <phoneticPr fontId="59" type="noConversion"/>
  <pageMargins left="0.98425196850393704" right="0.98425196850393704" top="0.98425196850393704" bottom="0.98425196850393704" header="0.51181102362204722" footer="0.51181102362204722"/>
  <pageSetup scale="8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X1:AO32"/>
  <sheetViews>
    <sheetView zoomScaleNormal="100" workbookViewId="0"/>
  </sheetViews>
  <sheetFormatPr baseColWidth="10" defaultColWidth="11.42578125" defaultRowHeight="15" x14ac:dyDescent="0.25"/>
  <cols>
    <col min="8" max="23" width="6" customWidth="1"/>
    <col min="24" max="24" width="6" style="13" customWidth="1"/>
    <col min="25" max="25" width="5.42578125" style="13" bestFit="1" customWidth="1"/>
    <col min="26" max="30" width="6.140625" style="13" bestFit="1" customWidth="1"/>
    <col min="31" max="31" width="5.42578125" style="13" bestFit="1" customWidth="1"/>
    <col min="32" max="34" width="6.42578125" style="13" bestFit="1" customWidth="1"/>
    <col min="35" max="36" width="6.140625" style="13" bestFit="1" customWidth="1"/>
    <col min="37" max="37" width="6.42578125" style="13" bestFit="1" customWidth="1"/>
    <col min="39" max="41" width="12" bestFit="1" customWidth="1"/>
  </cols>
  <sheetData>
    <row r="1" spans="24:41" x14ac:dyDescent="0.25">
      <c r="X1" s="36"/>
      <c r="Y1" s="36"/>
      <c r="Z1" s="36" t="s">
        <v>170</v>
      </c>
      <c r="AA1" s="36" t="s">
        <v>171</v>
      </c>
      <c r="AB1" s="36" t="s">
        <v>172</v>
      </c>
      <c r="AC1" s="36" t="s">
        <v>173</v>
      </c>
      <c r="AD1" s="36" t="s">
        <v>174</v>
      </c>
      <c r="AE1" s="36" t="s">
        <v>175</v>
      </c>
      <c r="AF1" s="36" t="s">
        <v>176</v>
      </c>
      <c r="AG1" s="36" t="s">
        <v>177</v>
      </c>
      <c r="AH1" s="36" t="s">
        <v>178</v>
      </c>
      <c r="AI1" s="36" t="s">
        <v>179</v>
      </c>
      <c r="AJ1" s="36" t="s">
        <v>180</v>
      </c>
      <c r="AK1" s="36" t="s">
        <v>181</v>
      </c>
    </row>
    <row r="2" spans="24:41" x14ac:dyDescent="0.25">
      <c r="X2" s="36" t="s">
        <v>182</v>
      </c>
      <c r="Y2" s="36">
        <v>2015</v>
      </c>
      <c r="Z2" s="37">
        <v>34.904873070000001</v>
      </c>
      <c r="AA2" s="37">
        <v>25.382726150000014</v>
      </c>
      <c r="AB2" s="38">
        <v>29.098884030000015</v>
      </c>
      <c r="AC2" s="38">
        <v>37.928668630000033</v>
      </c>
      <c r="AD2" s="38">
        <v>32.560458390000015</v>
      </c>
      <c r="AE2" s="38">
        <v>37.245211599999998</v>
      </c>
      <c r="AF2" s="38">
        <v>46.664839749999999</v>
      </c>
      <c r="AG2" s="38">
        <v>38.240639300000012</v>
      </c>
      <c r="AH2" s="38">
        <v>38.339363470000031</v>
      </c>
      <c r="AI2" s="38">
        <v>42.346817799999997</v>
      </c>
      <c r="AJ2" s="38">
        <v>38.895984280000015</v>
      </c>
      <c r="AK2" s="38">
        <v>36.147308560000042</v>
      </c>
      <c r="AM2" s="31"/>
      <c r="AN2" s="31"/>
      <c r="AO2" s="31"/>
    </row>
    <row r="3" spans="24:41" x14ac:dyDescent="0.25">
      <c r="X3" s="36" t="s">
        <v>182</v>
      </c>
      <c r="Y3" s="36">
        <v>2016</v>
      </c>
      <c r="Z3" s="38">
        <v>34.801410075999996</v>
      </c>
      <c r="AA3" s="38">
        <v>26.140552266</v>
      </c>
      <c r="AB3" s="38">
        <v>32.888241957699996</v>
      </c>
      <c r="AC3" s="38">
        <v>35.9801589534</v>
      </c>
      <c r="AD3" s="38">
        <v>42.5120744305</v>
      </c>
      <c r="AE3" s="38">
        <v>38.111397738200004</v>
      </c>
      <c r="AF3" s="38">
        <v>42.937277578</v>
      </c>
      <c r="AG3" s="38">
        <v>41.387071516999995</v>
      </c>
      <c r="AH3" s="38">
        <v>37.850101860000002</v>
      </c>
      <c r="AI3" s="38">
        <v>39.7293095725</v>
      </c>
      <c r="AJ3" s="38">
        <v>41.125384937999996</v>
      </c>
      <c r="AK3" s="38">
        <v>37.6041943492</v>
      </c>
      <c r="AM3" s="165"/>
      <c r="AN3" s="165"/>
      <c r="AO3" s="165"/>
    </row>
    <row r="4" spans="24:41" x14ac:dyDescent="0.25">
      <c r="X4" s="36" t="s">
        <v>182</v>
      </c>
      <c r="Y4" s="36">
        <v>2017</v>
      </c>
      <c r="Z4" s="38">
        <v>41.430986299999994</v>
      </c>
      <c r="AA4" s="38">
        <v>26.5902872572</v>
      </c>
      <c r="AB4" s="38">
        <v>34.837152175999996</v>
      </c>
      <c r="AC4" s="38">
        <v>34.6453459401</v>
      </c>
      <c r="AD4" s="38">
        <v>44.328769652000005</v>
      </c>
      <c r="AE4" s="38">
        <v>37.6972178141</v>
      </c>
      <c r="AF4" s="38">
        <v>44.722713240000004</v>
      </c>
      <c r="AG4" s="38">
        <v>45.201829379000003</v>
      </c>
      <c r="AH4" s="38">
        <v>39.950192773999994</v>
      </c>
      <c r="AI4" s="38">
        <v>45.723674291000002</v>
      </c>
      <c r="AJ4" s="38">
        <v>45.345576005300003</v>
      </c>
      <c r="AK4" s="38">
        <v>36.719468314000004</v>
      </c>
      <c r="AM4" s="165"/>
      <c r="AN4" s="165"/>
      <c r="AO4" s="165"/>
    </row>
    <row r="5" spans="24:41" x14ac:dyDescent="0.25">
      <c r="X5" s="36" t="s">
        <v>182</v>
      </c>
      <c r="Y5" s="36">
        <v>2018</v>
      </c>
      <c r="Z5" s="38">
        <v>41.037711785999996</v>
      </c>
      <c r="AA5" s="38">
        <v>28.094427338199999</v>
      </c>
      <c r="AB5" s="38">
        <v>32.963878584299998</v>
      </c>
      <c r="AC5" s="38">
        <v>35.862025062299999</v>
      </c>
      <c r="AD5" s="38">
        <v>38.360108749700004</v>
      </c>
      <c r="AE5" s="38">
        <v>37.873266823999998</v>
      </c>
      <c r="AF5" s="38">
        <v>42.167649539099997</v>
      </c>
      <c r="AG5" s="38">
        <v>46.494701373700003</v>
      </c>
      <c r="AH5" s="38">
        <v>29.001395629999998</v>
      </c>
      <c r="AI5" s="38">
        <v>46.059151196000002</v>
      </c>
      <c r="AJ5" s="38">
        <v>43.903375814</v>
      </c>
      <c r="AK5" s="32">
        <v>34.816315384000006</v>
      </c>
      <c r="AM5" s="242"/>
      <c r="AN5" s="242"/>
      <c r="AO5" s="242"/>
    </row>
    <row r="6" spans="24:41" x14ac:dyDescent="0.25">
      <c r="X6" s="36" t="s">
        <v>182</v>
      </c>
      <c r="Y6" s="36">
        <v>2019</v>
      </c>
      <c r="Z6" s="38">
        <v>42.095000903099994</v>
      </c>
      <c r="AA6" s="38">
        <v>25.172279372000009</v>
      </c>
      <c r="AB6" s="38">
        <v>33.305171635999997</v>
      </c>
      <c r="AC6" s="38">
        <v>36.379859439000008</v>
      </c>
      <c r="AD6" s="38">
        <v>43.185207500299995</v>
      </c>
      <c r="AE6" s="38">
        <v>35.531951164600002</v>
      </c>
      <c r="AF6" s="38">
        <v>41.567747095199991</v>
      </c>
      <c r="AG6" s="38">
        <v>40.428672739999968</v>
      </c>
      <c r="AH6" s="38">
        <v>35.232458317999999</v>
      </c>
      <c r="AI6" s="38">
        <v>38.682632199999993</v>
      </c>
      <c r="AJ6" s="38">
        <v>35.877963109999996</v>
      </c>
      <c r="AK6" s="32">
        <v>36.541598913000001</v>
      </c>
      <c r="AM6" s="165"/>
      <c r="AN6" s="165"/>
      <c r="AO6" s="165"/>
    </row>
    <row r="7" spans="24:41" s="31" customFormat="1" x14ac:dyDescent="0.25">
      <c r="X7" s="36" t="s">
        <v>182</v>
      </c>
      <c r="Y7" s="36">
        <v>2020</v>
      </c>
      <c r="Z7" s="38">
        <v>46.286531138999983</v>
      </c>
      <c r="AA7" s="38">
        <v>27.059052421999997</v>
      </c>
      <c r="AB7" s="38">
        <v>30.9734761721</v>
      </c>
      <c r="AC7" s="38">
        <v>31.315166036000008</v>
      </c>
      <c r="AD7" s="38">
        <v>35.299459751999997</v>
      </c>
      <c r="AE7" s="38">
        <v>36.857106589000004</v>
      </c>
      <c r="AF7" s="38">
        <v>40.307092363999999</v>
      </c>
      <c r="AG7" s="38">
        <v>45.896043757999983</v>
      </c>
      <c r="AH7" s="38">
        <v>42.198566559999996</v>
      </c>
      <c r="AI7" s="38">
        <v>38.572012273300004</v>
      </c>
      <c r="AJ7" s="38">
        <v>40.995729459800003</v>
      </c>
      <c r="AK7" s="32">
        <v>30.132281592100004</v>
      </c>
      <c r="AM7" s="243"/>
      <c r="AN7" s="165"/>
      <c r="AO7" s="165"/>
    </row>
    <row r="8" spans="24:41" x14ac:dyDescent="0.25">
      <c r="X8" s="36" t="s">
        <v>182</v>
      </c>
      <c r="Y8" s="36">
        <v>2021</v>
      </c>
      <c r="Z8" s="38">
        <v>36.188217527999988</v>
      </c>
      <c r="AA8" s="38">
        <v>26.500213594000002</v>
      </c>
      <c r="AB8" s="38">
        <v>33.510164059999994</v>
      </c>
      <c r="AC8" s="38">
        <v>40.647690953200005</v>
      </c>
      <c r="AD8" s="38">
        <v>40.901139038300002</v>
      </c>
      <c r="AE8" s="38">
        <v>38.234656273999995</v>
      </c>
      <c r="AF8" s="38">
        <v>36.475415379999987</v>
      </c>
      <c r="AG8" s="38">
        <v>37.119260229999988</v>
      </c>
      <c r="AH8" s="38">
        <v>35.46951836689999</v>
      </c>
      <c r="AI8" s="38">
        <v>38.228549748399992</v>
      </c>
      <c r="AJ8" s="166">
        <v>42.417588961999989</v>
      </c>
      <c r="AK8" s="32">
        <v>42.492720380199991</v>
      </c>
      <c r="AM8" s="221"/>
      <c r="AN8" s="221"/>
      <c r="AO8" s="166"/>
    </row>
    <row r="9" spans="24:41" x14ac:dyDescent="0.25">
      <c r="X9" s="36" t="s">
        <v>182</v>
      </c>
      <c r="Y9" s="36">
        <v>2022</v>
      </c>
      <c r="Z9" s="38">
        <v>34.224779176200002</v>
      </c>
      <c r="AA9" s="38">
        <v>26.722582182199993</v>
      </c>
      <c r="AB9" s="38">
        <v>35.306282281999998</v>
      </c>
      <c r="AC9" s="38">
        <v>33.124814929999999</v>
      </c>
      <c r="AD9" s="38">
        <v>41.7</v>
      </c>
      <c r="AE9" s="38">
        <v>47.4</v>
      </c>
      <c r="AF9" s="38">
        <v>43</v>
      </c>
      <c r="AG9" s="38">
        <v>46.7</v>
      </c>
      <c r="AH9" s="38"/>
      <c r="AI9" s="38"/>
      <c r="AJ9" s="166"/>
      <c r="AK9" s="32"/>
      <c r="AM9" s="221"/>
      <c r="AN9" s="221"/>
      <c r="AO9" s="166"/>
    </row>
    <row r="10" spans="24:41" x14ac:dyDescent="0.25">
      <c r="AM10" s="166"/>
    </row>
    <row r="11" spans="24:41" x14ac:dyDescent="0.25">
      <c r="X11" s="36" t="s">
        <v>94</v>
      </c>
      <c r="Y11" s="36">
        <v>2015</v>
      </c>
      <c r="Z11" s="37">
        <v>123.25140430999902</v>
      </c>
      <c r="AA11" s="37">
        <v>83.256938870000084</v>
      </c>
      <c r="AB11" s="38">
        <v>97.751259049999589</v>
      </c>
      <c r="AC11" s="38">
        <v>120.0889139099995</v>
      </c>
      <c r="AD11" s="38">
        <v>106.12081145999993</v>
      </c>
      <c r="AE11" s="38">
        <v>118.89505177999959</v>
      </c>
      <c r="AF11" s="38">
        <v>152.47313661999991</v>
      </c>
      <c r="AG11" s="38">
        <v>121.47650334999949</v>
      </c>
      <c r="AH11" s="38">
        <v>142.14494153999883</v>
      </c>
      <c r="AI11" s="38">
        <v>137.05217028999925</v>
      </c>
      <c r="AJ11" s="38">
        <v>124.26419888999962</v>
      </c>
      <c r="AK11" s="38">
        <v>116.6003042199997</v>
      </c>
      <c r="AM11" s="166"/>
    </row>
    <row r="12" spans="24:41" x14ac:dyDescent="0.25">
      <c r="X12" s="36" t="s">
        <v>94</v>
      </c>
      <c r="Y12" s="36">
        <v>2016</v>
      </c>
      <c r="Z12" s="38">
        <v>112.48470791</v>
      </c>
      <c r="AA12" s="38">
        <v>79.543988720000002</v>
      </c>
      <c r="AB12" s="38">
        <v>102.96589181</v>
      </c>
      <c r="AC12" s="38">
        <v>112.81199322000001</v>
      </c>
      <c r="AD12" s="38">
        <v>134.05393566999987</v>
      </c>
      <c r="AE12" s="38">
        <v>117.32233557000002</v>
      </c>
      <c r="AF12" s="38">
        <v>137.58070494000023</v>
      </c>
      <c r="AG12" s="38">
        <v>134.1769355600002</v>
      </c>
      <c r="AH12" s="38">
        <v>118.92014871000011</v>
      </c>
      <c r="AI12" s="38">
        <v>125.01281818999996</v>
      </c>
      <c r="AJ12" s="38">
        <v>130.12666156000009</v>
      </c>
      <c r="AK12" s="38">
        <v>122.48152439999986</v>
      </c>
    </row>
    <row r="13" spans="24:41" x14ac:dyDescent="0.25">
      <c r="X13" s="36" t="s">
        <v>94</v>
      </c>
      <c r="Y13" s="36">
        <v>2017</v>
      </c>
      <c r="Z13" s="38">
        <v>129.07611224999999</v>
      </c>
      <c r="AA13" s="38">
        <v>86.463323619999969</v>
      </c>
      <c r="AB13" s="38">
        <v>109.21013975000001</v>
      </c>
      <c r="AC13" s="38">
        <v>104.72312508</v>
      </c>
      <c r="AD13" s="38">
        <v>134.77716662</v>
      </c>
      <c r="AE13" s="38">
        <v>115.48450059999999</v>
      </c>
      <c r="AF13" s="38">
        <v>145.91260536000001</v>
      </c>
      <c r="AG13" s="38">
        <v>151.76711933999999</v>
      </c>
      <c r="AH13" s="38">
        <v>127.22659048999999</v>
      </c>
      <c r="AI13" s="38">
        <v>149.92767350999998</v>
      </c>
      <c r="AJ13" s="38">
        <v>148.21174729000001</v>
      </c>
      <c r="AK13" s="38">
        <v>117.457036</v>
      </c>
    </row>
    <row r="14" spans="24:41" x14ac:dyDescent="0.25">
      <c r="X14" s="36" t="s">
        <v>94</v>
      </c>
      <c r="Y14" s="36">
        <v>2018</v>
      </c>
      <c r="Z14" s="38">
        <v>135.10198268000002</v>
      </c>
      <c r="AA14" s="38">
        <v>96.207256610000002</v>
      </c>
      <c r="AB14" s="38">
        <v>110.57148223999999</v>
      </c>
      <c r="AC14" s="38">
        <v>119.68703724</v>
      </c>
      <c r="AD14" s="38">
        <v>125.61629812999999</v>
      </c>
      <c r="AE14" s="38">
        <v>121.42985643999999</v>
      </c>
      <c r="AF14" s="38">
        <v>144.56778700999999</v>
      </c>
      <c r="AG14" s="38">
        <v>162.99841541999999</v>
      </c>
      <c r="AH14" s="38">
        <v>92.92487281999999</v>
      </c>
      <c r="AI14" s="38">
        <v>147.9696802</v>
      </c>
      <c r="AJ14" s="38">
        <v>138.99379403999998</v>
      </c>
      <c r="AK14" s="32">
        <v>111.87502506</v>
      </c>
    </row>
    <row r="15" spans="24:41" x14ac:dyDescent="0.25">
      <c r="X15" s="36" t="s">
        <v>94</v>
      </c>
      <c r="Y15" s="36">
        <v>2019</v>
      </c>
      <c r="Z15" s="38">
        <v>137.17319391000007</v>
      </c>
      <c r="AA15" s="38">
        <v>80.893906529999995</v>
      </c>
      <c r="AB15" s="38">
        <v>106.44436442</v>
      </c>
      <c r="AC15" s="38">
        <v>118.04222776</v>
      </c>
      <c r="AD15" s="38">
        <v>139.47221017999993</v>
      </c>
      <c r="AE15" s="38">
        <v>120.06454914999992</v>
      </c>
      <c r="AF15" s="38">
        <v>147.54996655000011</v>
      </c>
      <c r="AG15" s="38">
        <v>134.10636505000002</v>
      </c>
      <c r="AH15" s="38">
        <v>106.82647494000004</v>
      </c>
      <c r="AI15" s="38">
        <v>119.44239338999996</v>
      </c>
      <c r="AJ15" s="38">
        <v>113.06739105999986</v>
      </c>
      <c r="AK15" s="32">
        <v>121.95716122999993</v>
      </c>
    </row>
    <row r="16" spans="24:41" x14ac:dyDescent="0.25">
      <c r="X16" s="36" t="s">
        <v>94</v>
      </c>
      <c r="Y16" s="36">
        <v>2020</v>
      </c>
      <c r="Z16" s="38">
        <v>148.84024203999996</v>
      </c>
      <c r="AA16" s="38">
        <v>86.149106549999928</v>
      </c>
      <c r="AB16" s="38">
        <v>92.933572240000117</v>
      </c>
      <c r="AC16" s="38">
        <v>92.610893879999978</v>
      </c>
      <c r="AD16" s="38">
        <v>109.11765342999988</v>
      </c>
      <c r="AE16" s="38">
        <v>109.38166709000014</v>
      </c>
      <c r="AF16" s="38">
        <v>129.75182523000004</v>
      </c>
      <c r="AG16" s="38">
        <v>151.1459449100002</v>
      </c>
      <c r="AH16" s="38">
        <v>129.85000419000002</v>
      </c>
      <c r="AI16" s="38">
        <v>121.01523300999997</v>
      </c>
      <c r="AJ16" s="38">
        <v>130.92315162000003</v>
      </c>
      <c r="AK16" s="32">
        <v>92.176386789999839</v>
      </c>
      <c r="AM16" s="166"/>
      <c r="AN16" s="166"/>
      <c r="AO16" s="166"/>
    </row>
    <row r="17" spans="24:37" x14ac:dyDescent="0.25">
      <c r="X17" s="36" t="s">
        <v>94</v>
      </c>
      <c r="Y17" s="36">
        <v>2021</v>
      </c>
      <c r="Z17" s="38">
        <v>123.96358521999989</v>
      </c>
      <c r="AA17" s="38">
        <v>88.567648300000201</v>
      </c>
      <c r="AB17" s="38">
        <v>113.43742796000001</v>
      </c>
      <c r="AC17" s="38">
        <v>131.79903696999986</v>
      </c>
      <c r="AD17" s="38">
        <v>135.01716335999981</v>
      </c>
      <c r="AE17" s="37">
        <v>135.89779417999998</v>
      </c>
      <c r="AF17" s="37">
        <v>128.20914245999992</v>
      </c>
      <c r="AG17" s="37">
        <v>128.69093210999992</v>
      </c>
      <c r="AH17" s="37">
        <v>124.00225447999995</v>
      </c>
      <c r="AI17" s="37">
        <v>122.74885842000009</v>
      </c>
      <c r="AJ17" s="37">
        <v>134.15769622999989</v>
      </c>
      <c r="AK17" s="244">
        <v>139.06249076000003</v>
      </c>
    </row>
    <row r="18" spans="24:37" x14ac:dyDescent="0.25">
      <c r="X18" s="36" t="s">
        <v>94</v>
      </c>
      <c r="Y18" s="36">
        <v>2022</v>
      </c>
      <c r="Z18" s="38">
        <v>111.82768072000005</v>
      </c>
      <c r="AA18" s="221">
        <v>90.314870030000179</v>
      </c>
      <c r="AB18" s="38">
        <v>117.75252244999993</v>
      </c>
      <c r="AC18" s="38">
        <v>109.84345035000007</v>
      </c>
      <c r="AD18" s="38">
        <v>136.7422603499997</v>
      </c>
      <c r="AE18" s="244">
        <v>158.75417174</v>
      </c>
      <c r="AF18" s="244">
        <v>137.9</v>
      </c>
      <c r="AG18" s="244">
        <v>152.1</v>
      </c>
      <c r="AH18" s="244"/>
      <c r="AI18" s="244"/>
      <c r="AJ18" s="244"/>
      <c r="AK18" s="244"/>
    </row>
    <row r="20" spans="24:37" x14ac:dyDescent="0.25">
      <c r="X20" s="36" t="s">
        <v>183</v>
      </c>
      <c r="Y20" s="36"/>
      <c r="AA20" s="36"/>
      <c r="AB20" s="36"/>
      <c r="AC20" s="36"/>
      <c r="AD20" s="36"/>
      <c r="AE20" s="36"/>
      <c r="AF20" s="36"/>
      <c r="AG20" s="36"/>
      <c r="AH20" s="36"/>
      <c r="AI20" s="37"/>
      <c r="AJ20" s="37"/>
      <c r="AK20" s="36"/>
    </row>
    <row r="21" spans="24:37" s="31" customFormat="1" x14ac:dyDescent="0.25">
      <c r="X21" s="37"/>
      <c r="Y21" s="36"/>
      <c r="Z21" s="36" t="s">
        <v>170</v>
      </c>
      <c r="AA21" s="36" t="s">
        <v>171</v>
      </c>
      <c r="AB21" s="36" t="s">
        <v>172</v>
      </c>
      <c r="AC21" s="36" t="s">
        <v>173</v>
      </c>
      <c r="AD21" s="36" t="s">
        <v>174</v>
      </c>
      <c r="AE21" s="36" t="s">
        <v>175</v>
      </c>
      <c r="AF21" s="36" t="s">
        <v>176</v>
      </c>
      <c r="AG21" s="36" t="s">
        <v>177</v>
      </c>
      <c r="AH21" s="36" t="s">
        <v>178</v>
      </c>
      <c r="AI21" s="36" t="s">
        <v>179</v>
      </c>
      <c r="AJ21" s="36" t="s">
        <v>180</v>
      </c>
      <c r="AK21" s="36" t="s">
        <v>181</v>
      </c>
    </row>
    <row r="22" spans="24:37" x14ac:dyDescent="0.25">
      <c r="X22" s="39"/>
      <c r="Y22" s="36">
        <v>2015</v>
      </c>
      <c r="Z22" s="39">
        <f t="shared" ref="Z22:AK22" si="0">Z11/Z2</f>
        <v>3.5310658217500004</v>
      </c>
      <c r="AA22" s="39">
        <f t="shared" si="0"/>
        <v>3.2800629206646521</v>
      </c>
      <c r="AB22" s="39">
        <f t="shared" si="0"/>
        <v>3.3592786221362023</v>
      </c>
      <c r="AC22" s="39">
        <f t="shared" si="0"/>
        <v>3.1661779400032528</v>
      </c>
      <c r="AD22" s="39">
        <f t="shared" si="0"/>
        <v>3.2591927972547157</v>
      </c>
      <c r="AE22" s="39">
        <f t="shared" si="0"/>
        <v>3.1922238234780118</v>
      </c>
      <c r="AF22" s="39">
        <f t="shared" si="0"/>
        <v>3.2674094122438277</v>
      </c>
      <c r="AG22" s="39">
        <f t="shared" si="0"/>
        <v>3.176633695817932</v>
      </c>
      <c r="AH22" s="39">
        <f t="shared" si="0"/>
        <v>3.7075456834651175</v>
      </c>
      <c r="AI22" s="39">
        <f t="shared" si="0"/>
        <v>3.2364219417214217</v>
      </c>
      <c r="AJ22" s="39">
        <f t="shared" si="0"/>
        <v>3.1947822169882771</v>
      </c>
      <c r="AK22" s="39">
        <f t="shared" si="0"/>
        <v>3.2256980910890691</v>
      </c>
    </row>
    <row r="23" spans="24:37" x14ac:dyDescent="0.25">
      <c r="X23" s="40"/>
      <c r="Y23" s="36">
        <v>2016</v>
      </c>
      <c r="Z23" s="39">
        <f t="shared" ref="Z23:AK23" si="1">Z12/Z3</f>
        <v>3.2321882264067376</v>
      </c>
      <c r="AA23" s="39">
        <f t="shared" si="1"/>
        <v>3.042934514564934</v>
      </c>
      <c r="AB23" s="39">
        <f t="shared" si="1"/>
        <v>3.1307812665216965</v>
      </c>
      <c r="AC23" s="39">
        <f t="shared" si="1"/>
        <v>3.1353945202440432</v>
      </c>
      <c r="AD23" s="39">
        <f t="shared" si="1"/>
        <v>3.1533143810508522</v>
      </c>
      <c r="AE23" s="39">
        <f t="shared" si="1"/>
        <v>3.0784054779603354</v>
      </c>
      <c r="AF23" s="39">
        <f t="shared" si="1"/>
        <v>3.2042251558699935</v>
      </c>
      <c r="AG23" s="39">
        <f t="shared" si="1"/>
        <v>3.2420012009036734</v>
      </c>
      <c r="AH23" s="39">
        <f t="shared" si="1"/>
        <v>3.1418712993128017</v>
      </c>
      <c r="AI23" s="39">
        <f t="shared" si="1"/>
        <v>3.1466144147778459</v>
      </c>
      <c r="AJ23" s="39">
        <f t="shared" si="1"/>
        <v>3.1641445242683335</v>
      </c>
      <c r="AK23" s="39">
        <f t="shared" si="1"/>
        <v>3.2571240128856944</v>
      </c>
    </row>
    <row r="24" spans="24:37" x14ac:dyDescent="0.25">
      <c r="X24" s="34"/>
      <c r="Y24" s="36">
        <v>2017</v>
      </c>
      <c r="Z24" s="39">
        <f t="shared" ref="Z24:AK24" si="2">Z13/Z4</f>
        <v>3.1154486961851551</v>
      </c>
      <c r="AA24" s="39">
        <f t="shared" si="2"/>
        <v>3.2516882117017301</v>
      </c>
      <c r="AB24" s="39">
        <f t="shared" si="2"/>
        <v>3.1348756407602409</v>
      </c>
      <c r="AC24" s="39">
        <f t="shared" si="2"/>
        <v>3.0227184124834787</v>
      </c>
      <c r="AD24" s="39">
        <f t="shared" si="2"/>
        <v>3.0403994443802298</v>
      </c>
      <c r="AE24" s="39">
        <f t="shared" si="2"/>
        <v>3.0634754312506582</v>
      </c>
      <c r="AF24" s="39">
        <f t="shared" si="2"/>
        <v>3.2626062863622449</v>
      </c>
      <c r="AG24" s="39">
        <f t="shared" si="2"/>
        <v>3.3575437415926443</v>
      </c>
      <c r="AH24" s="39">
        <f t="shared" si="2"/>
        <v>3.1846302021551294</v>
      </c>
      <c r="AI24" s="39">
        <f t="shared" si="2"/>
        <v>3.278994434170198</v>
      </c>
      <c r="AJ24" s="39">
        <f t="shared" si="2"/>
        <v>3.2684940924044494</v>
      </c>
      <c r="AK24" s="39">
        <f t="shared" si="2"/>
        <v>3.1987673404088275</v>
      </c>
    </row>
    <row r="25" spans="24:37" x14ac:dyDescent="0.25">
      <c r="X25" s="35"/>
      <c r="Y25" s="36">
        <v>2018</v>
      </c>
      <c r="Z25" s="39">
        <f t="shared" ref="Z25:AK25" si="3">Z14/Z5</f>
        <v>3.2921421979987202</v>
      </c>
      <c r="AA25" s="39">
        <f t="shared" si="3"/>
        <v>3.4244249029125777</v>
      </c>
      <c r="AB25" s="39">
        <f t="shared" si="3"/>
        <v>3.3543225794025</v>
      </c>
      <c r="AC25" s="39">
        <f t="shared" si="3"/>
        <v>3.3374310857258629</v>
      </c>
      <c r="AD25" s="39">
        <f t="shared" si="3"/>
        <v>3.2746595936327312</v>
      </c>
      <c r="AE25" s="39">
        <f t="shared" si="3"/>
        <v>3.2062155346749974</v>
      </c>
      <c r="AF25" s="39">
        <f t="shared" si="3"/>
        <v>3.4284051539545586</v>
      </c>
      <c r="AG25" s="39">
        <f t="shared" si="3"/>
        <v>3.505741742696749</v>
      </c>
      <c r="AH25" s="39">
        <f t="shared" si="3"/>
        <v>3.204151758954505</v>
      </c>
      <c r="AI25" s="39">
        <f t="shared" si="3"/>
        <v>3.2126011087423252</v>
      </c>
      <c r="AJ25" s="39">
        <f t="shared" si="3"/>
        <v>3.1659021991579368</v>
      </c>
      <c r="AK25" s="39">
        <f t="shared" si="3"/>
        <v>3.2132930732645151</v>
      </c>
    </row>
    <row r="26" spans="24:37" x14ac:dyDescent="0.25">
      <c r="X26" s="36"/>
      <c r="Y26" s="36">
        <v>2019</v>
      </c>
      <c r="Z26" s="39">
        <f t="shared" ref="Z26:AK26" si="4">Z15/Z6</f>
        <v>3.258657583254696</v>
      </c>
      <c r="AA26" s="39">
        <f t="shared" si="4"/>
        <v>3.2136107078161968</v>
      </c>
      <c r="AB26" s="39">
        <f t="shared" si="4"/>
        <v>3.1960311024172259</v>
      </c>
      <c r="AC26" s="39">
        <f t="shared" si="4"/>
        <v>3.2447136844475035</v>
      </c>
      <c r="AD26" s="39">
        <f t="shared" si="4"/>
        <v>3.2296292701391112</v>
      </c>
      <c r="AE26" s="39">
        <f t="shared" si="4"/>
        <v>3.379058712363046</v>
      </c>
      <c r="AF26" s="39">
        <f t="shared" si="4"/>
        <v>3.5496262573979704</v>
      </c>
      <c r="AG26" s="39">
        <f t="shared" si="4"/>
        <v>3.3171102576740226</v>
      </c>
      <c r="AH26" s="39">
        <f t="shared" si="4"/>
        <v>3.0320471531054984</v>
      </c>
      <c r="AI26" s="39">
        <f t="shared" si="4"/>
        <v>3.0877524769371818</v>
      </c>
      <c r="AJ26" s="39">
        <f t="shared" si="4"/>
        <v>3.1514439856393475</v>
      </c>
      <c r="AK26" s="39">
        <f t="shared" si="4"/>
        <v>3.337488365529965</v>
      </c>
    </row>
    <row r="27" spans="24:37" x14ac:dyDescent="0.25">
      <c r="X27" s="36"/>
      <c r="Y27" s="36">
        <v>2020</v>
      </c>
      <c r="Z27" s="39">
        <f t="shared" ref="Z27:AK27" si="5">Z16/Z7</f>
        <v>3.2156274920025396</v>
      </c>
      <c r="AA27" s="39">
        <f t="shared" si="5"/>
        <v>3.1837443974925583</v>
      </c>
      <c r="AB27" s="39">
        <f t="shared" si="5"/>
        <v>3.0004243541676461</v>
      </c>
      <c r="AC27" s="39">
        <f t="shared" si="5"/>
        <v>2.9573815375442756</v>
      </c>
      <c r="AD27" s="39">
        <f t="shared" si="5"/>
        <v>3.091198964420907</v>
      </c>
      <c r="AE27" s="39">
        <f t="shared" si="5"/>
        <v>2.9677225700252086</v>
      </c>
      <c r="AF27" s="39">
        <f t="shared" si="5"/>
        <v>3.2190817451741318</v>
      </c>
      <c r="AG27" s="39">
        <f t="shared" si="5"/>
        <v>3.2932238278959383</v>
      </c>
      <c r="AH27" s="39">
        <f t="shared" si="5"/>
        <v>3.0771188401713339</v>
      </c>
      <c r="AI27" s="39">
        <f t="shared" si="5"/>
        <v>3.1373844888504334</v>
      </c>
      <c r="AJ27" s="39">
        <f t="shared" si="5"/>
        <v>3.193580242263574</v>
      </c>
      <c r="AK27" s="39">
        <f t="shared" si="5"/>
        <v>3.0590576590843486</v>
      </c>
    </row>
    <row r="28" spans="24:37" x14ac:dyDescent="0.25">
      <c r="X28" s="36"/>
      <c r="Y28" s="36">
        <v>2021</v>
      </c>
      <c r="Z28" s="39">
        <f t="shared" ref="Z28:AK28" si="6">Z17/Z8</f>
        <v>3.4255233799256697</v>
      </c>
      <c r="AA28" s="39">
        <f t="shared" si="6"/>
        <v>3.3421484693260393</v>
      </c>
      <c r="AB28" s="39">
        <f t="shared" si="6"/>
        <v>3.3851648042334301</v>
      </c>
      <c r="AC28" s="39">
        <f t="shared" si="6"/>
        <v>3.2424729149251696</v>
      </c>
      <c r="AD28" s="39">
        <f t="shared" si="6"/>
        <v>3.301061205986688</v>
      </c>
      <c r="AE28" s="39">
        <f t="shared" si="6"/>
        <v>3.554309294848089</v>
      </c>
      <c r="AF28" s="39">
        <f t="shared" si="6"/>
        <v>3.51494674219115</v>
      </c>
      <c r="AG28" s="39">
        <f t="shared" si="6"/>
        <v>3.4669584283899928</v>
      </c>
      <c r="AH28" s="39">
        <f t="shared" si="6"/>
        <v>3.4960230696483983</v>
      </c>
      <c r="AI28" s="39">
        <f t="shared" si="6"/>
        <v>3.210921136895537</v>
      </c>
      <c r="AJ28" s="39">
        <f t="shared" si="6"/>
        <v>3.162784578590399</v>
      </c>
      <c r="AK28" s="245">
        <f t="shared" si="6"/>
        <v>3.272619157252119</v>
      </c>
    </row>
    <row r="29" spans="24:37" x14ac:dyDescent="0.25">
      <c r="X29" s="36"/>
      <c r="Y29" s="36">
        <v>2022</v>
      </c>
      <c r="Z29" s="245">
        <f t="shared" ref="Z29:AG29" si="7">Z18/Z9</f>
        <v>3.2674478378450811</v>
      </c>
      <c r="AA29" s="245">
        <f t="shared" si="7"/>
        <v>3.3797209197155818</v>
      </c>
      <c r="AB29" s="245">
        <f t="shared" si="7"/>
        <v>3.3351719535203803</v>
      </c>
      <c r="AC29" s="245">
        <f t="shared" si="7"/>
        <v>3.316047216629689</v>
      </c>
      <c r="AD29" s="245">
        <f t="shared" si="7"/>
        <v>3.2791908956834459</v>
      </c>
      <c r="AE29" s="245">
        <f t="shared" si="7"/>
        <v>3.3492441295358653</v>
      </c>
      <c r="AF29" s="245">
        <f t="shared" si="7"/>
        <v>3.2069767441860466</v>
      </c>
      <c r="AG29" s="245">
        <f t="shared" si="7"/>
        <v>3.2569593147751603</v>
      </c>
      <c r="AH29" s="41"/>
      <c r="AI29" s="41"/>
      <c r="AJ29" s="41"/>
      <c r="AK29" s="41"/>
    </row>
    <row r="30" spans="24:37" x14ac:dyDescent="0.25">
      <c r="X30" s="36"/>
      <c r="Y30" s="36"/>
      <c r="Z30" s="41"/>
      <c r="AA30" s="41"/>
      <c r="AB30" s="41"/>
      <c r="AC30" s="41"/>
      <c r="AD30" s="41"/>
      <c r="AE30" s="41"/>
      <c r="AF30" s="41"/>
      <c r="AG30" s="41"/>
      <c r="AH30" s="41"/>
      <c r="AI30" s="41"/>
      <c r="AJ30" s="41"/>
      <c r="AK30" s="41"/>
    </row>
    <row r="31" spans="24:37" x14ac:dyDescent="0.25">
      <c r="X31" s="36"/>
      <c r="Y31" s="36"/>
      <c r="Z31" s="41"/>
      <c r="AA31" s="41"/>
      <c r="AB31" s="41"/>
      <c r="AC31" s="41"/>
      <c r="AD31" s="41"/>
      <c r="AE31" s="41"/>
      <c r="AF31" s="41"/>
      <c r="AG31" s="41"/>
      <c r="AH31" s="41"/>
      <c r="AI31" s="41"/>
      <c r="AJ31" s="41"/>
      <c r="AK31" s="41"/>
    </row>
    <row r="32" spans="24:37" x14ac:dyDescent="0.25">
      <c r="X32" s="36"/>
      <c r="Y32" s="36"/>
      <c r="Z32" s="41"/>
      <c r="AA32" s="41"/>
      <c r="AB32" s="41"/>
      <c r="AC32" s="41"/>
      <c r="AD32" s="41"/>
      <c r="AE32" s="41"/>
      <c r="AF32" s="42"/>
      <c r="AG32" s="42"/>
      <c r="AH32" s="42"/>
      <c r="AI32" s="42"/>
      <c r="AJ32" s="42"/>
      <c r="AK32" s="42"/>
    </row>
  </sheetData>
  <phoneticPr fontId="59" type="noConversion"/>
  <pageMargins left="1" right="1" top="1" bottom="1" header="0.5" footer="0.5"/>
  <pageSetup scale="8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C6B6C122C0BCA469A745D5488981BDE" ma:contentTypeVersion="13" ma:contentTypeDescription="Crear nuevo documento." ma:contentTypeScope="" ma:versionID="11beae61b06ea151b16c562296a18946">
  <xsd:schema xmlns:xsd="http://www.w3.org/2001/XMLSchema" xmlns:xs="http://www.w3.org/2001/XMLSchema" xmlns:p="http://schemas.microsoft.com/office/2006/metadata/properties" xmlns:ns3="a2fa22f6-2e3f-4899-82d0-e885652e675f" xmlns:ns4="54f587f2-d138-4ad9-a5b0-ff0a55a5348f" targetNamespace="http://schemas.microsoft.com/office/2006/metadata/properties" ma:root="true" ma:fieldsID="d89f5a962b6c35bb52a2a9b7e448c159" ns3:_="" ns4:_="">
    <xsd:import namespace="a2fa22f6-2e3f-4899-82d0-e885652e675f"/>
    <xsd:import namespace="54f587f2-d138-4ad9-a5b0-ff0a55a5348f"/>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fa22f6-2e3f-4899-82d0-e885652e675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4f587f2-d138-4ad9-a5b0-ff0a55a5348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797E31-A8EC-4CD6-88B8-14916451DC22}">
  <ds:schemaRefs>
    <ds:schemaRef ds:uri="http://schemas.microsoft.com/sharepoint/v3/contenttype/forms"/>
  </ds:schemaRefs>
</ds:datastoreItem>
</file>

<file path=customXml/itemProps2.xml><?xml version="1.0" encoding="utf-8"?>
<ds:datastoreItem xmlns:ds="http://schemas.openxmlformats.org/officeDocument/2006/customXml" ds:itemID="{7BB3285B-B3FF-4851-8D0C-F4C16F647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fa22f6-2e3f-4899-82d0-e885652e675f"/>
    <ds:schemaRef ds:uri="54f587f2-d138-4ad9-a5b0-ff0a55a534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740348-7E20-42AE-AD34-1C73E28B0282}">
  <ds:schemaRefs>
    <ds:schemaRef ds:uri="a2fa22f6-2e3f-4899-82d0-e885652e675f"/>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purl.org/dc/terms/"/>
    <ds:schemaRef ds:uri="http://www.w3.org/XML/1998/namespace"/>
    <ds:schemaRef ds:uri="54f587f2-d138-4ad9-a5b0-ff0a55a5348f"/>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19</vt:i4>
      </vt:variant>
    </vt:vector>
  </HeadingPairs>
  <TitlesOfParts>
    <vt:vector size="44" baseType="lpstr">
      <vt:lpstr>Portada</vt:lpstr>
      <vt:lpstr>Colofón</vt:lpstr>
      <vt:lpstr>Tabla de contenidos</vt:lpstr>
      <vt:lpstr>Comentarios</vt:lpstr>
      <vt:lpstr>Exportaciones</vt:lpstr>
      <vt:lpstr>Evol export</vt:lpstr>
      <vt:lpstr>expo anual rango precios</vt:lpstr>
      <vt:lpstr>Expo var DO</vt:lpstr>
      <vt:lpstr>Graficos vinos DO</vt:lpstr>
      <vt:lpstr>Gráficos vino granel</vt:lpstr>
      <vt:lpstr>Gráfico vino entre 2 y 10 lts</vt:lpstr>
      <vt:lpstr>Gráficos vino espumoso</vt:lpstr>
      <vt:lpstr>Expo vinos por mercado</vt:lpstr>
      <vt:lpstr>Valor granel exp</vt:lpstr>
      <vt:lpstr>Precio uva</vt:lpstr>
      <vt:lpstr>Precio vino Nac.</vt:lpstr>
      <vt:lpstr>Prod vino </vt:lpstr>
      <vt:lpstr>Evol. prod. vino DO por cepa</vt:lpstr>
      <vt:lpstr>Prod vino graf</vt:lpstr>
      <vt:lpstr>Existencias</vt:lpstr>
      <vt:lpstr>Sup plantada vides</vt:lpstr>
      <vt:lpstr>Sup plantada vides (2)</vt:lpstr>
      <vt:lpstr>Estadisticas</vt:lpstr>
      <vt:lpstr>Precios comparativos</vt:lpstr>
      <vt:lpstr>Pisco x mercado</vt:lpstr>
      <vt:lpstr>Comentarios!Área_de_impresión</vt:lpstr>
      <vt:lpstr>'Evol export'!Área_de_impresión</vt:lpstr>
      <vt:lpstr>Existencias!Área_de_impresión</vt:lpstr>
      <vt:lpstr>'Gráfico vino entre 2 y 10 lts'!Área_de_impresión</vt:lpstr>
      <vt:lpstr>'Gráficos vino espumoso'!Área_de_impresión</vt:lpstr>
      <vt:lpstr>'Gráficos vino granel'!Área_de_impresión</vt:lpstr>
      <vt:lpstr>'Graficos vinos DO'!Área_de_impresión</vt:lpstr>
      <vt:lpstr>'Precios comparativos'!Área_de_impresión</vt:lpstr>
      <vt:lpstr>'Prod vino graf'!Área_de_impresión</vt:lpstr>
      <vt:lpstr>'Valor granel exp'!Área_de_impresión</vt:lpstr>
      <vt:lpstr>'Evol export'!Print_Area</vt:lpstr>
      <vt:lpstr>Existencias!Print_Area</vt:lpstr>
      <vt:lpstr>Exportaciones!Print_Area</vt:lpstr>
      <vt:lpstr>'Gráfico vino entre 2 y 10 lts'!Print_Area</vt:lpstr>
      <vt:lpstr>'Gráficos vino espumoso'!Print_Area</vt:lpstr>
      <vt:lpstr>'Gráficos vino granel'!Print_Area</vt:lpstr>
      <vt:lpstr>'Graficos vinos DO'!Print_Area</vt:lpstr>
      <vt:lpstr>'Precios comparativos'!Print_Area</vt:lpstr>
      <vt:lpstr>'Prod vino graf'!Print_Area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Rosario Buzzetti Horta</dc:creator>
  <cp:keywords/>
  <dc:description/>
  <cp:lastModifiedBy>Carolina del Rosario Buzzetti Horta</cp:lastModifiedBy>
  <cp:revision/>
  <cp:lastPrinted>2022-09-13T13:28:06Z</cp:lastPrinted>
  <dcterms:created xsi:type="dcterms:W3CDTF">2020-01-07T17:53:19Z</dcterms:created>
  <dcterms:modified xsi:type="dcterms:W3CDTF">2022-09-13T13:43:37Z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0x010100DC6B6C122C0BCA469A745D5488981BDE</vt:lpwstr>
  </property>
</Properties>
</file>