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8.xml" ContentType="application/vnd.openxmlformats-officedocument.drawing+xml"/>
  <Override PartName="/xl/charts/chart20.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1.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2.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23.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2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7.xml" ContentType="application/vnd.openxmlformats-officedocument.drawing+xml"/>
  <Override PartName="/xl/drawings/drawing48.xml" ContentType="application/vnd.openxmlformats-officedocument.drawing+xml"/>
  <Override PartName="/xl/charts/chart25.xml" ContentType="application/vnd.openxmlformats-officedocument.drawingml.chart+xml"/>
  <Override PartName="/xl/drawings/drawing49.xml" ContentType="application/vnd.openxmlformats-officedocument.drawingml.chartshapes+xml"/>
  <Override PartName="/xl/drawings/drawing50.xml" ContentType="application/vnd.openxmlformats-officedocument.drawing+xml"/>
  <Override PartName="/xl/charts/chart26.xml" ContentType="application/vnd.openxmlformats-officedocument.drawingml.chart+xml"/>
  <Override PartName="/xl/drawings/drawing51.xml" ContentType="application/vnd.openxmlformats-officedocument.drawingml.chartshapes+xml"/>
  <Override PartName="/xl/drawings/drawing52.xml" ContentType="application/vnd.openxmlformats-officedocument.drawing+xml"/>
  <Override PartName="/xl/charts/chart27.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28.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9.xml" ContentType="application/vnd.openxmlformats-officedocument.drawingml.chart+xml"/>
  <Override PartName="/xl/drawings/drawing57.xml" ContentType="application/vnd.openxmlformats-officedocument.drawingml.chartshapes+xml"/>
  <Override PartName="/xl/drawings/drawing58.xml" ContentType="application/vnd.openxmlformats-officedocument.drawing+xml"/>
  <Override PartName="/xl/charts/chart30.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31.xml" ContentType="application/vnd.openxmlformats-officedocument.drawingml.chart+xml"/>
  <Override PartName="/xl/drawings/drawing61.xml" ContentType="application/vnd.openxmlformats-officedocument.drawingml.chartshapes+xml"/>
  <Override PartName="/xl/charts/chart32.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3.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68.xml" ContentType="application/vnd.openxmlformats-officedocument.drawing+xml"/>
  <Override PartName="/xl/charts/chart39.xml" ContentType="application/vnd.openxmlformats-officedocument.drawingml.chart+xml"/>
  <Override PartName="/xl/drawings/drawing69.xml" ContentType="application/vnd.openxmlformats-officedocument.drawingml.chartshapes+xml"/>
  <Override PartName="/xl/drawings/drawing70.xml" ContentType="application/vnd.openxmlformats-officedocument.drawing+xml"/>
  <Override PartName="/xl/charts/chart40.xml" ContentType="application/vnd.openxmlformats-officedocument.drawingml.chart+xml"/>
  <Override PartName="/xl/drawings/drawing71.xml" ContentType="application/vnd.openxmlformats-officedocument.drawing+xml"/>
  <Override PartName="/xl/charts/chart41.xml" ContentType="application/vnd.openxmlformats-officedocument.drawingml.chart+xml"/>
  <Override PartName="/xl/drawings/drawing72.xml" ContentType="application/vnd.openxmlformats-officedocument.drawingml.chartshapes+xml"/>
  <Override PartName="/xl/drawings/drawing73.xml" ContentType="application/vnd.openxmlformats-officedocument.drawing+xml"/>
  <Override PartName="/xl/charts/chart4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gpino\Dropbox\PC (2)\Downloads\"/>
    </mc:Choice>
  </mc:AlternateContent>
  <xr:revisionPtr revIDLastSave="0" documentId="8_{55904E53-EF9C-44D2-8A10-C628A1D4A12C}" xr6:coauthVersionLast="47" xr6:coauthVersionMax="47" xr10:uidLastSave="{00000000-0000-0000-0000-000000000000}"/>
  <bookViews>
    <workbookView xWindow="-120" yWindow="-16320" windowWidth="29040" windowHeight="15840" tabRatio="824"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4" sheetId="46" r:id="rId37"/>
    <sheet name="35" sheetId="47"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 name="61" sheetId="89" r:id="rId65"/>
  </sheets>
  <externalReferences>
    <externalReference r:id="rId66"/>
    <externalReference r:id="rId67"/>
  </externalReferences>
  <definedNames>
    <definedName name="_xlnm._FilterDatabase" localSheetId="17" hidden="1">'18'!$N$8:$P$8</definedName>
    <definedName name="_xlnm._FilterDatabase" localSheetId="64" hidden="1">'61'!$O$1:$R$1</definedName>
    <definedName name="_xlnm.Print_Area" localSheetId="9">'10'!$B$1:$G$25</definedName>
    <definedName name="_xlnm.Print_Area" localSheetId="10">'11'!$B$1:$J$38</definedName>
    <definedName name="_xlnm.Print_Area" localSheetId="12">'13'!$A$1:$L$40</definedName>
    <definedName name="_xlnm.Print_Area" localSheetId="13">'14'!$A$1:$L$39</definedName>
    <definedName name="_xlnm.Print_Area" localSheetId="15">'16'!$A$1:$L$34</definedName>
    <definedName name="_xlnm.Print_Area" localSheetId="17">'18'!$B$1:$K$33</definedName>
    <definedName name="_xlnm.Print_Area" localSheetId="18">'19'!$B$1:$N$20</definedName>
    <definedName name="_xlnm.Print_Area" localSheetId="19">'20'!$A$1:$H$49</definedName>
    <definedName name="_xlnm.Print_Area" localSheetId="20">'21'!$B$1:$J$26</definedName>
    <definedName name="_xlnm.Print_Area" localSheetId="21">'22'!$B$1:$P$42</definedName>
    <definedName name="_xlnm.Print_Area" localSheetId="22">'23'!$B$1:$K$37</definedName>
    <definedName name="_xlnm.Print_Area" localSheetId="23">'24'!$B$1:$S$32</definedName>
    <definedName name="_xlnm.Print_Area" localSheetId="24">'25'!$B$1:$S$32</definedName>
    <definedName name="_xlnm.Print_Area" localSheetId="25">'26A'!$B$1:$K$31</definedName>
    <definedName name="_xlnm.Print_Area" localSheetId="26">'26B'!$A$1:$J$31</definedName>
    <definedName name="_xlnm.Print_Area" localSheetId="27">'26C'!$A$1:$F$31</definedName>
    <definedName name="_xlnm.Print_Area" localSheetId="30">'28'!$B$1:$I$34</definedName>
    <definedName name="_xlnm.Print_Area" localSheetId="31">'29'!$B$1:$G$37</definedName>
    <definedName name="_xlnm.Print_Area" localSheetId="32">'30'!$B$2:$I$21</definedName>
    <definedName name="_xlnm.Print_Area" localSheetId="36">'34'!$A$1:$F$30</definedName>
    <definedName name="_xlnm.Print_Area" localSheetId="38">'36'!$A$1:$G$40</definedName>
    <definedName name="_xlnm.Print_Area" localSheetId="39">'37'!$B$1:$J$40</definedName>
    <definedName name="_xlnm.Print_Area" localSheetId="40">'38'!$B$1:$F$33</definedName>
    <definedName name="_xlnm.Print_Area" localSheetId="41">'39'!$B$1:$H$38</definedName>
    <definedName name="_xlnm.Print_Area" localSheetId="3">'4'!$A$1:$G$38</definedName>
    <definedName name="_xlnm.Print_Area" localSheetId="42">'40'!$A$1:$H$43</definedName>
    <definedName name="_xlnm.Print_Area" localSheetId="43">'41'!$A$1:$N$20</definedName>
    <definedName name="_xlnm.Print_Area" localSheetId="44">'42'!$B$1:$G$44</definedName>
    <definedName name="_xlnm.Print_Area" localSheetId="45">'43'!$A$1:$E$25</definedName>
    <definedName name="_xlnm.Print_Area" localSheetId="47">'44'!$B$1:$G$35</definedName>
    <definedName name="_xlnm.Print_Area" localSheetId="48">'45'!$B$1:$G$37</definedName>
    <definedName name="_xlnm.Print_Area" localSheetId="49">'46'!$B$2:$O$21</definedName>
    <definedName name="_xlnm.Print_Area" localSheetId="52">'49'!$B$1:$F$20</definedName>
    <definedName name="_xlnm.Print_Area" localSheetId="4">'5'!$A$1:$G$38</definedName>
    <definedName name="_xlnm.Print_Area" localSheetId="55">'52'!$B$1:$M$39</definedName>
    <definedName name="_xlnm.Print_Area" localSheetId="57">'54'!$B$1:$G$33</definedName>
    <definedName name="_xlnm.Print_Area" localSheetId="59">'56'!$A$1:$F$19</definedName>
    <definedName name="_xlnm.Print_Area" localSheetId="60">'57'!$B$1:$I$58</definedName>
    <definedName name="_xlnm.Print_Area" localSheetId="61">'58'!$A$1:$F$24</definedName>
    <definedName name="_xlnm.Print_Area" localSheetId="5">'6'!$B$1:$N$20</definedName>
    <definedName name="_xlnm.Print_Area" localSheetId="64">'61'!$A$1:$F$20</definedName>
    <definedName name="_xlnm.Print_Area" localSheetId="6">'7'!$B$1:$H$37</definedName>
    <definedName name="_xlnm.Print_Area" localSheetId="7">'8'!$A$1:$G$41</definedName>
    <definedName name="_xlnm.Print_Area" localSheetId="8">'9'!$A$1:$F$31</definedName>
    <definedName name="_xlnm.Print_Area" localSheetId="46">'Contenido Arroz'!$A$2:$G$39</definedName>
    <definedName name="_xlnm.Print_Area" localSheetId="29">'Contenido Maíz'!$A$2:$G$40</definedName>
    <definedName name="_xlnm.Print_Area" localSheetId="2">'Contenido Trigo'!$A$2:$G$44</definedName>
    <definedName name="_xlnm.Print_Area" localSheetId="1">Introducción!$A$1:$E$11</definedName>
    <definedName name="_xlnm.Print_Area" localSheetId="0">Portada!$A$1:$E$86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'10'!$B$1:$G$26</definedName>
    <definedName name="Print_Area" localSheetId="10">'11'!$A$1:$K$38</definedName>
    <definedName name="Print_Area" localSheetId="11">'12'!$A$1:$F$38</definedName>
    <definedName name="Print_Area" localSheetId="12">'13'!$A$1:$L$41</definedName>
    <definedName name="Print_Area" localSheetId="13">'14'!$B$1:$L$38</definedName>
    <definedName name="Print_Area" localSheetId="15">'16'!$B$1:$K$34</definedName>
    <definedName name="Print_Area" localSheetId="16">'17'!$B$1:$K$21</definedName>
    <definedName name="Print_Area" localSheetId="17">'18'!$B$1:$K$33</definedName>
    <definedName name="Print_Area" localSheetId="18">'19'!$B$1:$N$21</definedName>
    <definedName name="Print_Area" localSheetId="19">'20'!$B$1:$H$51</definedName>
    <definedName name="Print_Area" localSheetId="21">'22'!$B$1:$O$33</definedName>
    <definedName name="Print_Area" localSheetId="22">'23'!$B$1:$L$32</definedName>
    <definedName name="Print_Area" localSheetId="28">'27'!$A$1:$H$8</definedName>
    <definedName name="Print_Area" localSheetId="30">'28'!$C$1:$H$33</definedName>
    <definedName name="Print_Area" localSheetId="31">'29'!$B$1:$G$38</definedName>
    <definedName name="Print_Area" localSheetId="32">'30'!$B$2:$H$22</definedName>
    <definedName name="Print_Area" localSheetId="33">'31'!$A$1:$E$38</definedName>
    <definedName name="Print_Area" localSheetId="34">'32'!$A$1:$E$36</definedName>
    <definedName name="Print_Area" localSheetId="35">'33'!$A$1:$G$26</definedName>
    <definedName name="Print_Area" localSheetId="36">'34'!$B$1:$E$32</definedName>
    <definedName name="Print_Area" localSheetId="37">'35'!$B$1:$H$40</definedName>
    <definedName name="Print_Area" localSheetId="38">'36'!$A$1:$G$42</definedName>
    <definedName name="Print_Area" localSheetId="39">'37'!$B$1:$J$40</definedName>
    <definedName name="Print_Area" localSheetId="40">'38'!$A$1:$F$36</definedName>
    <definedName name="Print_Area" localSheetId="41">'39'!$B$1:$G$37</definedName>
    <definedName name="Print_Area" localSheetId="3">'4'!$B$1:$G$36</definedName>
    <definedName name="Print_Area" localSheetId="42">'40'!$A$1:$G$43</definedName>
    <definedName name="Print_Area" localSheetId="43">'41'!$B$1:$N$20</definedName>
    <definedName name="Print_Area" localSheetId="44">'42'!$B$1:$G$49</definedName>
    <definedName name="Print_Area" localSheetId="47">'44'!$B$1:$G$35</definedName>
    <definedName name="Print_Area" localSheetId="48">'45'!$B$1:$G$37</definedName>
    <definedName name="Print_Area" localSheetId="49">'46'!$B$1:$O$22</definedName>
    <definedName name="Print_Area" localSheetId="50">'47'!$B$1:$E$41</definedName>
    <definedName name="Print_Area" localSheetId="51">'48'!$A$1:$G$24</definedName>
    <definedName name="Print_Area" localSheetId="52">'49'!$B$1:$E$21</definedName>
    <definedName name="Print_Area" localSheetId="4">'5'!$A$1:$G$37</definedName>
    <definedName name="Print_Area" localSheetId="53">'50'!$B$1:$G$38</definedName>
    <definedName name="Print_Area" localSheetId="54">'51'!$B$1:$G$40</definedName>
    <definedName name="Print_Area" localSheetId="55">'52'!$B$1:$N$39</definedName>
    <definedName name="Print_Area" localSheetId="56">'53'!$B$1:$J$31</definedName>
    <definedName name="Print_Area" localSheetId="57">'54'!$A$1:$H$35</definedName>
    <definedName name="Print_Area" localSheetId="58">'55'!$B$1:$H$33</definedName>
    <definedName name="Print_Area" localSheetId="59">'56'!$B$1:$D$20</definedName>
    <definedName name="Print_Area" localSheetId="60">'57'!$B$1:$I$57</definedName>
    <definedName name="Print_Area" localSheetId="61">'58'!$A$1:$E$1</definedName>
    <definedName name="Print_Area" localSheetId="62">'59'!$B$1:$H$21</definedName>
    <definedName name="Print_Area" localSheetId="5">'6'!$B$1:$M$21</definedName>
    <definedName name="Print_Area" localSheetId="6">'7'!$A$1:$E$37</definedName>
    <definedName name="Print_Area" localSheetId="7">'8'!$A$1:$G$42</definedName>
    <definedName name="Print_Area" localSheetId="8">'9'!$A$1:$F$23</definedName>
    <definedName name="Print_Area" localSheetId="46">'Contenido Arroz'!$A$1:$G$39</definedName>
    <definedName name="Print_Area" localSheetId="29">'Contenido Maíz'!$A$2:$G$40</definedName>
    <definedName name="Print_Area" localSheetId="2">'Contenido Trigo'!$A$2:$G$44</definedName>
    <definedName name="Print_Area" localSheetId="1">Introducción!$A$1:$E$12</definedName>
    <definedName name="Print_Area" localSheetId="0">Portada!$A$1:$E$86</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'10'!$C$4:$F$29</definedName>
    <definedName name="Z_5CDC6F58_B038_4A0E_A13D_C643B013E119_.wvu.PrintArea" localSheetId="10" hidden="1">'11'!$B$1:$J$36</definedName>
    <definedName name="Z_5CDC6F58_B038_4A0E_A13D_C643B013E119_.wvu.PrintArea" localSheetId="11" hidden="1">'12'!$A$1:$F$37</definedName>
    <definedName name="Z_5CDC6F58_B038_4A0E_A13D_C643B013E119_.wvu.PrintArea" localSheetId="12" hidden="1">'13'!$B$1:$K$41</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'19'!$B$1:$N$21</definedName>
    <definedName name="Z_5CDC6F58_B038_4A0E_A13D_C643B013E119_.wvu.PrintArea" localSheetId="19" hidden="1">'20'!$B$1:$G$47</definedName>
    <definedName name="Z_5CDC6F58_B038_4A0E_A13D_C643B013E119_.wvu.PrintArea" localSheetId="30" hidden="1">'28'!$C$1:$H$32</definedName>
    <definedName name="Z_5CDC6F58_B038_4A0E_A13D_C643B013E119_.wvu.PrintArea" localSheetId="31" hidden="1">'29'!$B$1:$F$38</definedName>
    <definedName name="Z_5CDC6F58_B038_4A0E_A13D_C643B013E119_.wvu.PrintArea" localSheetId="34" hidden="1">'32'!$B$1:$D$25</definedName>
    <definedName name="Z_5CDC6F58_B038_4A0E_A13D_C643B013E119_.wvu.PrintArea" localSheetId="35" hidden="1">'33'!$B$1:$F$26</definedName>
    <definedName name="Z_5CDC6F58_B038_4A0E_A13D_C643B013E119_.wvu.PrintArea" localSheetId="37" hidden="1">'35'!$B$1:$H$38</definedName>
    <definedName name="Z_5CDC6F58_B038_4A0E_A13D_C643B013E119_.wvu.PrintArea" localSheetId="38" hidden="1">'36'!$A$1:$G$39</definedName>
    <definedName name="Z_5CDC6F58_B038_4A0E_A13D_C643B013E119_.wvu.PrintArea" localSheetId="40" hidden="1">'38'!$B$1:$F$17</definedName>
    <definedName name="Z_5CDC6F58_B038_4A0E_A13D_C643B013E119_.wvu.PrintArea" localSheetId="41" hidden="1">'39'!$A$1:$G$14</definedName>
    <definedName name="Z_5CDC6F58_B038_4A0E_A13D_C643B013E119_.wvu.PrintArea" localSheetId="3" hidden="1">'4'!$B$1:$G$36</definedName>
    <definedName name="Z_5CDC6F58_B038_4A0E_A13D_C643B013E119_.wvu.PrintArea" localSheetId="44" hidden="1">'42'!$B$1:$G$45</definedName>
    <definedName name="Z_5CDC6F58_B038_4A0E_A13D_C643B013E119_.wvu.PrintArea" localSheetId="47" hidden="1">'44'!$B$1:$G$35</definedName>
    <definedName name="Z_5CDC6F58_B038_4A0E_A13D_C643B013E119_.wvu.PrintArea" localSheetId="48" hidden="1">'45'!$B$1:$G$33</definedName>
    <definedName name="Z_5CDC6F58_B038_4A0E_A13D_C643B013E119_.wvu.PrintArea" localSheetId="51" hidden="1">'48'!$B$1:$F$17</definedName>
    <definedName name="Z_5CDC6F58_B038_4A0E_A13D_C643B013E119_.wvu.PrintArea" localSheetId="4" hidden="1">'5'!$A$1:$G$34</definedName>
    <definedName name="Z_5CDC6F58_B038_4A0E_A13D_C643B013E119_.wvu.PrintArea" localSheetId="53" hidden="1">'50'!$B$1:$G$36</definedName>
    <definedName name="Z_5CDC6F58_B038_4A0E_A13D_C643B013E119_.wvu.PrintArea" localSheetId="54" hidden="1">'51'!$A$1:$F$36</definedName>
    <definedName name="Z_5CDC6F58_B038_4A0E_A13D_C643B013E119_.wvu.PrintArea" localSheetId="55" hidden="1">'52'!$B$1:$M$37</definedName>
    <definedName name="Z_5CDC6F58_B038_4A0E_A13D_C643B013E119_.wvu.PrintArea" localSheetId="56" hidden="1">'53'!$B$1:$I$31</definedName>
    <definedName name="Z_5CDC6F58_B038_4A0E_A13D_C643B013E119_.wvu.PrintArea" localSheetId="57" hidden="1">'54'!$A$1:$G$34</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'57'!$B$1:$I$53</definedName>
    <definedName name="Z_5CDC6F58_B038_4A0E_A13D_C643B013E119_.wvu.PrintArea" localSheetId="7" hidden="1">'8'!$B$1:$F$40</definedName>
    <definedName name="Z_5CDC6F58_B038_4A0E_A13D_C643B013E119_.wvu.PrintArea" localSheetId="8" hidden="1">'9'!$B$1:$F$23</definedName>
    <definedName name="Z_5CDC6F58_B038_4A0E_A13D_C643B013E119_.wvu.PrintArea" localSheetId="46" hidden="1">'Contenido Arroz'!$A$1:$G$39</definedName>
    <definedName name="Z_5CDC6F58_B038_4A0E_A13D_C643B013E119_.wvu.PrintArea" localSheetId="29" hidden="1">'Contenido Maíz'!$A$2:$G$40</definedName>
    <definedName name="Z_5CDC6F58_B038_4A0E_A13D_C643B013E119_.wvu.PrintArea" localSheetId="2" hidden="1">'Contenido Trigo'!$A$2:$G$44</definedName>
    <definedName name="Z_5CDC6F58_B038_4A0E_A13D_C643B013E119_.wvu.PrintArea" localSheetId="0" hidden="1">Portada!$A$1:$E$86</definedName>
  </definedNames>
  <calcPr calcId="191028"/>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6" i="89" l="1"/>
  <c r="L56" i="89" s="1"/>
  <c r="H56" i="89"/>
  <c r="I56" i="89"/>
  <c r="M56" i="89" s="1"/>
  <c r="J56" i="89"/>
  <c r="K56" i="89"/>
  <c r="N56" i="89"/>
  <c r="O56" i="89"/>
  <c r="P56" i="89"/>
  <c r="Q56" i="89"/>
  <c r="R56" i="89"/>
  <c r="F56" i="89"/>
  <c r="E56" i="89"/>
  <c r="C56" i="89"/>
  <c r="M13" i="65"/>
  <c r="G13" i="58"/>
  <c r="G14" i="58"/>
  <c r="G15" i="58"/>
  <c r="G14" i="41" l="1"/>
  <c r="G15" i="41"/>
  <c r="G16" i="41"/>
  <c r="D16" i="34" l="1"/>
  <c r="C16" i="34"/>
  <c r="K14" i="7"/>
  <c r="K14" i="27"/>
  <c r="G14" i="8" l="1"/>
  <c r="G15" i="8"/>
  <c r="G16" i="8"/>
  <c r="R29" i="89" l="1"/>
  <c r="O24" i="89"/>
  <c r="O3" i="89"/>
  <c r="G55" i="89"/>
  <c r="I55" i="89"/>
  <c r="Q55" i="89" s="1"/>
  <c r="J55" i="89"/>
  <c r="E55" i="89"/>
  <c r="P55" i="89" l="1"/>
  <c r="R55" i="89"/>
  <c r="C55" i="89"/>
  <c r="F55" i="89" s="1"/>
  <c r="O55" i="89" l="1"/>
  <c r="M12" i="65"/>
  <c r="C19" i="63"/>
  <c r="C18" i="63"/>
  <c r="F18" i="62"/>
  <c r="D18" i="62"/>
  <c r="E23" i="61"/>
  <c r="E22" i="61"/>
  <c r="E21" i="61"/>
  <c r="D19" i="60"/>
  <c r="G19" i="48" l="1"/>
  <c r="D9" i="47" l="1"/>
  <c r="D10" i="47"/>
  <c r="D11" i="47"/>
  <c r="D12" i="47"/>
  <c r="D13" i="47"/>
  <c r="D14" i="47"/>
  <c r="D15" i="47"/>
  <c r="D16" i="47"/>
  <c r="D17" i="47"/>
  <c r="D18" i="47"/>
  <c r="D19" i="47"/>
  <c r="D8" i="47"/>
  <c r="C19" i="47"/>
  <c r="E33" i="45"/>
  <c r="E32" i="45"/>
  <c r="E31" i="45"/>
  <c r="E30" i="45"/>
  <c r="E29" i="45"/>
  <c r="E28" i="45"/>
  <c r="E27" i="45"/>
  <c r="E26" i="45"/>
  <c r="D17" i="43"/>
  <c r="D16" i="43"/>
  <c r="C29" i="31" l="1"/>
  <c r="P25" i="7" l="1"/>
  <c r="O25" i="7"/>
  <c r="Q25" i="7"/>
  <c r="K13" i="7"/>
  <c r="K13" i="27"/>
  <c r="K13" i="3"/>
  <c r="J10" i="5" l="1"/>
  <c r="J11" i="5"/>
  <c r="J12" i="5"/>
  <c r="J13" i="5"/>
  <c r="J14" i="5"/>
  <c r="J15" i="5"/>
  <c r="J16" i="5"/>
  <c r="J9" i="5"/>
  <c r="I8" i="5"/>
  <c r="I9" i="5"/>
  <c r="I10" i="5"/>
  <c r="I11" i="5"/>
  <c r="I12" i="5"/>
  <c r="I13" i="5"/>
  <c r="I14" i="5"/>
  <c r="I15" i="5"/>
  <c r="I16" i="5"/>
  <c r="D10" i="5"/>
  <c r="D11" i="5"/>
  <c r="D12" i="5"/>
  <c r="D13" i="5"/>
  <c r="D14" i="5"/>
  <c r="D15" i="5"/>
  <c r="D16" i="5"/>
  <c r="D9" i="5"/>
  <c r="C18" i="5"/>
  <c r="E22" i="20"/>
  <c r="E23" i="20"/>
  <c r="E24" i="20"/>
  <c r="E25" i="20"/>
  <c r="E26" i="20"/>
  <c r="E27" i="20"/>
  <c r="E28" i="20"/>
  <c r="E29" i="20"/>
  <c r="E30" i="15"/>
  <c r="E31" i="15"/>
  <c r="E32" i="15"/>
  <c r="E33" i="15"/>
  <c r="E34" i="15"/>
  <c r="E35" i="15"/>
  <c r="E36" i="15"/>
  <c r="E37" i="15"/>
  <c r="E38" i="15"/>
  <c r="E39" i="15"/>
  <c r="E29" i="15"/>
  <c r="G17" i="24"/>
  <c r="G16" i="24"/>
  <c r="D17" i="24"/>
  <c r="D16" i="24"/>
  <c r="G18" i="64" l="1"/>
  <c r="D19" i="63" s="1"/>
  <c r="K12" i="27"/>
  <c r="G54" i="89" l="1"/>
  <c r="I54" i="89"/>
  <c r="J54" i="89"/>
  <c r="E54" i="89"/>
  <c r="C54" i="89"/>
  <c r="F54" i="89" s="1"/>
  <c r="M11" i="65"/>
  <c r="R54" i="89" l="1"/>
  <c r="Q54" i="89"/>
  <c r="P54" i="89"/>
  <c r="H55" i="89"/>
  <c r="O54" i="89"/>
  <c r="N25" i="10"/>
  <c r="O25" i="10"/>
  <c r="P25" i="10"/>
  <c r="K12" i="10"/>
  <c r="Q24" i="7"/>
  <c r="P24" i="7"/>
  <c r="O24" i="7"/>
  <c r="K12" i="7"/>
  <c r="J21" i="80"/>
  <c r="K12" i="3"/>
  <c r="F19" i="4"/>
  <c r="D14" i="46" l="1"/>
  <c r="D16" i="46" l="1"/>
  <c r="N24" i="10" l="1"/>
  <c r="O23" i="7"/>
  <c r="K12" i="49" l="1"/>
  <c r="J53" i="89" l="1"/>
  <c r="I53" i="89"/>
  <c r="G53" i="89"/>
  <c r="E53" i="89"/>
  <c r="C53" i="89"/>
  <c r="F53" i="89" s="1"/>
  <c r="M10" i="65"/>
  <c r="Q53" i="89" l="1"/>
  <c r="R53" i="89"/>
  <c r="O53" i="89"/>
  <c r="H54" i="89"/>
  <c r="P53" i="89"/>
  <c r="O24" i="10"/>
  <c r="P24" i="10"/>
  <c r="K11" i="10"/>
  <c r="P23" i="7"/>
  <c r="Q23" i="7"/>
  <c r="O22" i="7"/>
  <c r="K11" i="7"/>
  <c r="K11" i="27"/>
  <c r="K11" i="3"/>
  <c r="K10" i="3"/>
  <c r="D15" i="46" l="1"/>
  <c r="D22" i="46" l="1"/>
  <c r="D21" i="46"/>
  <c r="D17" i="46"/>
  <c r="G6" i="41" l="1"/>
  <c r="E40" i="89"/>
  <c r="E41" i="89"/>
  <c r="E42" i="89"/>
  <c r="E43" i="89"/>
  <c r="E44" i="89"/>
  <c r="E45" i="89"/>
  <c r="E46" i="89"/>
  <c r="E47" i="89"/>
  <c r="E48" i="89"/>
  <c r="E49" i="89"/>
  <c r="E50" i="89"/>
  <c r="E51" i="89"/>
  <c r="E52" i="89"/>
  <c r="J20" i="49"/>
  <c r="N22" i="10"/>
  <c r="O22" i="10"/>
  <c r="P22" i="10"/>
  <c r="N23" i="10"/>
  <c r="O23" i="10"/>
  <c r="P23" i="10"/>
  <c r="N21" i="10"/>
  <c r="Q22" i="7"/>
  <c r="P22" i="7"/>
  <c r="O21" i="7"/>
  <c r="P21" i="7"/>
  <c r="Q21" i="7"/>
  <c r="O20" i="7"/>
  <c r="Q20" i="7"/>
  <c r="K10" i="27"/>
  <c r="J20" i="3" l="1"/>
  <c r="P1" i="3"/>
  <c r="O1" i="3"/>
  <c r="N1" i="3"/>
  <c r="D21" i="3" l="1"/>
  <c r="H21" i="3"/>
  <c r="J21" i="3"/>
  <c r="F10" i="36"/>
  <c r="E10" i="36"/>
  <c r="D13" i="36"/>
  <c r="C18" i="36"/>
  <c r="D10" i="36"/>
  <c r="D11" i="36" s="1"/>
  <c r="D19" i="36" s="1"/>
  <c r="E18" i="36" l="1"/>
  <c r="D14" i="36"/>
  <c r="F18" i="36"/>
  <c r="D18" i="36"/>
  <c r="R4" i="89"/>
  <c r="R5" i="89"/>
  <c r="R6" i="89"/>
  <c r="R7" i="89"/>
  <c r="R8" i="89"/>
  <c r="R9" i="89"/>
  <c r="R10" i="89"/>
  <c r="R11" i="89"/>
  <c r="R12" i="89"/>
  <c r="R13" i="89"/>
  <c r="R14" i="89"/>
  <c r="R15" i="89"/>
  <c r="R16" i="89"/>
  <c r="R17" i="89"/>
  <c r="R18" i="89"/>
  <c r="R19" i="89"/>
  <c r="R20" i="89"/>
  <c r="R21" i="89"/>
  <c r="R22" i="89"/>
  <c r="R23" i="89"/>
  <c r="R24" i="89"/>
  <c r="R25" i="89"/>
  <c r="R26" i="89"/>
  <c r="R27" i="89"/>
  <c r="R28" i="89"/>
  <c r="R30" i="89"/>
  <c r="R31" i="89"/>
  <c r="R32" i="89"/>
  <c r="R33" i="89"/>
  <c r="R34" i="89"/>
  <c r="R35" i="89"/>
  <c r="R36" i="89"/>
  <c r="R37" i="89"/>
  <c r="R38" i="89"/>
  <c r="R39" i="89"/>
  <c r="R40" i="89"/>
  <c r="R3" i="89"/>
  <c r="Q3" i="89"/>
  <c r="Q4" i="89"/>
  <c r="Q5" i="89"/>
  <c r="Q6" i="89"/>
  <c r="Q7" i="89"/>
  <c r="Q8" i="89"/>
  <c r="Q9" i="89"/>
  <c r="Q10" i="89"/>
  <c r="Q11" i="89"/>
  <c r="Q12" i="89"/>
  <c r="Q13" i="89"/>
  <c r="Q14" i="89"/>
  <c r="Q15" i="89"/>
  <c r="Q16" i="89"/>
  <c r="Q17" i="89"/>
  <c r="Q18" i="89"/>
  <c r="Q19" i="89"/>
  <c r="Q20" i="89"/>
  <c r="Q21" i="89"/>
  <c r="Q22" i="89"/>
  <c r="Q23" i="89"/>
  <c r="Q24" i="89"/>
  <c r="Q25" i="89"/>
  <c r="Q26" i="89"/>
  <c r="Q27" i="89"/>
  <c r="Q28" i="89"/>
  <c r="Q29" i="89"/>
  <c r="Q30" i="89"/>
  <c r="Q31" i="89"/>
  <c r="Q32" i="89"/>
  <c r="Q33" i="89"/>
  <c r="Q34" i="89"/>
  <c r="Q35" i="89"/>
  <c r="Q36" i="89"/>
  <c r="Q37" i="89"/>
  <c r="Q38" i="89"/>
  <c r="Q39" i="89"/>
  <c r="Q40" i="89"/>
  <c r="P4" i="89"/>
  <c r="P5" i="89"/>
  <c r="P6" i="89"/>
  <c r="P7" i="89"/>
  <c r="P8" i="89"/>
  <c r="P9" i="89"/>
  <c r="P10" i="89"/>
  <c r="P11" i="89"/>
  <c r="P12" i="89"/>
  <c r="P13" i="89"/>
  <c r="P14" i="89"/>
  <c r="P15" i="89"/>
  <c r="P16" i="89"/>
  <c r="P17" i="89"/>
  <c r="P18" i="89"/>
  <c r="P19" i="89"/>
  <c r="P20" i="89"/>
  <c r="P21" i="89"/>
  <c r="P22" i="89"/>
  <c r="P23" i="89"/>
  <c r="P24" i="89"/>
  <c r="P25" i="89"/>
  <c r="P26" i="89"/>
  <c r="P27" i="89"/>
  <c r="P28" i="89"/>
  <c r="P29" i="89"/>
  <c r="P30" i="89"/>
  <c r="P31" i="89"/>
  <c r="P32" i="89"/>
  <c r="P33" i="89"/>
  <c r="P34" i="89"/>
  <c r="P35" i="89"/>
  <c r="P36" i="89"/>
  <c r="P37" i="89"/>
  <c r="P38" i="89"/>
  <c r="P39" i="89"/>
  <c r="P3" i="89"/>
  <c r="O4" i="89"/>
  <c r="O5" i="89"/>
  <c r="O6" i="89"/>
  <c r="O7" i="89"/>
  <c r="O8" i="89"/>
  <c r="O9" i="89"/>
  <c r="O10" i="89"/>
  <c r="O11" i="89"/>
  <c r="O12" i="89"/>
  <c r="O13" i="89"/>
  <c r="O14" i="89"/>
  <c r="O15" i="89"/>
  <c r="O16" i="89"/>
  <c r="O17" i="89"/>
  <c r="O18" i="89"/>
  <c r="O19" i="89"/>
  <c r="O20" i="89"/>
  <c r="O21" i="89"/>
  <c r="O22" i="89"/>
  <c r="O23" i="89"/>
  <c r="O25" i="89"/>
  <c r="O26" i="89"/>
  <c r="O27" i="89"/>
  <c r="O28" i="89"/>
  <c r="O29" i="89"/>
  <c r="O30" i="89"/>
  <c r="O31" i="89"/>
  <c r="O32" i="89"/>
  <c r="O33" i="89"/>
  <c r="O34" i="89"/>
  <c r="O35" i="89"/>
  <c r="O36" i="89"/>
  <c r="O37" i="89"/>
  <c r="J52" i="89"/>
  <c r="I52" i="89"/>
  <c r="I51" i="89"/>
  <c r="Q51" i="89" s="1"/>
  <c r="G52" i="89"/>
  <c r="G51" i="89"/>
  <c r="Q52" i="89" l="1"/>
  <c r="R52" i="89"/>
  <c r="H53" i="89"/>
  <c r="P51" i="89"/>
  <c r="P52" i="89"/>
  <c r="H52" i="89"/>
  <c r="C52" i="89"/>
  <c r="F52" i="89" s="1"/>
  <c r="C51" i="89"/>
  <c r="F51" i="89" s="1"/>
  <c r="O52" i="89" l="1"/>
  <c r="O51" i="89"/>
  <c r="M9" i="65"/>
  <c r="D35" i="44"/>
  <c r="K10" i="10" l="1"/>
  <c r="K10" i="7"/>
  <c r="K9" i="3"/>
  <c r="C17" i="5" l="1"/>
  <c r="K9" i="10"/>
  <c r="K8" i="10"/>
  <c r="K8" i="3"/>
  <c r="D17" i="5" l="1"/>
  <c r="I17" i="5"/>
  <c r="J17" i="5" s="1"/>
  <c r="D18" i="5"/>
  <c r="F17" i="5"/>
  <c r="M8" i="65" l="1"/>
  <c r="K9" i="7" l="1"/>
  <c r="K9" i="27"/>
  <c r="J51" i="89"/>
  <c r="G13" i="8"/>
  <c r="R51" i="89" l="1"/>
  <c r="C50" i="89"/>
  <c r="F50" i="89" s="1"/>
  <c r="G50" i="89"/>
  <c r="I50" i="89"/>
  <c r="Q50" i="89" s="1"/>
  <c r="J50" i="89"/>
  <c r="R50" i="89" s="1"/>
  <c r="O50" i="89" l="1"/>
  <c r="P50" i="89"/>
  <c r="H51" i="89"/>
  <c r="M7" i="65"/>
  <c r="L19" i="65"/>
  <c r="L20" i="65" s="1"/>
  <c r="J19" i="65"/>
  <c r="J20" i="65" s="1"/>
  <c r="T2" i="65" s="1"/>
  <c r="H19" i="65"/>
  <c r="H20" i="65" s="1"/>
  <c r="U2" i="65" s="1"/>
  <c r="F19" i="65"/>
  <c r="D19" i="65"/>
  <c r="D29" i="31"/>
  <c r="E29" i="31"/>
  <c r="F29" i="31"/>
  <c r="G29" i="31"/>
  <c r="H29" i="31"/>
  <c r="I29" i="31"/>
  <c r="J29" i="31"/>
  <c r="K29" i="31"/>
  <c r="L29" i="31"/>
  <c r="M29" i="31"/>
  <c r="N29" i="31"/>
  <c r="O29" i="31"/>
  <c r="F20" i="65" l="1"/>
  <c r="S2" i="65" s="1"/>
  <c r="D20" i="65"/>
  <c r="R2" i="65" s="1"/>
  <c r="Q9" i="7" l="1"/>
  <c r="Q10" i="7"/>
  <c r="Q11" i="7"/>
  <c r="Q12" i="7"/>
  <c r="Q13" i="7"/>
  <c r="Q14" i="7"/>
  <c r="Q15" i="7"/>
  <c r="Q16" i="7"/>
  <c r="Q17" i="7"/>
  <c r="Q18" i="7"/>
  <c r="Q19" i="7"/>
  <c r="Q8" i="7"/>
  <c r="P20" i="7"/>
  <c r="P9" i="7"/>
  <c r="P10" i="7"/>
  <c r="P11" i="7"/>
  <c r="P12" i="7"/>
  <c r="P13" i="7"/>
  <c r="P14" i="7"/>
  <c r="P15" i="7"/>
  <c r="P16" i="7"/>
  <c r="P17" i="7"/>
  <c r="P18" i="7"/>
  <c r="P19" i="7"/>
  <c r="P8" i="7"/>
  <c r="O9" i="7"/>
  <c r="O10" i="7"/>
  <c r="O11" i="7"/>
  <c r="O12" i="7"/>
  <c r="O14" i="7"/>
  <c r="O15" i="7"/>
  <c r="O16" i="7"/>
  <c r="O18" i="7"/>
  <c r="O19" i="7"/>
  <c r="O8" i="7"/>
  <c r="D20" i="3"/>
  <c r="N2" i="3" s="1"/>
  <c r="E20" i="3"/>
  <c r="E21" i="3" s="1"/>
  <c r="F20" i="3"/>
  <c r="F21" i="3" s="1"/>
  <c r="O2" i="3" s="1"/>
  <c r="G20" i="3"/>
  <c r="H20" i="3"/>
  <c r="P2" i="3" s="1"/>
  <c r="I20" i="3"/>
  <c r="C20" i="3"/>
  <c r="F18" i="47"/>
  <c r="H14" i="47"/>
  <c r="H15" i="47"/>
  <c r="H16" i="47"/>
  <c r="H17" i="47"/>
  <c r="F13" i="47"/>
  <c r="F14" i="47"/>
  <c r="F15" i="47"/>
  <c r="F16" i="47"/>
  <c r="F17" i="47"/>
  <c r="C18" i="47"/>
  <c r="Q2" i="3" l="1"/>
  <c r="G21" i="3"/>
  <c r="C21" i="3"/>
  <c r="E18" i="63" l="1"/>
  <c r="E19" i="61"/>
  <c r="E18" i="61"/>
  <c r="C49" i="89"/>
  <c r="F49" i="89" s="1"/>
  <c r="O49" i="89" s="1"/>
  <c r="G49" i="89"/>
  <c r="I49" i="89"/>
  <c r="Q49" i="89" s="1"/>
  <c r="J49" i="89"/>
  <c r="D29" i="37"/>
  <c r="E29" i="37"/>
  <c r="F29" i="37"/>
  <c r="G29" i="37"/>
  <c r="H29" i="37"/>
  <c r="I29" i="37"/>
  <c r="J29" i="37"/>
  <c r="K29" i="37"/>
  <c r="C29" i="37"/>
  <c r="R49" i="89" l="1"/>
  <c r="P49" i="89"/>
  <c r="H50" i="89"/>
  <c r="G13" i="41"/>
  <c r="C48" i="89" l="1"/>
  <c r="F48" i="89" s="1"/>
  <c r="O48" i="89" s="1"/>
  <c r="G48" i="89"/>
  <c r="I48" i="89"/>
  <c r="Q48" i="89" s="1"/>
  <c r="J48" i="89"/>
  <c r="R48" i="89" l="1"/>
  <c r="P48" i="89"/>
  <c r="H49" i="89"/>
  <c r="J21" i="49"/>
  <c r="C47" i="89" l="1"/>
  <c r="F47" i="89" s="1"/>
  <c r="O47" i="89" s="1"/>
  <c r="G47" i="89"/>
  <c r="I47" i="89"/>
  <c r="Q47" i="89" s="1"/>
  <c r="J47" i="89"/>
  <c r="R47" i="89" s="1"/>
  <c r="P47" i="89" l="1"/>
  <c r="H48" i="89"/>
  <c r="C46" i="89"/>
  <c r="F46" i="89" s="1"/>
  <c r="O46" i="89" s="1"/>
  <c r="G46" i="89"/>
  <c r="H47" i="89" s="1"/>
  <c r="I46" i="89"/>
  <c r="Q46" i="89" s="1"/>
  <c r="J46" i="89"/>
  <c r="R46" i="89" s="1"/>
  <c r="P46" i="89" l="1"/>
  <c r="C45" i="89"/>
  <c r="F45" i="89" s="1"/>
  <c r="O45" i="89" s="1"/>
  <c r="G45" i="89"/>
  <c r="I45" i="89"/>
  <c r="Q45" i="89" s="1"/>
  <c r="J45" i="89"/>
  <c r="R45" i="89" s="1"/>
  <c r="H9" i="47"/>
  <c r="H10" i="47"/>
  <c r="H11" i="47"/>
  <c r="H12" i="47"/>
  <c r="H13" i="47"/>
  <c r="P45" i="89" l="1"/>
  <c r="H46" i="89"/>
  <c r="E17" i="45"/>
  <c r="E18" i="45"/>
  <c r="E19" i="45"/>
  <c r="E20" i="45"/>
  <c r="E21" i="45"/>
  <c r="E22" i="45"/>
  <c r="E23" i="45"/>
  <c r="E24" i="45"/>
  <c r="E16" i="45"/>
  <c r="E20" i="61" l="1"/>
  <c r="C44" i="89"/>
  <c r="F44" i="89" s="1"/>
  <c r="O44" i="89" s="1"/>
  <c r="G44" i="89"/>
  <c r="I44" i="89"/>
  <c r="Q44" i="89" s="1"/>
  <c r="J44" i="89"/>
  <c r="R44" i="89" s="1"/>
  <c r="P44" i="89" l="1"/>
  <c r="H45" i="89"/>
  <c r="E15" i="20"/>
  <c r="E16" i="20"/>
  <c r="E17" i="20"/>
  <c r="E18" i="20"/>
  <c r="E19" i="20"/>
  <c r="E20" i="20"/>
  <c r="E14" i="20"/>
  <c r="E18" i="15"/>
  <c r="E19" i="15"/>
  <c r="E20" i="15"/>
  <c r="E21" i="15"/>
  <c r="E22" i="15"/>
  <c r="E23" i="15"/>
  <c r="E24" i="15"/>
  <c r="E25" i="15"/>
  <c r="E26" i="15"/>
  <c r="E27" i="15"/>
  <c r="E17" i="15"/>
  <c r="C43" i="89" l="1"/>
  <c r="F43" i="89" s="1"/>
  <c r="O43" i="89" s="1"/>
  <c r="G43" i="89"/>
  <c r="I43" i="89"/>
  <c r="Q43" i="89" s="1"/>
  <c r="J43" i="89"/>
  <c r="R43" i="89" s="1"/>
  <c r="P43" i="89" l="1"/>
  <c r="H44" i="89"/>
  <c r="E20" i="46"/>
  <c r="C20" i="46"/>
  <c r="E22" i="46" l="1"/>
  <c r="E21" i="46"/>
  <c r="C21" i="46"/>
  <c r="C22" i="46"/>
  <c r="G12" i="58"/>
  <c r="E19" i="4"/>
  <c r="E11" i="36"/>
  <c r="D18" i="60"/>
  <c r="C42" i="89"/>
  <c r="F42" i="89" s="1"/>
  <c r="O42" i="89" s="1"/>
  <c r="G42" i="89"/>
  <c r="I42" i="89"/>
  <c r="Q42" i="89" s="1"/>
  <c r="J42" i="89"/>
  <c r="R42" i="89" s="1"/>
  <c r="G7" i="58"/>
  <c r="G8" i="58"/>
  <c r="G9" i="58"/>
  <c r="G10" i="58"/>
  <c r="G11" i="58"/>
  <c r="G7" i="8"/>
  <c r="G8" i="8"/>
  <c r="G9" i="8"/>
  <c r="G10" i="8"/>
  <c r="G11" i="8"/>
  <c r="G12" i="8"/>
  <c r="G6" i="8"/>
  <c r="P42" i="89" l="1"/>
  <c r="H43" i="89"/>
  <c r="F19" i="36"/>
  <c r="E19" i="36"/>
  <c r="J41" i="89"/>
  <c r="R41" i="89" s="1"/>
  <c r="I41" i="89"/>
  <c r="Q41" i="89" s="1"/>
  <c r="G40" i="89"/>
  <c r="G41" i="89"/>
  <c r="H42" i="89" s="1"/>
  <c r="P40" i="89" l="1"/>
  <c r="H40" i="89"/>
  <c r="P41" i="89"/>
  <c r="H41" i="89"/>
  <c r="F38" i="89"/>
  <c r="O38" i="89" s="1"/>
  <c r="F39" i="89"/>
  <c r="O39" i="89" s="1"/>
  <c r="F40" i="89"/>
  <c r="O40" i="89" s="1"/>
  <c r="C41" i="89"/>
  <c r="F41" i="89" s="1"/>
  <c r="O41" i="89" s="1"/>
  <c r="N3" i="89" l="1"/>
  <c r="M3" i="89"/>
  <c r="L3" i="89"/>
  <c r="L4" i="89" s="1"/>
  <c r="L5" i="89" s="1"/>
  <c r="L6" i="89" s="1"/>
  <c r="L7" i="89" s="1"/>
  <c r="L8" i="89" s="1"/>
  <c r="L9" i="89" s="1"/>
  <c r="L10" i="89" s="1"/>
  <c r="L11" i="89" s="1"/>
  <c r="L12" i="89" s="1"/>
  <c r="L13" i="89" s="1"/>
  <c r="L14" i="89" s="1"/>
  <c r="L15" i="89" s="1"/>
  <c r="L16" i="89" s="1"/>
  <c r="L17" i="89" s="1"/>
  <c r="L18" i="89" s="1"/>
  <c r="L19" i="89" s="1"/>
  <c r="L20" i="89" s="1"/>
  <c r="L21" i="89" s="1"/>
  <c r="L22" i="89" s="1"/>
  <c r="L23" i="89" s="1"/>
  <c r="L24" i="89" s="1"/>
  <c r="L25" i="89" s="1"/>
  <c r="L26" i="89" s="1"/>
  <c r="L27" i="89" s="1"/>
  <c r="L28" i="89" s="1"/>
  <c r="L29" i="89" s="1"/>
  <c r="L30" i="89" s="1"/>
  <c r="L31" i="89" s="1"/>
  <c r="L32" i="89" s="1"/>
  <c r="L33" i="89" s="1"/>
  <c r="L34" i="89" s="1"/>
  <c r="L35" i="89" s="1"/>
  <c r="L36" i="89" s="1"/>
  <c r="L37" i="89" s="1"/>
  <c r="K3" i="89"/>
  <c r="K4" i="89" s="1"/>
  <c r="K5" i="89" s="1"/>
  <c r="K6" i="89" s="1"/>
  <c r="K7" i="89" s="1"/>
  <c r="K8" i="89" s="1"/>
  <c r="K9" i="89" s="1"/>
  <c r="K10" i="89" s="1"/>
  <c r="K11" i="89" s="1"/>
  <c r="K12" i="89" s="1"/>
  <c r="K13" i="89" s="1"/>
  <c r="K14" i="89" s="1"/>
  <c r="K15" i="89" s="1"/>
  <c r="K16" i="89" s="1"/>
  <c r="K17" i="89" s="1"/>
  <c r="K18" i="89" s="1"/>
  <c r="K19" i="89" s="1"/>
  <c r="K20" i="89" s="1"/>
  <c r="K21" i="89" s="1"/>
  <c r="K22" i="89" s="1"/>
  <c r="K23" i="89" s="1"/>
  <c r="K24" i="89" s="1"/>
  <c r="K25" i="89" s="1"/>
  <c r="K26" i="89" s="1"/>
  <c r="K27" i="89" s="1"/>
  <c r="K28" i="89" s="1"/>
  <c r="K29" i="89" s="1"/>
  <c r="K30" i="89" s="1"/>
  <c r="K31" i="89" s="1"/>
  <c r="K32" i="89" s="1"/>
  <c r="K33" i="89" s="1"/>
  <c r="K34" i="89" s="1"/>
  <c r="K35" i="89" s="1"/>
  <c r="K36" i="89" s="1"/>
  <c r="K37" i="89" s="1"/>
  <c r="F12" i="67"/>
  <c r="G12" i="67"/>
  <c r="E12" i="67"/>
  <c r="D12" i="67"/>
  <c r="C12" i="67"/>
  <c r="F18" i="64"/>
  <c r="D18" i="63" s="1"/>
  <c r="F18" i="63" s="1"/>
  <c r="D20" i="61"/>
  <c r="K38" i="89" l="1"/>
  <c r="K39" i="89" s="1"/>
  <c r="K40" i="89" s="1"/>
  <c r="K41" i="89" s="1"/>
  <c r="K42" i="89" s="1"/>
  <c r="K43" i="89" s="1"/>
  <c r="K44" i="89" s="1"/>
  <c r="K45" i="89" s="1"/>
  <c r="K46" i="89" s="1"/>
  <c r="K47" i="89" s="1"/>
  <c r="K48" i="89" s="1"/>
  <c r="K49" i="89" s="1"/>
  <c r="K50" i="89" s="1"/>
  <c r="K51" i="89" s="1"/>
  <c r="K52" i="89" s="1"/>
  <c r="K53" i="89" s="1"/>
  <c r="K54" i="89" s="1"/>
  <c r="K55" i="89" s="1"/>
  <c r="L38" i="89"/>
  <c r="L39" i="89" s="1"/>
  <c r="L40" i="89" s="1"/>
  <c r="L41" i="89" s="1"/>
  <c r="L42" i="89" s="1"/>
  <c r="L43" i="89" s="1"/>
  <c r="L44" i="89" s="1"/>
  <c r="L45" i="89" s="1"/>
  <c r="L46" i="89" s="1"/>
  <c r="L47" i="89" s="1"/>
  <c r="L48" i="89" s="1"/>
  <c r="L49" i="89" s="1"/>
  <c r="L50" i="89" s="1"/>
  <c r="L51" i="89" s="1"/>
  <c r="L52" i="89" s="1"/>
  <c r="L53" i="89" s="1"/>
  <c r="L54" i="89" s="1"/>
  <c r="L55" i="89" s="1"/>
  <c r="M4" i="89"/>
  <c r="N4" i="89"/>
  <c r="M5" i="89" l="1"/>
  <c r="N5" i="89"/>
  <c r="N6" i="89" l="1"/>
  <c r="M6" i="89"/>
  <c r="M7" i="89" l="1"/>
  <c r="N7" i="89"/>
  <c r="N8" i="89" l="1"/>
  <c r="M8" i="89"/>
  <c r="M9" i="89" l="1"/>
  <c r="N9" i="89"/>
  <c r="N10" i="89" l="1"/>
  <c r="M10" i="89"/>
  <c r="M11" i="89" l="1"/>
  <c r="N11" i="89"/>
  <c r="N12" i="89" l="1"/>
  <c r="M12" i="89"/>
  <c r="M13" i="89" l="1"/>
  <c r="N13" i="89"/>
  <c r="N14" i="89" l="1"/>
  <c r="N15" i="89" s="1"/>
  <c r="M14" i="89"/>
  <c r="M15" i="89" l="1"/>
  <c r="N16" i="89"/>
  <c r="N17" i="89" l="1"/>
  <c r="M16" i="89"/>
  <c r="M17" i="89" l="1"/>
  <c r="N18" i="89"/>
  <c r="N19" i="89" l="1"/>
  <c r="M18" i="89"/>
  <c r="M19" i="89" l="1"/>
  <c r="N20" i="89"/>
  <c r="N21" i="89" l="1"/>
  <c r="M20" i="89"/>
  <c r="M21" i="89" l="1"/>
  <c r="N22" i="89"/>
  <c r="N23" i="89" l="1"/>
  <c r="M22" i="89"/>
  <c r="M23" i="89" l="1"/>
  <c r="N24" i="89"/>
  <c r="N25" i="89" l="1"/>
  <c r="M24" i="89"/>
  <c r="M25" i="89" l="1"/>
  <c r="N26" i="89"/>
  <c r="N27" i="89" l="1"/>
  <c r="M26" i="89"/>
  <c r="M27" i="89" l="1"/>
  <c r="N28" i="89"/>
  <c r="D15" i="45"/>
  <c r="E14" i="45"/>
  <c r="E13" i="45"/>
  <c r="E12" i="45"/>
  <c r="E11" i="45"/>
  <c r="E10" i="45"/>
  <c r="E9" i="45"/>
  <c r="E8" i="45"/>
  <c r="E7" i="45"/>
  <c r="E6" i="45"/>
  <c r="E15" i="45" l="1"/>
  <c r="F15" i="45" s="1"/>
  <c r="N29" i="89"/>
  <c r="M28" i="89"/>
  <c r="D25" i="44"/>
  <c r="D15" i="44"/>
  <c r="E15" i="43"/>
  <c r="M29" i="89" l="1"/>
  <c r="N30" i="89"/>
  <c r="D21" i="20"/>
  <c r="E21" i="20" s="1"/>
  <c r="D28" i="15"/>
  <c r="E28" i="15" s="1"/>
  <c r="N31" i="89" l="1"/>
  <c r="M30" i="89"/>
  <c r="G12" i="41"/>
  <c r="M31" i="89" l="1"/>
  <c r="N32" i="89"/>
  <c r="N33" i="89" l="1"/>
  <c r="M32" i="89"/>
  <c r="M33" i="89" l="1"/>
  <c r="N34" i="89"/>
  <c r="N35" i="89" l="1"/>
  <c r="M34" i="89"/>
  <c r="M35" i="89" l="1"/>
  <c r="N36" i="89"/>
  <c r="T1" i="65"/>
  <c r="I19" i="65"/>
  <c r="N37" i="89" l="1"/>
  <c r="M36" i="89"/>
  <c r="C19" i="4"/>
  <c r="D19" i="4"/>
  <c r="M37" i="89" l="1"/>
  <c r="N38" i="89"/>
  <c r="N39" i="89" l="1"/>
  <c r="M38" i="89"/>
  <c r="D20" i="49"/>
  <c r="D21" i="49" s="1"/>
  <c r="M11" i="49" s="1"/>
  <c r="E20" i="49"/>
  <c r="F20" i="49"/>
  <c r="F21" i="49" s="1"/>
  <c r="N11" i="49" s="1"/>
  <c r="G20" i="49"/>
  <c r="H20" i="49"/>
  <c r="H21" i="49" s="1"/>
  <c r="O11" i="49" s="1"/>
  <c r="I20" i="49"/>
  <c r="C20" i="49"/>
  <c r="G21" i="49" l="1"/>
  <c r="P11" i="49"/>
  <c r="M39" i="89"/>
  <c r="N40" i="89"/>
  <c r="N41" i="89" s="1"/>
  <c r="N42" i="89" s="1"/>
  <c r="N43" i="89" s="1"/>
  <c r="N44" i="89" s="1"/>
  <c r="N45" i="89" s="1"/>
  <c r="N46" i="89" s="1"/>
  <c r="N47" i="89" s="1"/>
  <c r="N48" i="89" s="1"/>
  <c r="P21" i="10"/>
  <c r="P10" i="10"/>
  <c r="P11" i="10"/>
  <c r="P12" i="10"/>
  <c r="P13" i="10"/>
  <c r="P14" i="10"/>
  <c r="P15" i="10"/>
  <c r="P16" i="10"/>
  <c r="P17" i="10"/>
  <c r="P18" i="10"/>
  <c r="P19" i="10"/>
  <c r="P20" i="10"/>
  <c r="P9" i="10"/>
  <c r="O21" i="10"/>
  <c r="O10" i="10"/>
  <c r="O11" i="10"/>
  <c r="O12" i="10"/>
  <c r="O13" i="10"/>
  <c r="O14" i="10"/>
  <c r="O15" i="10"/>
  <c r="O16" i="10"/>
  <c r="O17" i="10"/>
  <c r="O18" i="10"/>
  <c r="O19" i="10"/>
  <c r="O20" i="10"/>
  <c r="O9" i="10"/>
  <c r="N10" i="10"/>
  <c r="N11" i="10"/>
  <c r="N12" i="10"/>
  <c r="N13" i="10"/>
  <c r="N14" i="10"/>
  <c r="N15" i="10"/>
  <c r="N16" i="10"/>
  <c r="N17" i="10"/>
  <c r="N18" i="10"/>
  <c r="N19" i="10"/>
  <c r="N20" i="10"/>
  <c r="N9" i="10"/>
  <c r="N49" i="89" l="1"/>
  <c r="N50" i="89" s="1"/>
  <c r="N51" i="89" s="1"/>
  <c r="N52" i="89" s="1"/>
  <c r="N53" i="89" s="1"/>
  <c r="N54" i="89" s="1"/>
  <c r="N55" i="89" s="1"/>
  <c r="M40" i="89"/>
  <c r="M41" i="89" s="1"/>
  <c r="M42" i="89" s="1"/>
  <c r="M43" i="89" s="1"/>
  <c r="M44" i="89" s="1"/>
  <c r="M45" i="89" s="1"/>
  <c r="M46" i="89" s="1"/>
  <c r="M47" i="89" s="1"/>
  <c r="M48" i="89" s="1"/>
  <c r="M49" i="89" s="1"/>
  <c r="M50" i="89" s="1"/>
  <c r="M51" i="89" s="1"/>
  <c r="M52" i="89" s="1"/>
  <c r="M53" i="89" s="1"/>
  <c r="M54" i="89" s="1"/>
  <c r="M55" i="89" s="1"/>
  <c r="J20" i="27"/>
  <c r="F14" i="5" l="1"/>
  <c r="F15" i="5"/>
  <c r="C16" i="63" l="1"/>
  <c r="C19" i="65"/>
  <c r="E19" i="65"/>
  <c r="G19" i="65"/>
  <c r="K19" i="65"/>
  <c r="F16" i="61"/>
  <c r="F15" i="61"/>
  <c r="E17" i="61"/>
  <c r="C17" i="63" s="1"/>
  <c r="D17" i="61"/>
  <c r="F13" i="61"/>
  <c r="F12" i="61"/>
  <c r="D25" i="45"/>
  <c r="E18" i="64"/>
  <c r="D17" i="63" s="1"/>
  <c r="D17" i="60"/>
  <c r="G11" i="41"/>
  <c r="I21" i="3"/>
  <c r="D18" i="64"/>
  <c r="D16" i="63" s="1"/>
  <c r="C18" i="64"/>
  <c r="D14" i="63" s="1"/>
  <c r="D20" i="27"/>
  <c r="D21" i="27" s="1"/>
  <c r="E20" i="27"/>
  <c r="F20" i="27"/>
  <c r="G20" i="27"/>
  <c r="H20" i="27"/>
  <c r="I20" i="27"/>
  <c r="C20" i="27"/>
  <c r="G18" i="47"/>
  <c r="H18" i="47" s="1"/>
  <c r="E16" i="60"/>
  <c r="F11" i="36"/>
  <c r="F13" i="36"/>
  <c r="E13" i="36"/>
  <c r="G10" i="41"/>
  <c r="E21" i="80"/>
  <c r="K8" i="27"/>
  <c r="I21" i="80"/>
  <c r="F21" i="80"/>
  <c r="I21" i="49"/>
  <c r="G7" i="41"/>
  <c r="G8" i="41"/>
  <c r="G9" i="41"/>
  <c r="E15" i="63"/>
  <c r="G6" i="58"/>
  <c r="D11" i="61"/>
  <c r="E10" i="61"/>
  <c r="E9" i="61"/>
  <c r="E11" i="61" s="1"/>
  <c r="C15" i="63" s="1"/>
  <c r="D8" i="61"/>
  <c r="E7" i="61"/>
  <c r="E6" i="61"/>
  <c r="K8" i="7"/>
  <c r="U1" i="65"/>
  <c r="S1" i="65"/>
  <c r="R1" i="65"/>
  <c r="H21" i="80"/>
  <c r="D21" i="80"/>
  <c r="C21" i="80"/>
  <c r="G21" i="80"/>
  <c r="F9" i="63"/>
  <c r="F10" i="63"/>
  <c r="F11" i="63"/>
  <c r="F12" i="63"/>
  <c r="G12" i="63" s="1"/>
  <c r="F13" i="63"/>
  <c r="F8" i="63"/>
  <c r="B17" i="64"/>
  <c r="B16" i="64"/>
  <c r="B15" i="64"/>
  <c r="B14" i="64"/>
  <c r="B13" i="64"/>
  <c r="B12" i="64"/>
  <c r="B11" i="64"/>
  <c r="B10" i="64"/>
  <c r="B9" i="64"/>
  <c r="B8" i="64"/>
  <c r="B7" i="64"/>
  <c r="B6" i="64"/>
  <c r="E13" i="60"/>
  <c r="D12" i="60"/>
  <c r="E11" i="60"/>
  <c r="E10" i="60"/>
  <c r="E9" i="60"/>
  <c r="E8" i="60"/>
  <c r="E7" i="60"/>
  <c r="E6" i="60"/>
  <c r="G7" i="51"/>
  <c r="F7" i="51"/>
  <c r="E7" i="51"/>
  <c r="D7" i="51"/>
  <c r="G6" i="51"/>
  <c r="F6" i="51"/>
  <c r="E6" i="51"/>
  <c r="D6" i="51"/>
  <c r="C6" i="51"/>
  <c r="B9" i="4"/>
  <c r="B10" i="4"/>
  <c r="B11" i="4"/>
  <c r="B12" i="4"/>
  <c r="B13" i="4"/>
  <c r="B14" i="4"/>
  <c r="B15" i="4"/>
  <c r="B16" i="4"/>
  <c r="N1" i="27"/>
  <c r="O1" i="27"/>
  <c r="B7" i="4"/>
  <c r="F10" i="61"/>
  <c r="F9" i="61"/>
  <c r="F11" i="61" l="1"/>
  <c r="E8" i="61"/>
  <c r="C21" i="27"/>
  <c r="I20" i="65"/>
  <c r="F14" i="36"/>
  <c r="E14" i="36"/>
  <c r="G11" i="63"/>
  <c r="G9" i="63"/>
  <c r="G13" i="63"/>
  <c r="G10" i="63"/>
  <c r="C14" i="63"/>
  <c r="F14" i="63" s="1"/>
  <c r="G14" i="63" s="1"/>
  <c r="F8" i="61"/>
  <c r="F17" i="63"/>
  <c r="G18" i="63" s="1"/>
  <c r="F17" i="61"/>
  <c r="F16" i="63"/>
  <c r="D15" i="63"/>
  <c r="F15" i="63" s="1"/>
  <c r="E20" i="65"/>
  <c r="G20" i="65"/>
  <c r="C20" i="65"/>
  <c r="K20" i="65"/>
  <c r="C21" i="49"/>
  <c r="E21" i="49"/>
  <c r="G21" i="27"/>
  <c r="E21" i="27"/>
  <c r="H21" i="27"/>
  <c r="F21" i="27"/>
  <c r="N10" i="27" l="1"/>
  <c r="N2" i="27"/>
  <c r="O2" i="27"/>
  <c r="O10" i="27"/>
  <c r="P10" i="27"/>
  <c r="G17" i="63"/>
  <c r="G15" i="63"/>
  <c r="V2" i="65"/>
  <c r="G16" i="63"/>
  <c r="M2" i="3"/>
  <c r="P2" i="27" l="1"/>
</calcChain>
</file>

<file path=xl/sharedStrings.xml><?xml version="1.0" encoding="utf-8"?>
<sst xmlns="http://schemas.openxmlformats.org/spreadsheetml/2006/main" count="1943" uniqueCount="765">
  <si>
    <t>Boletín de Cereales</t>
  </si>
  <si>
    <t>Cereales: producción, precios y comercio exterior de trigo, maíz y arroz</t>
  </si>
  <si>
    <t>Trigo: Páginas 4-27</t>
  </si>
  <si>
    <t>Maíz: Páginas 28-43</t>
  </si>
  <si>
    <t>Publicación de la Oficina de Estudios y Políticas Agrarias (Odepa)</t>
  </si>
  <si>
    <t>del Ministerio de Agricultura, Gobierno de Chile</t>
  </si>
  <si>
    <t>Directora y representante legal</t>
  </si>
  <si>
    <t>Se puede reproducir total o parcialmente citando la fuente</t>
  </si>
  <si>
    <t>Teatinos 40, piso 7. Santiago, Chile</t>
  </si>
  <si>
    <t>Teléfono :(56- 2) 23973000</t>
  </si>
  <si>
    <t>Fax :(56- 2) 23973111</t>
  </si>
  <si>
    <t xml:space="preserve">www.odepa.gob.cl  </t>
  </si>
  <si>
    <t>INTRODUCCIÓN</t>
  </si>
  <si>
    <t xml:space="preserve">
</t>
  </si>
  <si>
    <t>CEREALES: TRIGO</t>
  </si>
  <si>
    <t>TABLA DE CONTENIDO TRIGO</t>
  </si>
  <si>
    <t>Cuadros</t>
  </si>
  <si>
    <t>Descripción</t>
  </si>
  <si>
    <t>Página</t>
  </si>
  <si>
    <t>Nº 1</t>
  </si>
  <si>
    <t xml:space="preserve">Proyección mensual del balance mundial de oferta y demanda de trigo </t>
  </si>
  <si>
    <t>Nº 2</t>
  </si>
  <si>
    <t>Balance mundial de oferta y demanda de trigo</t>
  </si>
  <si>
    <t>Nº 3</t>
  </si>
  <si>
    <t>Balance de oferta y demanda de trigo por país de origen</t>
  </si>
  <si>
    <t>Nº 4</t>
  </si>
  <si>
    <t>Chile. Superficie, producción y rendimiento nacional de trigo (Coquimbo a Los Lagos)</t>
  </si>
  <si>
    <t>Nº 5</t>
  </si>
  <si>
    <t>Chile. Superficie, producción y rendimiento regional de trigo panadero (Coquimbo a Los Lagos)</t>
  </si>
  <si>
    <t>Nº 6</t>
  </si>
  <si>
    <t>Chile. Superficie, producción y rendimiento regional de trigo candeal (Valparaíso a La Araucanía)</t>
  </si>
  <si>
    <t>Nº 7</t>
  </si>
  <si>
    <t>Chile. Trigo - Costos por hectárea según rendimiento esperado ($/ha)</t>
  </si>
  <si>
    <t>Nº 8</t>
  </si>
  <si>
    <t>Chile. Producción, importación y disponibilidad aparente de trigo panadero y candeal</t>
  </si>
  <si>
    <t>N° 9</t>
  </si>
  <si>
    <t>Chile. Evolución mensual de las importaciones de trigo</t>
  </si>
  <si>
    <t>N° 10</t>
  </si>
  <si>
    <t>Chile. Importaciones de trigo panadero por principales países de origen</t>
  </si>
  <si>
    <t>N° 11</t>
  </si>
  <si>
    <t>Chile. Importaciones de trigo panadero por tipo</t>
  </si>
  <si>
    <t>N° 12</t>
  </si>
  <si>
    <t>Chile. Importaciones de trigo panadero por tipo, desde Argentina</t>
  </si>
  <si>
    <t>N° 13</t>
  </si>
  <si>
    <t>Chile. Costo promedio ponderado de las importaciones efectuadas de trigo por tipo</t>
  </si>
  <si>
    <t>N° 14</t>
  </si>
  <si>
    <t>Chile. Costo promedio ponderado de las importaciones de trigo panadero por tipo, desde Argentina</t>
  </si>
  <si>
    <t>N° 15</t>
  </si>
  <si>
    <t xml:space="preserve">Chile.  Precios promedio nacionales informados por la industria </t>
  </si>
  <si>
    <t>Nº 16</t>
  </si>
  <si>
    <t>Chile. Precios promedio informados por la industria, por regiones</t>
  </si>
  <si>
    <t>Nº 17</t>
  </si>
  <si>
    <t xml:space="preserve">Evolución de los precios en los mercados de Argentina, Estados Unidos y Chile </t>
  </si>
  <si>
    <t>Nº 18</t>
  </si>
  <si>
    <t xml:space="preserve">Chile. Molienda de trigo blanco y candeal por producto y subproductos </t>
  </si>
  <si>
    <t>Nº 19</t>
  </si>
  <si>
    <t>Chile. Molienda de trigo blanco y candeal por región</t>
  </si>
  <si>
    <t>N° 20</t>
  </si>
  <si>
    <t>Chile. Stock harina blanca</t>
  </si>
  <si>
    <t>N° 21</t>
  </si>
  <si>
    <t>Chile. Stock trigo sucio blanco</t>
  </si>
  <si>
    <t>N° 22</t>
  </si>
  <si>
    <t>Chile. Volumen trigo blanco nacional comprado regional</t>
  </si>
  <si>
    <t>26A</t>
  </si>
  <si>
    <t>N° 23</t>
  </si>
  <si>
    <t>Chile. Volumen trigo blanco importado comprado regional</t>
  </si>
  <si>
    <t>26B</t>
  </si>
  <si>
    <t>N° 24</t>
  </si>
  <si>
    <t>Chile. Volumen trigo blanco comprado a terceros regional (nacional e importado)</t>
  </si>
  <si>
    <t>26C</t>
  </si>
  <si>
    <t>Nº 25</t>
  </si>
  <si>
    <t>Variación 12 meses precio trigo, harina y pan</t>
  </si>
  <si>
    <t>Gráfico</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</si>
  <si>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</si>
  <si>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</si>
  <si>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</si>
  <si>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Chile. Evolución mensual de las importaciones de trigo panadero y candeal</t>
  </si>
  <si>
    <t xml:space="preserve">Participación por país de origen en las importaciones de trigo panadero </t>
  </si>
  <si>
    <t xml:space="preserve">Participación por tipo en las importaciones de trigo panadero  </t>
  </si>
  <si>
    <t xml:space="preserve">Chile. Costo promedio ponderado de las importaciones de trigo </t>
  </si>
  <si>
    <t>N°9</t>
  </si>
  <si>
    <t xml:space="preserve">Precios promedio nacionales informados por la industria por tipo de trigo </t>
  </si>
  <si>
    <t>N°10</t>
  </si>
  <si>
    <t xml:space="preserve">Evolución de los precios en los mercados de Estados Unidos, Argentina y Chile
</t>
  </si>
  <si>
    <t>N°11</t>
  </si>
  <si>
    <t xml:space="preserve">Evolución de los precios del trigo HRW en el mercado de futuros de Kansas </t>
  </si>
  <si>
    <t>Cuadro Nº 1</t>
  </si>
  <si>
    <t>(millones de toneladas)</t>
  </si>
  <si>
    <t>Mes de la proyección</t>
  </si>
  <si>
    <t>Existencias iniciales</t>
  </si>
  <si>
    <t>Producción</t>
  </si>
  <si>
    <t>Demanda</t>
  </si>
  <si>
    <t>Exportaciones</t>
  </si>
  <si>
    <t xml:space="preserve">Existencias finales </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</si>
  <si>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</si>
  <si>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 WASDE, USDA.           </t>
  </si>
  <si>
    <t>Cuadro Nº 2</t>
  </si>
  <si>
    <t>Balance mundial de oferta y demanda de trigo por temporada</t>
  </si>
  <si>
    <t>Temporada / Año</t>
  </si>
  <si>
    <t>Existencias finales</t>
  </si>
  <si>
    <t>Relación existencias finales/consumo</t>
  </si>
  <si>
    <t>2012/13</t>
  </si>
  <si>
    <t>2013/14</t>
  </si>
  <si>
    <t xml:space="preserve">2014/15 </t>
  </si>
  <si>
    <t xml:space="preserve">2015/16 </t>
  </si>
  <si>
    <t xml:space="preserve">2016/17 </t>
  </si>
  <si>
    <t xml:space="preserve">2017/18 </t>
  </si>
  <si>
    <t>2018/19</t>
  </si>
  <si>
    <t xml:space="preserve">2019/20 </t>
  </si>
  <si>
    <r>
      <t xml:space="preserve">Fuente: elaborado por Odepa con información de </t>
    </r>
    <r>
      <rPr>
        <i/>
        <sz val="9"/>
        <rFont val="Arial"/>
        <family val="2"/>
      </rPr>
      <t>WASDE, USDA.</t>
    </r>
  </si>
  <si>
    <t>Cuadro Nº 3</t>
  </si>
  <si>
    <t>Años</t>
  </si>
  <si>
    <t>Argentina</t>
  </si>
  <si>
    <t>Australia</t>
  </si>
  <si>
    <t>Canadá</t>
  </si>
  <si>
    <t>Unión Europea</t>
  </si>
  <si>
    <t>Kazajistán</t>
  </si>
  <si>
    <t>Rusia</t>
  </si>
  <si>
    <t>Ucrania</t>
  </si>
  <si>
    <t>EE.UU.</t>
  </si>
  <si>
    <t>China</t>
  </si>
  <si>
    <t>Mundo</t>
  </si>
  <si>
    <t>Mundo sin China</t>
  </si>
  <si>
    <t>Importaciones</t>
  </si>
  <si>
    <r>
      <t xml:space="preserve">Fuente: elaborado por Odepa con información de </t>
    </r>
    <r>
      <rPr>
        <i/>
        <sz val="9"/>
        <rFont val="Arial"/>
        <family val="2"/>
      </rPr>
      <t>WASDE, USDA</t>
    </r>
    <r>
      <rPr>
        <sz val="9"/>
        <rFont val="Arial"/>
        <family val="2"/>
      </rPr>
      <t>.</t>
    </r>
  </si>
  <si>
    <t>Cuadro Nº 4</t>
  </si>
  <si>
    <t>Chile. Superficie, producción y rendimiento nacional de trigo panadero y candeal</t>
  </si>
  <si>
    <t>Año agrícola</t>
  </si>
  <si>
    <t>Trigo panadero</t>
  </si>
  <si>
    <t>Trigo candeal</t>
  </si>
  <si>
    <t>Superficie 
(miles de hectáreas)</t>
  </si>
  <si>
    <t>Producción 
(miles de toneladas)</t>
  </si>
  <si>
    <t>Rendimiento 
(qqm/
hectárea)</t>
  </si>
  <si>
    <t>2011/12</t>
  </si>
  <si>
    <t>2014/15</t>
  </si>
  <si>
    <t>2015/16</t>
  </si>
  <si>
    <t>2016/17</t>
  </si>
  <si>
    <t>2017/18</t>
  </si>
  <si>
    <t>2019/20</t>
  </si>
  <si>
    <t>2020/21</t>
  </si>
  <si>
    <t>Cuadro Nº 5</t>
  </si>
  <si>
    <t>Chile. Superficie, producción y rendimiento regional de trigo panadero 
(Coquimbo a Los Lagos)</t>
  </si>
  <si>
    <t>Región</t>
  </si>
  <si>
    <t>Superficie (hectáreas)</t>
  </si>
  <si>
    <t>Producción (toneladas)</t>
  </si>
  <si>
    <t>Rendimiento (quintales/ hectárea)</t>
  </si>
  <si>
    <t>Valparaíso</t>
  </si>
  <si>
    <t>Metropolitana</t>
  </si>
  <si>
    <t>O'Higgins</t>
  </si>
  <si>
    <t>Maule</t>
  </si>
  <si>
    <t>Ñuble</t>
  </si>
  <si>
    <t>Bío Bío</t>
  </si>
  <si>
    <t>La Araucanía</t>
  </si>
  <si>
    <t>Los Ríos</t>
  </si>
  <si>
    <t>Los Lagos</t>
  </si>
  <si>
    <t>Otras</t>
  </si>
  <si>
    <t>País</t>
  </si>
  <si>
    <t>Coquimbo</t>
  </si>
  <si>
    <t xml:space="preserve">Fuente: elaborado por Odepa con información del INE.  </t>
  </si>
  <si>
    <t>Cuadro Nº 6</t>
  </si>
  <si>
    <t>Chile. Superficie, producción y rendimiento regional de trigo candeal 
(Valparaíso a La Araucanía)</t>
  </si>
  <si>
    <t xml:space="preserve">Fuente: elaborado por Odepa con información del INE. </t>
  </si>
  <si>
    <t>Cuadro Nº 7</t>
  </si>
  <si>
    <t>Trigo invierno (secano)</t>
  </si>
  <si>
    <t>Trigo primavera (riego)</t>
  </si>
  <si>
    <t>Trigo primavera (secano)</t>
  </si>
  <si>
    <t>Mano de obra</t>
  </si>
  <si>
    <t>Maquinaria</t>
  </si>
  <si>
    <t>Insumos</t>
  </si>
  <si>
    <t>Total costos</t>
  </si>
  <si>
    <t xml:space="preserve">Precio promedio trigo intermedio regional </t>
  </si>
  <si>
    <t xml:space="preserve">Ingreso por hectárea </t>
  </si>
  <si>
    <t>Margen neto por hectárea</t>
  </si>
  <si>
    <t>Análisis de sensibilidad Trigo invierno (72 qqm/ha) Margen neto ($/ha)</t>
  </si>
  <si>
    <t>Trigo</t>
  </si>
  <si>
    <t>Intermedio</t>
  </si>
  <si>
    <t xml:space="preserve">Fuente: elaboración propia sobre la base de estructuras de costos construidas para Odepa por Fundación Chile. </t>
  </si>
  <si>
    <t>Nota:</t>
  </si>
  <si>
    <t>Cuadro Nº 8</t>
  </si>
  <si>
    <t>Chile. Producción, importación y disponibilidad aparente de trigo panadero</t>
  </si>
  <si>
    <t>(toneladas)</t>
  </si>
  <si>
    <t>Año</t>
  </si>
  <si>
    <t>Variación  anual</t>
  </si>
  <si>
    <t>Importación</t>
  </si>
  <si>
    <r>
      <rPr>
        <b/>
        <i/>
        <sz val="10"/>
        <rFont val="Arial"/>
        <family val="2"/>
      </rPr>
      <t xml:space="preserve">Stocks </t>
    </r>
    <r>
      <rPr>
        <b/>
        <sz val="10"/>
        <rFont val="Arial"/>
        <family val="2"/>
      </rPr>
      <t>(inicial-final)</t>
    </r>
  </si>
  <si>
    <t>Exportación</t>
  </si>
  <si>
    <t>Disponibilidad aparente</t>
  </si>
  <si>
    <t xml:space="preserve"> (%)</t>
  </si>
  <si>
    <t>-</t>
  </si>
  <si>
    <t>Cuadro Nº 9</t>
  </si>
  <si>
    <t>Chile. Evolución mensual de las importaciones de trigo (panadero y candeal)</t>
  </si>
  <si>
    <t xml:space="preserve">Año/Mes </t>
  </si>
  <si>
    <t xml:space="preserve">Febrero </t>
  </si>
  <si>
    <t>Noviembre</t>
  </si>
  <si>
    <t>Diciembre</t>
  </si>
  <si>
    <t>Total</t>
  </si>
  <si>
    <t>Cuadro Nº 10</t>
  </si>
  <si>
    <t>Otros</t>
  </si>
  <si>
    <t>Mes</t>
  </si>
  <si>
    <t>Var. %</t>
  </si>
  <si>
    <t>Enero</t>
  </si>
  <si>
    <t>Febrero</t>
  </si>
  <si>
    <t>Marzo</t>
  </si>
  <si>
    <t>Abril</t>
  </si>
  <si>
    <t>Mayo</t>
  </si>
  <si>
    <t>Junio</t>
  </si>
  <si>
    <t>Julio</t>
  </si>
  <si>
    <t>Agosto</t>
  </si>
  <si>
    <t>Septiembre</t>
  </si>
  <si>
    <t>Octubre</t>
  </si>
  <si>
    <t xml:space="preserve">Diciembre </t>
  </si>
  <si>
    <t xml:space="preserve">Participación </t>
  </si>
  <si>
    <t>Cuadro Nº 11</t>
  </si>
  <si>
    <t>Suave</t>
  </si>
  <si>
    <t>Fuerte</t>
  </si>
  <si>
    <t>Participación</t>
  </si>
  <si>
    <t>Cuadro Nº 12</t>
  </si>
  <si>
    <t>Glosas arancelarias</t>
  </si>
  <si>
    <t>10019941 
(Pan Argentino)</t>
  </si>
  <si>
    <t>10019942 
(Pan Argentino)
10019952 (Canadian)</t>
  </si>
  <si>
    <t>10019993 (Los demás)
10019953 (Canadian)
10019913 (HRW)
10019943 
(Pan Argentino)
10019933 (SW)</t>
  </si>
  <si>
    <t>10019949 
(Los demás Trigo Pan Argentino)
10019999 
(Los demás trigos y morcajo)</t>
  </si>
  <si>
    <t>Tipo de trigo</t>
  </si>
  <si>
    <t>Cuadro Nº 13</t>
  </si>
  <si>
    <t>Chile. Costo promedio ponderado de las importaciones de trigo panadero por tipo</t>
  </si>
  <si>
    <t xml:space="preserve">($ / kilo nominal CIF)   </t>
  </si>
  <si>
    <t>Trigo Pan Argentino</t>
  </si>
  <si>
    <t>Canadian WRS</t>
  </si>
  <si>
    <t>CanadianTrigo pan</t>
  </si>
  <si>
    <t>TPArg</t>
  </si>
  <si>
    <t>Cuadro Nº 14</t>
  </si>
  <si>
    <t xml:space="preserve">(USD/ tonelada CIF)   </t>
  </si>
  <si>
    <t>10019942 
(Pan Argentino)</t>
  </si>
  <si>
    <t>Cuadro Nº 15</t>
  </si>
  <si>
    <t>Chile.  Precios promedio nacionales informados por la industria</t>
  </si>
  <si>
    <t>($ / kilo nominal)</t>
  </si>
  <si>
    <t xml:space="preserve">Suave </t>
  </si>
  <si>
    <t>Fuente: elaborado por Odepa con información de Cotrisa.</t>
  </si>
  <si>
    <t>Cuadro Nº 16</t>
  </si>
  <si>
    <t>Chile. Precios promedio informados por la industria para trigo intermedio, por regiones</t>
  </si>
  <si>
    <t>Región Metropolitana</t>
  </si>
  <si>
    <t>Región del Maule</t>
  </si>
  <si>
    <t>Región del Ñuble</t>
  </si>
  <si>
    <t>Región del Bío Bío</t>
  </si>
  <si>
    <t>Región de la Araucanía</t>
  </si>
  <si>
    <t>Cuadro Nº 17</t>
  </si>
  <si>
    <t>Evolución de los precios en los mercados de Chile, Argentina y Estados Unidos</t>
  </si>
  <si>
    <t>(precios mensuales nominales expresados en $ / kg)</t>
  </si>
  <si>
    <t>Trigo SRW n° 2, FOB Golfo, EE.UU.</t>
  </si>
  <si>
    <t>CAI SRW Golfo</t>
  </si>
  <si>
    <t>Costo importación CIF trigo SRW</t>
  </si>
  <si>
    <t>CAI trigo panadero Argentina</t>
  </si>
  <si>
    <t>Precio promedio trigo intermedio RM</t>
  </si>
  <si>
    <t>Costo importación CIF Trigo Pan Argentino</t>
  </si>
  <si>
    <t xml:space="preserve">Fuente: elaborado por Odepa con antecedentes de Cotrisa, bolsas, Banco Central y Reuters.                                        </t>
  </si>
  <si>
    <t>4 de enero de 2021</t>
  </si>
  <si>
    <t>11 de enero de 2021</t>
  </si>
  <si>
    <t>Fuente: elaborado por Odepa con información de las Bolsas y Reuters.</t>
  </si>
  <si>
    <t>19 de enero de 2021</t>
  </si>
  <si>
    <t>25 de enero de 2021</t>
  </si>
  <si>
    <t>1 de febrero de 2021</t>
  </si>
  <si>
    <t>8 de febrero de 2021</t>
  </si>
  <si>
    <t>16 de febrero de 2021</t>
  </si>
  <si>
    <t>22 de febrero de 2021</t>
  </si>
  <si>
    <t>1 de marzo de 2021</t>
  </si>
  <si>
    <t>8 de marzo de 2021</t>
  </si>
  <si>
    <t>15 de marzo de 2021</t>
  </si>
  <si>
    <t>22 de marzo de 2021</t>
  </si>
  <si>
    <t>29 de marzo de 2021</t>
  </si>
  <si>
    <t>5 de abril de 2021</t>
  </si>
  <si>
    <t>12 de abril de 2021</t>
  </si>
  <si>
    <t>19 de abril de 2021</t>
  </si>
  <si>
    <t>26 de abril de 2021</t>
  </si>
  <si>
    <t>3 de mayo de 2021</t>
  </si>
  <si>
    <t>10 de mayo de 2021</t>
  </si>
  <si>
    <t>17 de mayo de 2021</t>
  </si>
  <si>
    <t>24 de mayo de 2021</t>
  </si>
  <si>
    <t>1 de junio de 2021</t>
  </si>
  <si>
    <t>7 de junio de 2021</t>
  </si>
  <si>
    <t>14 de junio de 2021</t>
  </si>
  <si>
    <t>21 de junio de 2021</t>
  </si>
  <si>
    <t>28 de junio de 2021</t>
  </si>
  <si>
    <t>6 de julio de 2021</t>
  </si>
  <si>
    <t>12 de julio de 2021</t>
  </si>
  <si>
    <t>19 de julio de 2021</t>
  </si>
  <si>
    <t>26 de julio de 2021</t>
  </si>
  <si>
    <t>2 de agosto de 2021</t>
  </si>
  <si>
    <t>9 de agosto de 2021</t>
  </si>
  <si>
    <t>16 de agosto de 2021</t>
  </si>
  <si>
    <t>23 de agosto de 2021</t>
  </si>
  <si>
    <t>30 de agosto de 2021</t>
  </si>
  <si>
    <t>7 de septiembre de 2021</t>
  </si>
  <si>
    <t>13 de septiembre de 2021</t>
  </si>
  <si>
    <t>20 de septiembre de 2021</t>
  </si>
  <si>
    <t>27 de septiembre de 2021</t>
  </si>
  <si>
    <t>4 de octubre de 2021</t>
  </si>
  <si>
    <t>11 de octubre de 2021</t>
  </si>
  <si>
    <t>Cuadro N° 18</t>
  </si>
  <si>
    <t>Chile. Molienda de trigo blanco y candeal por producto y subproductos</t>
  </si>
  <si>
    <t>Año y Mes</t>
  </si>
  <si>
    <t>Productos</t>
  </si>
  <si>
    <t>Subproductos</t>
  </si>
  <si>
    <t>Harina</t>
  </si>
  <si>
    <t>Sémola</t>
  </si>
  <si>
    <t>Semolín</t>
  </si>
  <si>
    <t>Harinilla</t>
  </si>
  <si>
    <t>Afrecho</t>
  </si>
  <si>
    <t>Afrechillo</t>
  </si>
  <si>
    <t>Primera</t>
  </si>
  <si>
    <t>Especial</t>
  </si>
  <si>
    <t>Otra</t>
  </si>
  <si>
    <t>Sept.</t>
  </si>
  <si>
    <t>Noviemb.</t>
  </si>
  <si>
    <t>Diciemb.</t>
  </si>
  <si>
    <t xml:space="preserve">Fuente: INE. </t>
  </si>
  <si>
    <t>Nota: Considera trigo nacional e importado.</t>
  </si>
  <si>
    <t>/P: cifras provisionales</t>
  </si>
  <si>
    <t>Variación (%)</t>
  </si>
  <si>
    <t>Mensual</t>
  </si>
  <si>
    <t>En 12 meses</t>
  </si>
  <si>
    <t>Acumulada</t>
  </si>
  <si>
    <t>Cuadro N° 19</t>
  </si>
  <si>
    <t>O´Higgins</t>
  </si>
  <si>
    <t>Biobío</t>
  </si>
  <si>
    <t>Los Rios- Los Lagos</t>
  </si>
  <si>
    <t>RM</t>
  </si>
  <si>
    <t>Antofagasta-Coquimbo-Arica y Parinacota y Maule</t>
  </si>
  <si>
    <t>P: cifras provisionales</t>
  </si>
  <si>
    <t>Cuadro N° 20</t>
  </si>
  <si>
    <t>Regiones</t>
  </si>
  <si>
    <t>Arica, Tarapacá, Coquimbo y Maule</t>
  </si>
  <si>
    <t>Biobio</t>
  </si>
  <si>
    <t>Araucanía</t>
  </si>
  <si>
    <t>Los Ríos y Los Lagos</t>
  </si>
  <si>
    <t>Stock Inicial</t>
  </si>
  <si>
    <t xml:space="preserve">Stock Final </t>
  </si>
  <si>
    <t>Fuente: INE</t>
  </si>
  <si>
    <t>Cuadro N° 21</t>
  </si>
  <si>
    <t>Cuadro N° 22</t>
  </si>
  <si>
    <t>Cuadro N° 23</t>
  </si>
  <si>
    <t>Cuadro N° 24</t>
  </si>
  <si>
    <t>Nacional</t>
  </si>
  <si>
    <t>Importado</t>
  </si>
  <si>
    <t>Cuadro Nº 25</t>
  </si>
  <si>
    <t>(porcentaje)</t>
  </si>
  <si>
    <t xml:space="preserve">Fuente: elaborado por Odepa con información del INE.                               </t>
  </si>
  <si>
    <t>CEREALES: MAÍZ</t>
  </si>
  <si>
    <t>TABLA DE CONTENIDO MAÍZ</t>
  </si>
  <si>
    <t xml:space="preserve">Proyecciones de producción y demanda mundial de maíz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</si>
  <si>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</si>
  <si>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</si>
  <si>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</si>
  <si>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</si>
  <si>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</si>
  <si>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</si>
  <si>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 xml:space="preserve">Chile. Producción, importación y  disponibilidad aparente de maíz grano </t>
  </si>
  <si>
    <t>Chile. Volumen de Importaciones de maíz</t>
  </si>
  <si>
    <t>Chile. Volumen de importaciones de maíz por principales países de origen</t>
  </si>
  <si>
    <t>Chile. Volumen de Importaciones de maíz y productos sustitutos</t>
  </si>
  <si>
    <t>N°12</t>
  </si>
  <si>
    <t>Chile. Costo promedio ponderado de las importaciones de maíz y sus sutitutos</t>
  </si>
  <si>
    <t>N°13</t>
  </si>
  <si>
    <t>Chile. Precios promedio nacionales informados por la industria</t>
  </si>
  <si>
    <t>N°14</t>
  </si>
  <si>
    <t>N°15</t>
  </si>
  <si>
    <t>Evolución de los precios en los mercados de Argentina, Estados Unidos y Chile</t>
  </si>
  <si>
    <t>Gráficos</t>
  </si>
  <si>
    <t>Proyecciones del balance mundial de oferta y demanda de maíz</t>
  </si>
  <si>
    <t>Producción y demanda mundial de maíz</t>
  </si>
  <si>
    <t xml:space="preserve">Chile. Evolución de la superficie sembrada, producción nacional de maíz para consumo  y rendimiento 
</t>
  </si>
  <si>
    <t>Chile. Producción, importación y disponibilidad aparente de maíz grano</t>
  </si>
  <si>
    <t>Chile. Evolución mensual de las importaciones de maíz</t>
  </si>
  <si>
    <t xml:space="preserve">Chile. Participación por país de origen en las importaciones de maíz  </t>
  </si>
  <si>
    <t>Chile.  Evolución del precio promedio nacional informado por la industria</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</si>
  <si>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</si>
  <si>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</si>
  <si>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</si>
  <si>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</si>
  <si>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</si>
  <si>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2012/2013</t>
  </si>
  <si>
    <t>2014/2015</t>
  </si>
  <si>
    <t>2015/2016</t>
  </si>
  <si>
    <t xml:space="preserve">2016/2017 </t>
  </si>
  <si>
    <t xml:space="preserve">2018/19 </t>
  </si>
  <si>
    <t>Fuente: elaborado por Odepa con información de WASDE, USDA.</t>
  </si>
  <si>
    <t xml:space="preserve">Cuadro Nº 3 </t>
  </si>
  <si>
    <t>Brasil</t>
  </si>
  <si>
    <r>
      <t xml:space="preserve">Fuente: elaborado por Odepa con información de </t>
    </r>
    <r>
      <rPr>
        <i/>
        <sz val="9"/>
        <rFont val="Arial"/>
        <family val="2"/>
      </rPr>
      <t>WASDE.</t>
    </r>
  </si>
  <si>
    <t>Chile. Superficie, producción y rendimiento nacional de maíz grano
(Coquimbo a Los Lagos)</t>
  </si>
  <si>
    <t>Temporada</t>
  </si>
  <si>
    <t>Rendimiento 
(qqm/ha)</t>
  </si>
  <si>
    <t>2010/11</t>
  </si>
  <si>
    <t>2019/19</t>
  </si>
  <si>
    <t xml:space="preserve">Fuente: elaborado por Odepa con información del Instituto Nacional de Estadísticas (INE). 
</t>
  </si>
  <si>
    <t>Chile. Superficie regional de maíz (Coquimbo a Los Lagos)
Incluye semilleros de maíz</t>
  </si>
  <si>
    <t>2019/2020</t>
  </si>
  <si>
    <t>2020/2021</t>
  </si>
  <si>
    <t>Chile. Superficie, producción y rendimiento regional de maíz (Coquimbo a La Araucanía)
Sin semilleros de maíz</t>
  </si>
  <si>
    <t>Rendimiento (quintales/hectárea)</t>
  </si>
  <si>
    <t>Rendimiento quintales / hectárea</t>
  </si>
  <si>
    <t>Item</t>
  </si>
  <si>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</si>
  <si>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</si>
  <si>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</si>
  <si>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</si>
  <si>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</si>
  <si>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</si>
  <si>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</si>
  <si>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 xml:space="preserve">(3) Incluye imprevistos, costo financiero, costo de oportunidad de la tierra (arriendo), administración, impuestos y contribuciones. </t>
  </si>
  <si>
    <t>(5) Representa el precio de venta mínimo para cubrir los costos totales de producción.</t>
  </si>
  <si>
    <t>Toneladas</t>
  </si>
  <si>
    <t>Variación  anual (%)</t>
  </si>
  <si>
    <t>Chile. Volumen de importaciones de maíz grano</t>
  </si>
  <si>
    <t xml:space="preserve">Año </t>
  </si>
  <si>
    <t>Fuente: elaborado por Odepa con información del Servicio Nacional de Aduanas.</t>
  </si>
  <si>
    <t>Chile. Volumen de importaciones de maíz grano por principales países de origen</t>
  </si>
  <si>
    <t>Meses</t>
  </si>
  <si>
    <t>Paraguay</t>
  </si>
  <si>
    <t>Estados Unidos</t>
  </si>
  <si>
    <t>Participación año</t>
  </si>
  <si>
    <t xml:space="preserve">Fuente: elaborado por Odepa con información del Servicio Nacional de Aduanas.   </t>
  </si>
  <si>
    <t xml:space="preserve">        Septiembre 2015</t>
  </si>
  <si>
    <t>Chile. Volumen de Importaciones de maíz grano y productos sustitutos</t>
  </si>
  <si>
    <t>Código aduanas</t>
  </si>
  <si>
    <t>10059000 10059020 10059090</t>
  </si>
  <si>
    <t>10070090 10079010 10079090</t>
  </si>
  <si>
    <t>23099060 23099080</t>
  </si>
  <si>
    <t>Maíz grano</t>
  </si>
  <si>
    <t>Maíz partido</t>
  </si>
  <si>
    <t>Sorgo</t>
  </si>
  <si>
    <t>Preparaciones que contienen maíz</t>
  </si>
  <si>
    <t>2017</t>
  </si>
  <si>
    <t>2018</t>
  </si>
  <si>
    <t xml:space="preserve">2019 </t>
  </si>
  <si>
    <t>2020</t>
  </si>
  <si>
    <t>Chile. Costo promedio ponderado de las importaciones de maíz grano y productos sustitutos</t>
  </si>
  <si>
    <t xml:space="preserve">(USD CIF/ tonelada)   </t>
  </si>
  <si>
    <t>2019</t>
  </si>
  <si>
    <t xml:space="preserve">Fuente: elaborado por Odepa con información del Servicio Nacional de Aduanas. </t>
  </si>
  <si>
    <t>Chile.  Precios nominales promedio nacionales informados por la industria</t>
  </si>
  <si>
    <t>$/qqm</t>
  </si>
  <si>
    <t xml:space="preserve">
Fuente: elaborado por Odepa con información de Cotrisa.
</t>
  </si>
  <si>
    <t>Chile: Precios nominales promedio informados por la industria, por regiones</t>
  </si>
  <si>
    <t xml:space="preserve">$/kilo </t>
  </si>
  <si>
    <t>Melipilla</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</si>
  <si>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</si>
  <si>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 xml:space="preserve">Región de Ñuble </t>
  </si>
  <si>
    <t/>
  </si>
  <si>
    <t>*Los precios pueden tener distintas condiciones de pago. 
Para más detalle ver en www.cotrisa.cl.  
Las celdas en blanco significa que no se publicaron precios en ese mes.
Fuente: elaborado por Odepa con antecedentes de Cotrisa.</t>
  </si>
  <si>
    <t>(precios nominales expresados en $/ton )</t>
  </si>
  <si>
    <t>Maíz amarillo, FOB puerto argentino</t>
  </si>
  <si>
    <t>Maíz yellow N°2, FOB Golfo, EE.UU.</t>
  </si>
  <si>
    <t>Precio maíz nacional</t>
  </si>
  <si>
    <t>Costo de importación desde Argentina (Odepa)</t>
  </si>
  <si>
    <t>Costo de importación desde EE.UU. (Odepa)</t>
  </si>
  <si>
    <t xml:space="preserve">Fuente: elaborado por Odepa con antecedentes de Cotrisa, bolsas y Reuters. </t>
  </si>
  <si>
    <t>CEREALES: ARROZ</t>
  </si>
  <si>
    <t>TABLA DE CONTENIDO ARROZ</t>
  </si>
  <si>
    <t xml:space="preserve">  Nº 1</t>
  </si>
  <si>
    <t>Proyecciones del balance mundial de oferta y demanda de arroz</t>
  </si>
  <si>
    <t xml:space="preserve">  Nº 2</t>
  </si>
  <si>
    <t>Balance mundial de oferta y demanda de arroz</t>
  </si>
  <si>
    <t xml:space="preserve">  Nº 3</t>
  </si>
  <si>
    <t>Balance de los principales países exportadores</t>
  </si>
  <si>
    <t xml:space="preserve">  Nº 4</t>
  </si>
  <si>
    <t xml:space="preserve">Chile. Superficie, producción y rendimiento nacional de arroz </t>
  </si>
  <si>
    <t xml:space="preserve">  Nº 5</t>
  </si>
  <si>
    <t>Chile. Superficie, producción y rendimiento regional de arroz. Incluye semilleros de arroz</t>
  </si>
  <si>
    <t xml:space="preserve">  Nº 6</t>
  </si>
  <si>
    <t>Chile. Arroz - Costos por hectárea según rendimiento esperado ($/ha)</t>
  </si>
  <si>
    <t xml:space="preserve">  Nº 7</t>
  </si>
  <si>
    <t>Chile. Producción, importación y disponibilidad aparente de arroz elaborado</t>
  </si>
  <si>
    <t xml:space="preserve">  Nº 8</t>
  </si>
  <si>
    <t>Chile. Evolución mensual de las importaciones de arroz elaborado(toneladas)</t>
  </si>
  <si>
    <t xml:space="preserve">  Nº 9</t>
  </si>
  <si>
    <t>Chile. Importaciones de arroz por principales países de origen (toneladas)</t>
  </si>
  <si>
    <t xml:space="preserve">  Nº 10</t>
  </si>
  <si>
    <t>Chile. Importaciones de arroz por tipo (volumen)</t>
  </si>
  <si>
    <t xml:space="preserve">  Nº 11</t>
  </si>
  <si>
    <t>Chile. Importaciones de arroz por tipo (costo)</t>
  </si>
  <si>
    <t xml:space="preserve">  Nº 12</t>
  </si>
  <si>
    <t xml:space="preserve">  Nº 13</t>
  </si>
  <si>
    <t xml:space="preserve">  Nº 14</t>
  </si>
  <si>
    <t xml:space="preserve">Evolución de los precios en los mercados de Tailandia, Vietnam y Chile </t>
  </si>
  <si>
    <t xml:space="preserve">  N° 15</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</si>
  <si>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</si>
  <si>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</si>
  <si>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</si>
  <si>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</si>
  <si>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Producción, importación y disponibilidad aparente de arroz elaborado
</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</si>
  <si>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</si>
  <si>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</si>
  <si>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</si>
  <si>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</si>
  <si>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</si>
  <si>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</si>
  <si>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</si>
  <si>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</si>
  <si>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Evolución de los índices de precios a consumidor del arroz grado 2 en supermercados en la Región Metropolitana vs. CAI producto elaborado y CIF arroz grano partido &gt; al 5% pero &lt; =al 15% en peso</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</si>
  <si>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</si>
  <si>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</si>
  <si>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</si>
  <si>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</si>
  <si>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</si>
  <si>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</si>
  <si>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</si>
  <si>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</si>
  <si>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</si>
  <si>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</si>
  <si>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</si>
  <si>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</si>
  <si>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</si>
  <si>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</si>
  <si>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</si>
  <si>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</si>
  <si>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</si>
  <si>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</si>
  <si>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</si>
  <si>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</si>
  <si>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</si>
  <si>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</si>
  <si>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</si>
  <si>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</si>
  <si>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</si>
  <si>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</si>
  <si>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</si>
  <si>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</si>
  <si>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</si>
  <si>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</si>
  <si>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</si>
  <si>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</si>
  <si>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</si>
  <si>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</si>
  <si>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</si>
  <si>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Arroz: Balance de los principales países exportadores</t>
  </si>
  <si>
    <t>Birmania (Myanmar)</t>
  </si>
  <si>
    <t>India</t>
  </si>
  <si>
    <t>Pakistán</t>
  </si>
  <si>
    <t>Tailandia</t>
  </si>
  <si>
    <t>Uruguay</t>
  </si>
  <si>
    <t>Vietnam</t>
  </si>
  <si>
    <r>
      <t xml:space="preserve">Fuente: elaborado por Odepa con información de </t>
    </r>
    <r>
      <rPr>
        <i/>
        <sz val="9"/>
        <rFont val="Arial"/>
        <family val="2"/>
      </rPr>
      <t>Wasde, USDA.</t>
    </r>
  </si>
  <si>
    <t>Chile. Superficie, producción y rendimiento nacional de arroz</t>
  </si>
  <si>
    <t>Superficie (miles de hectáreas)</t>
  </si>
  <si>
    <t>Producción (miles de toneladas)</t>
  </si>
  <si>
    <t>Rendimiento (qqm/ha)</t>
  </si>
  <si>
    <t>2008/09</t>
  </si>
  <si>
    <t>2009/10</t>
  </si>
  <si>
    <t>2017/2018</t>
  </si>
  <si>
    <t>2018/2019</t>
  </si>
  <si>
    <t xml:space="preserve"> Fuente: elaborado por Odepa con información del INE.  </t>
  </si>
  <si>
    <t>Región:</t>
  </si>
  <si>
    <t xml:space="preserve">Variedad: </t>
  </si>
  <si>
    <t>Diamante INIA, Zafiro - INIA</t>
  </si>
  <si>
    <t xml:space="preserve">Tecnología: </t>
  </si>
  <si>
    <t>Media</t>
  </si>
  <si>
    <t>Alta</t>
  </si>
  <si>
    <t xml:space="preserve">Tecnología de riego: </t>
  </si>
  <si>
    <t>Tradicional (pre germinado)</t>
  </si>
  <si>
    <t>Siembra en seco</t>
  </si>
  <si>
    <t>Ítem</t>
  </si>
  <si>
    <t>Costos directos</t>
  </si>
  <si>
    <t>imprevistos (5%)</t>
  </si>
  <si>
    <t>Costos indirectos (tasa interés 1,5%)</t>
  </si>
  <si>
    <t>Para mayores detalles y análisis de sensibilidad: https://www.odepa.gob.cl/fichas-de-costo/ficha-de-costo-del-arroz-region-del-maule</t>
  </si>
  <si>
    <t>Producción (rdto. ind. 50 -56%)</t>
  </si>
  <si>
    <t>Importación total (elaborado)</t>
  </si>
  <si>
    <t>Exportación total</t>
  </si>
  <si>
    <t>Variación anual 
%</t>
  </si>
  <si>
    <t>Chile. Evolución mensual de las importaciones de arroz elaborado (toneladas)</t>
  </si>
  <si>
    <t>Chile. Importaciones de arroz por tipo</t>
  </si>
  <si>
    <t>Volumen (toneladas)</t>
  </si>
  <si>
    <t>10061000
10061090</t>
  </si>
  <si>
    <t>10062000</t>
  </si>
  <si>
    <t>10063010</t>
  </si>
  <si>
    <t>10063020</t>
  </si>
  <si>
    <t>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</si>
  <si>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</si>
  <si>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</si>
  <si>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</si>
  <si>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</si>
  <si>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</si>
  <si>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</si>
  <si>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</si>
  <si>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</si>
  <si>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Costo promedio ponderado de las importaciones efectuadas</t>
  </si>
  <si>
    <t xml:space="preserve">(USD / tonelada CIF)   </t>
  </si>
  <si>
    <t>10063010
10063020
10063090</t>
  </si>
  <si>
    <t>Arroz semi o blanqueado, grano partido &gt; que 5% pero &lt; que 15% en peso</t>
  </si>
  <si>
    <r>
      <t xml:space="preserve">$ nominales/tonelada de arroz </t>
    </r>
    <r>
      <rPr>
        <b/>
        <i/>
        <sz val="10"/>
        <rFont val="Arial"/>
        <family val="2"/>
      </rPr>
      <t>paddy</t>
    </r>
  </si>
  <si>
    <t>Las celdas en blanco significan que no se publicaron precios en ese mes. 
Fuente: elaborado por Odepa con información de Cotrisa.</t>
  </si>
  <si>
    <t>Chile. Precios promedio de arroz paddy informados por la industria, por regiones</t>
  </si>
  <si>
    <t>$ nominales/kilo</t>
  </si>
  <si>
    <t>VII Región del Maule</t>
  </si>
  <si>
    <t>*Los precios pueden tener distintas condiciones de pago. Para más detalle ver en www.cotrisa.cl. 
Las celdas en blanco significa que no se publicaron precios en ese mes. 
No hay información de precios de otras regiones.
Fuente: elaborado por Odepa con información de Cotrisa.</t>
  </si>
  <si>
    <t xml:space="preserve">Evolución de los precios en los mercados de Tailandia y Chile </t>
  </si>
  <si>
    <t>(precios mensuales expresados en USD/ton)</t>
  </si>
  <si>
    <t>Arroz elaborado 5% grano partido, FOB Bangkok, Tailandia</t>
  </si>
  <si>
    <t>Arroz elaborado 10% grano partido, FOB Bangkok, Tailandia</t>
  </si>
  <si>
    <t>Arroz elaborado 15 % grano partido, FOB Bangkok, Tailandia</t>
  </si>
  <si>
    <r>
      <t xml:space="preserve">Precio promedio nacional </t>
    </r>
    <r>
      <rPr>
        <b/>
        <i/>
        <sz val="9"/>
        <rFont val="Arial"/>
        <family val="2"/>
      </rPr>
      <t>paddy</t>
    </r>
  </si>
  <si>
    <t xml:space="preserve">
Fuente: elaborado por Odepa con antecedentes de Cotrisa, bolsas y Reuters.
</t>
  </si>
  <si>
    <t>Fecha</t>
  </si>
  <si>
    <t>Cuadro N° 15</t>
  </si>
  <si>
    <t>(Precios mensuales nominales con IVA en $ / kilo)</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</si>
  <si>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</si>
  <si>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</si>
  <si>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</si>
  <si>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</si>
  <si>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</si>
  <si>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</si>
  <si>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</si>
  <si>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r>
      <rPr>
        <sz val="9"/>
        <rFont val="Arial"/>
        <family val="2"/>
      </rPr>
      <t>Fuente:</t>
    </r>
    <r>
      <rPr>
        <i/>
        <sz val="9"/>
        <rFont val="Arial"/>
        <family val="2"/>
      </rPr>
      <t xml:space="preserve"> </t>
    </r>
    <r>
      <rPr>
        <sz val="9"/>
        <rFont val="Arial"/>
        <family val="2"/>
      </rPr>
      <t>elaborado por Odepa.</t>
    </r>
  </si>
  <si>
    <t>Costo importación real (USD/ton)</t>
  </si>
  <si>
    <t>Valos dólar ($/USD)</t>
  </si>
  <si>
    <t>Costo importación real ($/ton)</t>
  </si>
  <si>
    <t>Costo de importación CAI (Odepa) $/qq</t>
  </si>
  <si>
    <t>Precio promedio arroz grano ancho ($/kg)</t>
  </si>
  <si>
    <t>Precio promedio arroz grano delgado ($/kg)</t>
  </si>
  <si>
    <t xml:space="preserve"> Indice  Costo importación CIF</t>
  </si>
  <si>
    <t>Indice Costo de importación CAI (Odepa)</t>
  </si>
  <si>
    <t>Indice Precio promedio arroz grano ancho grado 2</t>
  </si>
  <si>
    <t>Indice Precio promedio arroz grano delgado grano 2</t>
  </si>
  <si>
    <t>18 de octubre de 2021</t>
  </si>
  <si>
    <t>25 de octubre de 2021</t>
  </si>
  <si>
    <t>1 de noviembre de 2021</t>
  </si>
  <si>
    <t>8 de noviembre de 2021</t>
  </si>
  <si>
    <t>15 de noviembre de 2021</t>
  </si>
  <si>
    <t>22 de noviembre de 2021</t>
  </si>
  <si>
    <t>29 de noviembre de 2021</t>
  </si>
  <si>
    <t>6 de diciembre de 2021</t>
  </si>
  <si>
    <t>13 de diciembre de 2021</t>
  </si>
  <si>
    <t>20 de diciembre de 2021</t>
  </si>
  <si>
    <t>27 de diciembre de 2021</t>
  </si>
  <si>
    <t>3 de enero de 2022</t>
  </si>
  <si>
    <t>2021</t>
  </si>
  <si>
    <t>2021 - 2022</t>
  </si>
  <si>
    <t>Período 2019 - 2022</t>
  </si>
  <si>
    <t>2021-2022</t>
  </si>
  <si>
    <t>Período 2021 - 2022</t>
  </si>
  <si>
    <t>Var. 2022-2021</t>
  </si>
  <si>
    <t>Período 2018-2022</t>
  </si>
  <si>
    <t>Período 2017 - 2022</t>
  </si>
  <si>
    <t>Período 2018 - 2022</t>
  </si>
  <si>
    <t>Período 2015-2022</t>
  </si>
  <si>
    <t>Período 2015 - 2022</t>
  </si>
  <si>
    <t>2022*</t>
  </si>
  <si>
    <t>10 de enero de 2022</t>
  </si>
  <si>
    <t>18 de enero de 2022</t>
  </si>
  <si>
    <t>24 de enero de 2022</t>
  </si>
  <si>
    <t>31 de enero de 2022</t>
  </si>
  <si>
    <t>7 de febrero de 2022</t>
  </si>
  <si>
    <t>Período 2020 - 2022</t>
  </si>
  <si>
    <t>14 de febrero de 2022</t>
  </si>
  <si>
    <t>22 de febrero de 2022</t>
  </si>
  <si>
    <t>28 de febrero de 2022</t>
  </si>
  <si>
    <t>2022/P</t>
  </si>
  <si>
    <t>(s) Iván Rodríguez Rojas</t>
  </si>
  <si>
    <t xml:space="preserve">
Fuente: elaborado por Odepa con información del Servicio Nacional de Aduanas. 
*Corresponde al costo del mes anterior al mes de publicación.</t>
  </si>
  <si>
    <t>2021/22</t>
  </si>
  <si>
    <t>Fuente: elaborado por Odepa con información de INE.</t>
  </si>
  <si>
    <t>Años agrícolas 2011/12 a 2021/22</t>
  </si>
  <si>
    <t>Sergio Soto N.</t>
  </si>
  <si>
    <t xml:space="preserve"> </t>
  </si>
  <si>
    <t>12 meses</t>
  </si>
  <si>
    <t>Años agrícolas 2010/11 a 2021/22</t>
  </si>
  <si>
    <t xml:space="preserve">Fuente: elaborado por Odepa con información del Instituto Nacional de Estadísticas (INE). </t>
  </si>
  <si>
    <t>2021/2022</t>
  </si>
  <si>
    <t>Años agrícolas 2019/20 a 2021/2022</t>
  </si>
  <si>
    <t xml:space="preserve">  </t>
  </si>
  <si>
    <t>Años agrícolas 2008/09 a 2021/22</t>
  </si>
  <si>
    <t>}</t>
  </si>
  <si>
    <t xml:space="preserve">Costo de importación CIF*  </t>
  </si>
  <si>
    <t xml:space="preserve">Costo de importación CIF* (convertido a paddy)  </t>
  </si>
  <si>
    <t>Costo de importación CAI (Odepa)**</t>
  </si>
  <si>
    <t>* Importaciones totales de arroz según Aduanas durante el mes en curso
**Costo alternativo de importación de arroz elaborado transformado a arroz paddy (48%). 
Las celdas en blanco significa que no se publicaron precios en ese mes.
Fuente: elaborado por Odepa con antecedentes de Cotrisa, bolsas y Reuters.</t>
  </si>
  <si>
    <t>Indice  Costo importación CIF</t>
  </si>
  <si>
    <t>7 de marzo de 2022</t>
  </si>
  <si>
    <t>14 de marzo de 2022</t>
  </si>
  <si>
    <t>21 de marzo de 2022</t>
  </si>
  <si>
    <t>28 de marzo de 2022</t>
  </si>
  <si>
    <t>4 de abril de 2022</t>
  </si>
  <si>
    <t>11 de abril de 2022</t>
  </si>
  <si>
    <t>18 de abril de 2022</t>
  </si>
  <si>
    <t>25 de abril de 2022</t>
  </si>
  <si>
    <t xml:space="preserve">Rdto qqm/ha </t>
  </si>
  <si>
    <t>(2) Costo financiero de los insumos e imprevistos. No incluye arriendo del predio ni su administración.</t>
  </si>
  <si>
    <t xml:space="preserve">(3) El precio del trigo utilizado en el análisis de sensibilidad corresponde al precio promedio regional durante enero - marzo 2022 (precios informados por Cotrisa). </t>
  </si>
  <si>
    <t>(4) Representa el precio de venta mínimo para cubrir los costos totales de producción con ese rendimiento y calidad.</t>
  </si>
  <si>
    <r>
      <t xml:space="preserve">Precio de equilibrio </t>
    </r>
    <r>
      <rPr>
        <b/>
        <vertAlign val="superscript"/>
        <sz val="12"/>
        <color rgb="FFFF0000"/>
        <rFont val="Arial"/>
        <family val="2"/>
      </rPr>
      <t>4</t>
    </r>
  </si>
  <si>
    <r>
      <t xml:space="preserve">Otros costos </t>
    </r>
    <r>
      <rPr>
        <b/>
        <vertAlign val="superscript"/>
        <sz val="12"/>
        <color rgb="FFFF0000"/>
        <rFont val="Arial"/>
        <family val="2"/>
      </rPr>
      <t>2</t>
    </r>
  </si>
  <si>
    <r>
      <t xml:space="preserve">Insumos </t>
    </r>
    <r>
      <rPr>
        <b/>
        <vertAlign val="superscript"/>
        <sz val="12"/>
        <color rgb="FFFF0000"/>
        <rFont val="Arial"/>
        <family val="2"/>
      </rPr>
      <t>1</t>
    </r>
    <r>
      <rPr>
        <vertAlign val="superscript"/>
        <sz val="10"/>
        <rFont val="Arial"/>
        <family val="2"/>
      </rPr>
      <t xml:space="preserve"> </t>
    </r>
  </si>
  <si>
    <r>
      <t xml:space="preserve">Maquinaria </t>
    </r>
    <r>
      <rPr>
        <b/>
        <vertAlign val="superscript"/>
        <sz val="12"/>
        <color rgb="FFFF0000"/>
        <rFont val="Arial"/>
        <family val="2"/>
      </rPr>
      <t>1</t>
    </r>
  </si>
  <si>
    <r>
      <t xml:space="preserve">Mano de obra </t>
    </r>
    <r>
      <rPr>
        <b/>
        <vertAlign val="superscript"/>
        <sz val="12"/>
        <color rgb="FFFF0000"/>
        <rFont val="Arial"/>
        <family val="2"/>
      </rPr>
      <t>1</t>
    </r>
  </si>
  <si>
    <t>Fecha de publicación: Abril 2022 (Araucanía temp. 2021/2022)</t>
  </si>
  <si>
    <r>
      <t>Chile. Trigo panadero - Costos por hectárea al establecimiento cultivo 2021 y según rendimiento esperado ($/ha)</t>
    </r>
    <r>
      <rPr>
        <b/>
        <vertAlign val="superscript"/>
        <sz val="10"/>
        <rFont val="Arial"/>
        <family val="2"/>
      </rPr>
      <t xml:space="preserve"> .</t>
    </r>
  </si>
  <si>
    <r>
      <t xml:space="preserve">                              Rdto. (qqm/ha)
Precio ($/qqm) </t>
    </r>
    <r>
      <rPr>
        <b/>
        <vertAlign val="superscript"/>
        <sz val="12"/>
        <color rgb="FFFF0000"/>
        <rFont val="Arial"/>
        <family val="2"/>
      </rPr>
      <t>3</t>
    </r>
  </si>
  <si>
    <t>(1) Los costos de mano de obra; maquinaria e insumos corresponden aproximadamente a los nominales observados entorno a la siembra 2021</t>
  </si>
  <si>
    <t>Arroz: Páginas 44-61</t>
  </si>
  <si>
    <t>(2) El precio a productor utilizado en el análisis de sensibilidad corresponde al precio promedio de la Región de O´Higgins durante marzo - abril de 2022.</t>
  </si>
  <si>
    <t>Proyección mensual del balance mundial de oferta y demanda de trigo temporada 2022/23</t>
  </si>
  <si>
    <t>2021/22 estimado</t>
  </si>
  <si>
    <t>2022/23 proyectado</t>
  </si>
  <si>
    <t>2022/2023 Proyectado</t>
  </si>
  <si>
    <t>2021/2022 Estimado</t>
  </si>
  <si>
    <t>2 de mayo de 2022</t>
  </si>
  <si>
    <t>9 de mayo de 2022</t>
  </si>
  <si>
    <t>16 de mayo de 2022</t>
  </si>
  <si>
    <t>Proyecciones del balance mundial de oferta y demanda de maíz temporada 2022/23 en cada mes</t>
  </si>
  <si>
    <t xml:space="preserve">2020/21 </t>
  </si>
  <si>
    <t>2021/2022 (estimado)</t>
  </si>
  <si>
    <t>2022/2023 (proyectado)</t>
  </si>
  <si>
    <t>Proyecciones del balance mundial de oferta y demanda de arroz temporada 2022/23 en cada mes</t>
  </si>
  <si>
    <t>(4)  El cuadro de sensibilidad considera una tecnología media.</t>
  </si>
  <si>
    <t>(1) La ficha completa se encuentra publicada en el sitio de internet de Odepa http://www.odepa.cl/ considerando los costos al establecimiento del cultivo de 2021</t>
  </si>
  <si>
    <r>
      <t xml:space="preserve">Chile. Maíz - Temporada 2021/2022 - Costos por hectárea del cultivo 2021 actualizados a </t>
    </r>
    <r>
      <rPr>
        <b/>
        <sz val="11"/>
        <rFont val="Arial"/>
        <family val="2"/>
      </rPr>
      <t>Abril 2022</t>
    </r>
    <r>
      <rPr>
        <b/>
        <sz val="10"/>
        <rFont val="Arial"/>
        <family val="2"/>
      </rPr>
      <t xml:space="preserve"> según rendimiento esperado ($/ha)</t>
    </r>
    <r>
      <rPr>
        <b/>
        <vertAlign val="superscript"/>
        <sz val="10"/>
        <rFont val="Arial"/>
        <family val="2"/>
      </rPr>
      <t xml:space="preserve"> 1</t>
    </r>
  </si>
  <si>
    <t xml:space="preserve">Fecha de publicación: junio 2022 </t>
  </si>
  <si>
    <t>Importación*</t>
  </si>
  <si>
    <t>Julio 2022 (millones de toneladas)</t>
  </si>
  <si>
    <t>Años agrícolas 2019/20 - 2021/22</t>
  </si>
  <si>
    <t>Período 2012 - 2022</t>
  </si>
  <si>
    <t>2022**</t>
  </si>
  <si>
    <r>
      <rPr>
        <b/>
        <sz val="10"/>
        <rFont val="Arial"/>
        <family val="2"/>
      </rPr>
      <t>*Se excluye trigo destinado a uso forrajero.</t>
    </r>
    <r>
      <rPr>
        <sz val="9"/>
        <rFont val="Arial"/>
        <family val="2"/>
      </rPr>
      <t xml:space="preserve">
Fuente: elaborado por Odepa con información del Servicio Nacional de Aduanas.</t>
    </r>
  </si>
  <si>
    <r>
      <rPr>
        <b/>
        <sz val="10"/>
        <rFont val="Arial"/>
        <family val="2"/>
      </rPr>
      <t>Se excluye trigo destinado a uso forrajero.</t>
    </r>
    <r>
      <rPr>
        <sz val="9"/>
        <rFont val="Arial"/>
        <family val="2"/>
      </rPr>
      <t xml:space="preserve">
Fuente: elaborado por Odepa con información del Servicio Nacional de Aduanas.</t>
    </r>
  </si>
  <si>
    <r>
      <rPr>
        <b/>
        <sz val="10"/>
        <rFont val="Arial"/>
        <family val="2"/>
      </rPr>
      <t xml:space="preserve">Se excluye trigo destinado a uso forrajero. </t>
    </r>
    <r>
      <rPr>
        <sz val="9"/>
        <rFont val="Arial"/>
        <family val="2"/>
      </rPr>
      <t xml:space="preserve">
Fuente: elaborado por Odepa con información del Servicio Nacional de Aduanas.</t>
    </r>
  </si>
  <si>
    <r>
      <t xml:space="preserve">Fuente: elaborado por Odepa con información del Servicio Nacional de Aduanas.
</t>
    </r>
    <r>
      <rPr>
        <b/>
        <sz val="10"/>
        <rFont val="Arial"/>
        <family val="2"/>
      </rPr>
      <t>Nota: se excluye trigo destinado a uso forrajero.</t>
    </r>
  </si>
  <si>
    <t>*</t>
  </si>
  <si>
    <t>**</t>
  </si>
  <si>
    <t xml:space="preserve">*Los precios pueden tener distintas condiciones de pago.
** poderes de compra sin movimiento.
Para más detalle ver en www.cotrisa.cl.     
Fuente: elaborado por Odepa con información de Cotrisa.    
</t>
  </si>
  <si>
    <r>
      <t xml:space="preserve">Fuente: elaborado por Odepa con información de Cotrisa.
</t>
    </r>
    <r>
      <rPr>
        <b/>
        <sz val="9"/>
        <rFont val="Arial"/>
        <family val="2"/>
      </rPr>
      <t xml:space="preserve">* poderes de compra sin movimiento.
</t>
    </r>
    <r>
      <rPr>
        <sz val="9"/>
        <rFont val="Arial"/>
        <family val="2"/>
      </rPr>
      <t>Para más detalle ver en www.cotrisa.cl</t>
    </r>
  </si>
  <si>
    <t>Años agrícolas 2019/20 a 2021/22</t>
  </si>
  <si>
    <t>Período 2010 - 2022</t>
  </si>
  <si>
    <t>*Los precios pueden tener distintas condiciones de pago. 
Para más detalle ver en www.cotrisa.cl
Las celdas en blanco significa que no se publicaron precios en ese mes.
Fuente: elaborado por Odepa con información de Cotrisa.</t>
  </si>
  <si>
    <t>Años agrícolas 2016/17 a 2021/22</t>
  </si>
  <si>
    <t xml:space="preserve"> Temporada: 2021 - 2022</t>
  </si>
  <si>
    <t>Fecha de publicación: julio 2022</t>
  </si>
  <si>
    <t>Arroz. Costos* de producción por hectárea según rendimiento esperado ($/ha)</t>
  </si>
  <si>
    <r>
      <t xml:space="preserve">Fuente: elaborado por Odepa. 
</t>
    </r>
    <r>
      <rPr>
        <b/>
        <sz val="10"/>
        <rFont val="Arial"/>
        <family val="2"/>
      </rPr>
      <t>* Los costos son lo más cercano al momento del establecimiento del cultivo en 2021</t>
    </r>
  </si>
  <si>
    <t>Período 2011 - 2022</t>
  </si>
  <si>
    <t>Agosto 2022</t>
  </si>
  <si>
    <t>Avance información general al 31 de julio 2022
Avance información precios futuros al 22 de agosto 2022
Avance información balanza mundial al 12 de agosto 2022</t>
  </si>
  <si>
    <t>Agosto 2022 (millones de toneladas)</t>
  </si>
  <si>
    <r>
      <rPr>
        <b/>
        <sz val="10"/>
        <rFont val="Arial"/>
        <family val="2"/>
      </rPr>
      <t>*Incluye trigo panadero y candeal. Se excluye trigo destinado a uso forrajero.</t>
    </r>
    <r>
      <rPr>
        <sz val="9"/>
        <rFont val="Arial"/>
        <family val="2"/>
      </rPr>
      <t xml:space="preserve">
En  2021 empresas con giro pecuario han importado 386.122 toneladas de trigo (no consideradas en el cuadro superior). Este año, esa cifra llega a 65.727 toneladas a julio de 2022.
Fuente: elaborado por Odepa con información del Servicio Nacional de Aduanas.                                </t>
    </r>
  </si>
  <si>
    <t>Cuadro Nº 26</t>
  </si>
  <si>
    <t>Cuadro Nº 27</t>
  </si>
  <si>
    <t>Variación mensual y a 12 meses índices precios a productor (IPP) de trigo</t>
  </si>
  <si>
    <t xml:space="preserve">Variación mensual y a 12 meses índices precios a productor (IPP) de harina </t>
  </si>
  <si>
    <t>Variación mensual y a 12 meses índices precios a consumidor (IPC) de pan</t>
  </si>
  <si>
    <t xml:space="preserve">La variación del IPP del trigo harinero es actualizada en los meses de diciembre, enero y febrero de cada año.
</t>
  </si>
  <si>
    <t>Mes/año</t>
  </si>
  <si>
    <t>Febrero 2022 Trigo</t>
  </si>
  <si>
    <t>Pan consumidor</t>
  </si>
  <si>
    <t>Harina productor</t>
  </si>
  <si>
    <t>Trigo productor</t>
  </si>
  <si>
    <t>Julio 2022 Harina de Trigo</t>
  </si>
  <si>
    <t>Julio 2022 Pan</t>
  </si>
  <si>
    <t>La variación del IPC del pan a julio 2022</t>
  </si>
  <si>
    <t xml:space="preserve">La variación del IPP de la harina de trigo (industria manufacturera) a julio 2022
</t>
  </si>
  <si>
    <r>
      <rPr>
        <b/>
        <sz val="11"/>
        <rFont val="Arial"/>
        <family val="2"/>
      </rPr>
      <t>*Se excluye trigo importado destinado a uso forrajero.</t>
    </r>
    <r>
      <rPr>
        <b/>
        <sz val="10"/>
        <rFont val="Arial"/>
        <family val="2"/>
      </rPr>
      <t xml:space="preserve">
** Importaciones y disponibilidad aparente en el periodo enero-julio 2022</t>
    </r>
    <r>
      <rPr>
        <sz val="9"/>
        <rFont val="Arial"/>
        <family val="2"/>
      </rPr>
      <t xml:space="preserve">                        
</t>
    </r>
    <r>
      <rPr>
        <b/>
        <sz val="9"/>
        <rFont val="Arial"/>
        <family val="2"/>
      </rPr>
      <t>Fuente: estadísticas de producción elaboradas por Odepa con información del INE e importación con información del Servicio Nacional de Aduanas.</t>
    </r>
  </si>
  <si>
    <r>
      <t xml:space="preserve">Fuente: elaborado por Odepa con información estimada del INE y Servicio Nacional de Aduanas.
</t>
    </r>
    <r>
      <rPr>
        <b/>
        <sz val="9"/>
        <rFont val="Arial"/>
        <family val="2"/>
      </rPr>
      <t>* importaciones periodo enero-julio 2022</t>
    </r>
  </si>
  <si>
    <t xml:space="preserve">
Fuente: elaborado por Odepa con información del Servicio Nacional de Aduanas.
* en el periodo enero-julio 2022</t>
  </si>
  <si>
    <t>Fuente: elaborado por Odepa con información estimada del INE y Servicio Nacional de Aduanas. 
* importaciones en el periodo enero-julio 2022</t>
  </si>
  <si>
    <t xml:space="preserve">* Cifras acumuladas en el periodo enero-julio 2022
Fuente: elaborado por Odepa con información del Servicio Nacional de Aduanas.
</t>
  </si>
  <si>
    <t>* promedio en el periodo enero-julio 2022
Fuente: elaborado por Odepa con información del Servicio Nacional de Aduanas.</t>
  </si>
  <si>
    <r>
      <t xml:space="preserve">Basado en proyecciones realizadas por el Departamento de Agricultura de Estados Unidos (USDA), a través del informe World Agricultural Supply and Demand Estimates (WASDE) y antecedentes del Servicio Nacional de Aduanas. 
En la presente versión de Boletín, se reportan las estadisticas de producción y rendimientos para la temporada 2021/22, estimadas por el Instituto Nacional de Estadísticas (INE). Tal información es reportada a nivel nacional y regional, en los tres cultivos relevados.
</t>
    </r>
    <r>
      <rPr>
        <b/>
        <sz val="10"/>
        <rFont val="Arial"/>
        <family val="2"/>
      </rPr>
      <t>Trigo:</t>
    </r>
    <r>
      <rPr>
        <sz val="10"/>
        <rFont val="Arial"/>
        <family val="2"/>
      </rPr>
      <t xml:space="preserve">
Al mes de agosto se estima que la producción y exportaciones de trigo por parte de EE.UU, para la temporada 2022/23, seran mayores a las observadas en 2021/22. La molienda de trigo (harina) alcanzó cifras record en el trimestre abril-junio.
La proyección mundial de julio en trigo para 2022/23 estima una mayor demanda y exportaciones, disminuyendo las existencias finales. 
La producción mundial se incrementa a un récord de 779,6 millones de toneladas, como resultado de una mayor producción en Rusia, Australia y China. 
Por su parte, la producción de Rusia se eleva 6,5 millones de toneladas a un récord de 88,0 millones, explicado por una mayor área cosechada y mejores rendimientos.
El comercio mundial proyectado para 2022/23 se eleva 3,2 millones de toneladas a 208,6 millones debido a las mayores exportaciones de Rusia, Australia, Ucrania, Canadá y Estados Unidos, compensando las menores exportaciones de UE y Argentina. Las exportaciones de Rusia se elevan a un récord de 42,0 millones de toneladas. 
</t>
    </r>
    <r>
      <rPr>
        <b/>
        <sz val="10"/>
        <rFont val="Arial"/>
        <family val="2"/>
      </rPr>
      <t>Maíz</t>
    </r>
    <r>
      <rPr>
        <sz val="10"/>
        <rFont val="Arial"/>
        <family val="2"/>
      </rPr>
      <t xml:space="preserve">
Las perspectivas de maíz en EE.UU para 2022/23  son de menores existencias finales.  La producción y exportacion para 2022/23 se pronostica más baja que la temporada que la antecede, estimandose en reducciones de 5% y 3% respectivamente.
Por su parte, para Argentina se estima que en 2022/23 se incremente la producción en 3,8%, así como también las exportaciones en 5,1%.
</t>
    </r>
    <r>
      <rPr>
        <b/>
        <sz val="10"/>
        <rFont val="Arial"/>
        <family val="2"/>
      </rPr>
      <t>Arroz</t>
    </r>
    <r>
      <rPr>
        <sz val="10"/>
        <rFont val="Arial"/>
        <family val="2"/>
      </rPr>
      <t xml:space="preserve">
Se estima que la producción mundial 2022/23 será ligeramente menor al máximo histórico del año anterior. Las existencias finales mundiales proyectadas se reducen en 4,2 millones de toneladas a 178,5 millones, principalmente debido a las existencias más pequeñas en la India. 
Argentina se estima que el nivel de producción y exportación en 2022/23 sea similar a la temporada pasada. Por su parte, paraguay incrementaría marginalmente la producción y comercio internacional.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</si>
</sst>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 _€_-;\-* #,##0\ _€_-;_-* &quot;-&quot;\ _€_-;_-@_-"/>
    <numFmt numFmtId="165" formatCode="_-* #,##0.00\ _€_-;\-* #,##0.00\ _€_-;_-* &quot;-&quot;??\ _€_-;_-@_-"/>
    <numFmt numFmtId="166" formatCode="_(* #,##0_);_(* \(#,##0\);_(* &quot;-&quot;_);_(@_)"/>
    <numFmt numFmtId="167" formatCode="_(&quot;$&quot;* #,##0.00_);_(&quot;$&quot;* \(#,##0.00\);_(&quot;$&quot;* &quot;-&quot;??_);_(@_)"/>
    <numFmt numFmtId="168" formatCode="_(* #,##0.00_);_(* \(#,##0.00\);_(* &quot;-&quot;??_);_(@_)"/>
    <numFmt numFmtId="169" formatCode="_-* #,##0_-;\-* #,##0_-;_-* &quot;-&quot;_-;_-@_-"/>
    <numFmt numFmtId="170" formatCode="_-&quot;$&quot;\ * #,##0.00_-;\-&quot;$&quot;\ * #,##0.00_-;_-&quot;$&quot;\ * &quot;-&quot;??_-;_-@_-"/>
    <numFmt numFmtId="171" formatCode="_-* #,##0.00_-;\-* #,##0.00_-;_-* &quot;-&quot;??_-;_-@_-"/>
    <numFmt numFmtId="172" formatCode="mm/yy"/>
    <numFmt numFmtId="173" formatCode="0.0"/>
    <numFmt numFmtId="174" formatCode="0.0_)"/>
    <numFmt numFmtId="175" formatCode="0.0%"/>
    <numFmt numFmtId="176" formatCode="#,##0.0"/>
    <numFmt numFmtId="177" formatCode="_-* #,##0_-;\-* #,##0_-;_-* \-_-;_-@_-"/>
    <numFmt numFmtId="178" formatCode="_-* #,##0.00_-;\-* #,##0.00_-;_-* \-??_-;_-@_-"/>
    <numFmt numFmtId="179" formatCode="_(* #,##0.0_);_(* \(#,##0.0\);_(* &quot;-&quot;_);_(@_)"/>
    <numFmt numFmtId="180" formatCode="_-* #,##0_-;\-* #,##0_-;_-* \-??_-;_-@_-"/>
    <numFmt numFmtId="181" formatCode="dd/mm/yy;@"/>
    <numFmt numFmtId="182" formatCode="_-* #,##0.00\ _p_t_a_-;\-* #,##0.00\ _p_t_a_-;_-* &quot;-&quot;??\ _p_t_a_-;_-@_-"/>
    <numFmt numFmtId="183" formatCode="#,##0.00_ ;\-#,##0.00\ "/>
    <numFmt numFmtId="184" formatCode="#,##0_);\(#,##0\)"/>
    <numFmt numFmtId="185" formatCode="0.000"/>
    <numFmt numFmtId="186" formatCode="_-* #,##0_-;\-* #,##0_-;_-* &quot;-&quot;??_-;_-@_-"/>
    <numFmt numFmtId="187" formatCode="0.00\ "/>
    <numFmt numFmtId="188" formatCode="0.00_)"/>
    <numFmt numFmtId="189" formatCode="_(* #,##0_);_(* \(#,##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0.0;\-##0.0;0.0;"/>
    <numFmt numFmtId="197" formatCode="#,##0.000"/>
    <numFmt numFmtId="198" formatCode="_ * #,##0.000000_ ;_ * \-#,##0.000000_ ;_ * &quot;-&quot;??????_ ;_ @_ "/>
    <numFmt numFmtId="199" formatCode="0.0000"/>
    <numFmt numFmtId="200" formatCode="#,##0_ ;\-#,##0\ "/>
    <numFmt numFmtId="201" formatCode="#,##0.0000"/>
    <numFmt numFmtId="202" formatCode="[$-C0A]mmm\-yy;@"/>
    <numFmt numFmtId="203" formatCode="mmm/yyyy;@"/>
    <numFmt numFmtId="204" formatCode="_(* #,##0.00_);_(* \(#,##0.00\);_(* &quot;-&quot;_);_(@_)"/>
    <numFmt numFmtId="205" formatCode="[$-10C0A]#,##0;\-#,##0"/>
    <numFmt numFmtId="206" formatCode="#,##0.0;\-#,##0.0"/>
    <numFmt numFmtId="207" formatCode="dd/mm/yyyy;@"/>
    <numFmt numFmtId="208" formatCode="0_)"/>
    <numFmt numFmtId="209" formatCode="_-* #,##0.0_-;\-* #,##0.0_-;_-* \-_-;_-@_-"/>
    <numFmt numFmtId="210" formatCode="_-* #,##0.00_-;\-* #,##0.00_-;_-* \-_-;_-@_-"/>
    <numFmt numFmtId="211" formatCode="[$-1010C0A]#,##0.000;\-#,##0.000"/>
    <numFmt numFmtId="212" formatCode="[$-10C0A]#,##0.0;\-#,##0.0"/>
    <numFmt numFmtId="213" formatCode="_ &quot;$&quot;* #,##0.0_ ;_ &quot;$&quot;* \-#,##0.0_ ;_ &quot;$&quot;* &quot;-&quot;_ ;_ @_ "/>
    <numFmt numFmtId="214" formatCode="[$-10C0A]#,##0;\(#,##0\)"/>
  </numFmts>
  <fonts count="243">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b/>
      <i/>
      <sz val="10"/>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2"/>
      <name val="Arial MT"/>
    </font>
    <font>
      <sz val="10"/>
      <name val="Arial"/>
      <family val="2"/>
    </font>
    <font>
      <sz val="10"/>
      <name val="Verdana"/>
      <family val="2"/>
    </font>
    <font>
      <sz val="10"/>
      <name val="Arial"/>
      <family val="2"/>
    </font>
    <font>
      <sz val="11"/>
      <name val="Arial"/>
      <family val="2"/>
    </font>
    <font>
      <sz val="11"/>
      <color indexed="8"/>
      <name val="Arial"/>
      <family val="2"/>
    </font>
    <font>
      <u/>
      <sz val="11"/>
      <color indexed="12"/>
      <name val="Arial MT"/>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10"/>
      <color indexed="8"/>
      <name val="Arial"/>
      <family val="2"/>
    </font>
    <font>
      <sz val="10"/>
      <name val="Arial"/>
      <family val="2"/>
    </font>
    <font>
      <b/>
      <sz val="10"/>
      <color indexed="9"/>
      <name val="Arial"/>
      <family val="2"/>
    </font>
    <font>
      <sz val="10"/>
      <name val="Arial"/>
      <family val="2"/>
    </font>
    <font>
      <sz val="9"/>
      <color indexed="9"/>
      <name val="Arial"/>
      <family val="2"/>
    </font>
    <font>
      <sz val="10"/>
      <color indexed="9"/>
      <name val="Arial"/>
      <family val="2"/>
    </font>
    <font>
      <u/>
      <sz val="10"/>
      <color indexed="12"/>
      <name val="Arial MT"/>
      <family val="2"/>
    </font>
    <font>
      <b/>
      <sz val="9"/>
      <color indexed="10"/>
      <name val="Arial"/>
      <family val="2"/>
    </font>
    <font>
      <b/>
      <sz val="8"/>
      <color indexed="63"/>
      <name val="Verdana"/>
      <family val="2"/>
    </font>
    <font>
      <sz val="8"/>
      <color indexed="59"/>
      <name val="Verdana"/>
      <family val="2"/>
    </font>
    <font>
      <sz val="14"/>
      <color indexed="8"/>
      <name val="Arial MT"/>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8"/>
      <name val="Arial"/>
      <family val="2"/>
    </font>
    <font>
      <sz val="9"/>
      <color indexed="8"/>
      <name val="Arial MT"/>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10"/>
      <color indexed="12"/>
      <name val="Verdana"/>
      <family val="2"/>
    </font>
    <font>
      <b/>
      <sz val="12"/>
      <color indexed="63"/>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theme="0"/>
      <name val="Arial"/>
      <family val="2"/>
    </font>
    <font>
      <sz val="11"/>
      <color rgb="FF000000"/>
      <name val="Calibri"/>
      <family val="2"/>
    </font>
    <font>
      <sz val="10"/>
      <color rgb="FF000000"/>
      <name val="Arial"/>
      <family val="2"/>
      <scheme val="minor"/>
    </font>
    <font>
      <sz val="10"/>
      <color rgb="FFFF0000"/>
      <name val="Arial"/>
      <family val="2"/>
    </font>
    <font>
      <sz val="10"/>
      <name val="Arial"/>
      <family val="2"/>
    </font>
    <font>
      <b/>
      <sz val="11"/>
      <name val="Arial"/>
      <family val="2"/>
    </font>
    <font>
      <u/>
      <sz val="10"/>
      <color theme="10"/>
      <name val="Arial MT"/>
      <family val="2"/>
    </font>
    <font>
      <b/>
      <sz val="10"/>
      <name val="Arial MT"/>
    </font>
    <font>
      <sz val="10"/>
      <color rgb="FF000000"/>
      <name val="Arial"/>
      <family val="2"/>
    </font>
    <font>
      <sz val="11"/>
      <name val="Calibri"/>
      <family val="2"/>
    </font>
    <font>
      <sz val="14"/>
      <color rgb="FFFF0000"/>
      <name val="Arial MT"/>
      <family val="2"/>
    </font>
    <font>
      <sz val="8"/>
      <color theme="0"/>
      <name val="Verdana"/>
      <family val="2"/>
    </font>
    <font>
      <sz val="10"/>
      <name val="Arial"/>
      <family val="2"/>
      <scheme val="major"/>
    </font>
    <font>
      <sz val="9"/>
      <color rgb="FFFF0000"/>
      <name val="Arial"/>
      <family val="2"/>
    </font>
    <font>
      <u/>
      <sz val="11"/>
      <name val="Arial MT"/>
      <family val="2"/>
    </font>
    <font>
      <sz val="10"/>
      <name val="Arial"/>
      <family val="2"/>
    </font>
    <font>
      <sz val="14"/>
      <color theme="0"/>
      <name val="Arial MT"/>
      <family val="2"/>
    </font>
    <font>
      <sz val="10"/>
      <color theme="0"/>
      <name val="Arial"/>
      <family val="2"/>
      <scheme val="minor"/>
    </font>
    <font>
      <b/>
      <sz val="9"/>
      <color rgb="FF000000"/>
      <name val="Arial MT"/>
      <family val="2"/>
    </font>
    <font>
      <sz val="9"/>
      <name val="Arial"/>
      <family val="2"/>
      <scheme val="major"/>
    </font>
    <font>
      <b/>
      <sz val="10"/>
      <color theme="0"/>
      <name val="Arial"/>
      <family val="2"/>
      <scheme val="minor"/>
    </font>
    <font>
      <sz val="14"/>
      <color theme="0"/>
      <name val="Arial"/>
      <family val="2"/>
      <scheme val="minor"/>
    </font>
    <font>
      <sz val="11"/>
      <color theme="0"/>
      <name val="Arial"/>
      <family val="2"/>
      <scheme val="minor"/>
    </font>
    <font>
      <sz val="9"/>
      <color theme="0"/>
      <name val="Arial"/>
      <family val="2"/>
      <scheme val="minor"/>
    </font>
    <font>
      <b/>
      <sz val="11"/>
      <color theme="1"/>
      <name val="Arial"/>
      <family val="2"/>
      <scheme val="minor"/>
    </font>
    <font>
      <u/>
      <sz val="11"/>
      <color theme="10"/>
      <name val="Arial"/>
      <family val="2"/>
      <scheme val="minor"/>
    </font>
    <font>
      <sz val="11"/>
      <color rgb="FFFF0000"/>
      <name val="Arial"/>
      <family val="2"/>
      <scheme val="minor"/>
    </font>
    <font>
      <sz val="11"/>
      <color indexed="8"/>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rgb="FF9C6500"/>
      <name val="Arial"/>
      <family val="2"/>
      <scheme val="minor"/>
    </font>
    <font>
      <b/>
      <sz val="18"/>
      <color theme="3"/>
      <name val="Arial"/>
      <family val="2"/>
      <scheme val="major"/>
    </font>
    <font>
      <sz val="10"/>
      <name val="Arial"/>
      <family val="2"/>
    </font>
    <font>
      <sz val="10"/>
      <color rgb="FFFF0000"/>
      <name val="Arial"/>
      <family val="2"/>
      <scheme val="minor"/>
    </font>
    <font>
      <sz val="9"/>
      <name val="Arial"/>
      <family val="2"/>
    </font>
    <font>
      <sz val="10"/>
      <name val="Arial"/>
      <family val="2"/>
    </font>
    <font>
      <sz val="10"/>
      <name val="Arial"/>
      <family val="2"/>
    </font>
    <font>
      <sz val="9"/>
      <color theme="0"/>
      <name val="Arial"/>
      <family val="2"/>
    </font>
    <font>
      <sz val="11"/>
      <color theme="0"/>
      <name val="Arial"/>
      <family val="2"/>
    </font>
    <font>
      <sz val="10"/>
      <color theme="0"/>
      <name val="Arial"/>
      <family val="2"/>
    </font>
    <font>
      <sz val="10"/>
      <color indexed="8"/>
      <name val="Arial"/>
      <family val="2"/>
    </font>
    <font>
      <sz val="10"/>
      <color indexed="10"/>
      <name val="Arial"/>
      <family val="2"/>
    </font>
    <font>
      <sz val="10"/>
      <name val="Arial"/>
      <family val="2"/>
      <scheme val="minor"/>
    </font>
    <font>
      <b/>
      <sz val="10"/>
      <color rgb="FFFF0000"/>
      <name val="Arial"/>
      <family val="2"/>
    </font>
    <font>
      <b/>
      <vertAlign val="superscript"/>
      <sz val="12"/>
      <color rgb="FFFF0000"/>
      <name val="Arial"/>
      <family val="2"/>
    </font>
    <font>
      <sz val="9"/>
      <color theme="1"/>
      <name val="Arial"/>
      <family val="2"/>
    </font>
    <font>
      <b/>
      <sz val="25"/>
      <name val="Arial"/>
      <family val="2"/>
    </font>
    <font>
      <b/>
      <sz val="18"/>
      <color indexed="8"/>
      <name val="Arial"/>
      <family val="2"/>
    </font>
    <font>
      <b/>
      <sz val="12"/>
      <color indexed="8"/>
      <name val="Arial"/>
      <family val="2"/>
    </font>
    <font>
      <sz val="12"/>
      <name val="Arial MT"/>
      <family val="2"/>
    </font>
    <font>
      <b/>
      <sz val="15"/>
      <color indexed="8"/>
      <name val="Arial"/>
      <family val="2"/>
    </font>
    <font>
      <sz val="13"/>
      <name val="Arial"/>
      <family val="2"/>
    </font>
    <font>
      <sz val="13"/>
      <color indexed="8"/>
      <name val="Arial"/>
      <family val="2"/>
    </font>
    <font>
      <sz val="13"/>
      <color theme="1"/>
      <name val="Arial"/>
      <family val="2"/>
    </font>
    <font>
      <b/>
      <sz val="10"/>
      <color rgb="FFFF3300"/>
      <name val="Arial"/>
      <family val="2"/>
    </font>
    <font>
      <sz val="10"/>
      <color rgb="FFFF3300"/>
      <name val="Arial"/>
      <family val="2"/>
    </font>
    <font>
      <sz val="9"/>
      <color rgb="FFFF3300"/>
      <name val="Arial"/>
      <family val="2"/>
    </font>
    <font>
      <sz val="8"/>
      <color rgb="FFFF3300"/>
      <name val="Arial"/>
      <family val="2"/>
    </font>
    <font>
      <b/>
      <sz val="10"/>
      <color theme="1"/>
      <name val="Arial"/>
      <family val="2"/>
    </font>
    <font>
      <b/>
      <sz val="8"/>
      <color theme="0"/>
      <name val="Verdana"/>
      <family val="2"/>
    </font>
    <font>
      <sz val="11"/>
      <color theme="0"/>
      <name val="Arial MT"/>
      <family val="2"/>
    </font>
    <font>
      <sz val="10"/>
      <color rgb="FFFF0000"/>
      <name val="Arial MT"/>
      <family val="2"/>
    </font>
    <font>
      <sz val="28"/>
      <color theme="0"/>
      <name val="Arial"/>
      <family val="2"/>
    </font>
    <font>
      <sz val="10"/>
      <color theme="0"/>
      <name val="Arial MT"/>
      <family val="2"/>
    </font>
    <font>
      <sz val="8"/>
      <color rgb="FFFF0000"/>
      <name val="Verdana"/>
      <family val="2"/>
    </font>
    <font>
      <sz val="8"/>
      <color rgb="FFFF0000"/>
      <name val="Arial"/>
      <family val="2"/>
    </font>
    <font>
      <b/>
      <sz val="8"/>
      <color rgb="FFFF0000"/>
      <name val="Verdana"/>
      <family val="2"/>
    </font>
    <font>
      <b/>
      <sz val="9"/>
      <color rgb="FFFF0000"/>
      <name val="Arial"/>
      <family val="2"/>
    </font>
    <font>
      <sz val="11"/>
      <color rgb="FFFF0000"/>
      <name val="Arial MT"/>
      <family val="2"/>
    </font>
    <font>
      <b/>
      <sz val="10"/>
      <color rgb="FFFF0000"/>
      <name val="Arial"/>
      <family val="2"/>
      <scheme val="minor"/>
    </font>
    <font>
      <sz val="14"/>
      <color rgb="FFFF0000"/>
      <name val="Arial"/>
      <family val="2"/>
      <scheme val="minor"/>
    </font>
    <font>
      <sz val="9"/>
      <color rgb="FFFF0000"/>
      <name val="Arial"/>
      <family val="2"/>
      <scheme val="minor"/>
    </font>
    <font>
      <b/>
      <sz val="9"/>
      <color rgb="FFFF0000"/>
      <name val="Arial"/>
      <family val="2"/>
      <scheme val="minor"/>
    </font>
    <font>
      <sz val="10"/>
      <color rgb="FFFF0000"/>
      <name val="Calibri"/>
      <family val="2"/>
    </font>
    <font>
      <sz val="10"/>
      <color rgb="FFFF0000"/>
      <name val="Arial"/>
      <family val="2"/>
      <scheme val="major"/>
    </font>
    <font>
      <i/>
      <sz val="10"/>
      <name val="Arial"/>
      <family val="2"/>
    </font>
    <font>
      <i/>
      <sz val="10"/>
      <color rgb="FFFF0000"/>
      <name val="Arial"/>
      <family val="2"/>
      <scheme val="major"/>
    </font>
    <font>
      <sz val="9"/>
      <color theme="0"/>
      <name val="Arial MT"/>
      <family val="2"/>
    </font>
    <font>
      <b/>
      <sz val="9"/>
      <color theme="0"/>
      <name val="Arial"/>
      <family val="2"/>
    </font>
    <font>
      <b/>
      <sz val="10"/>
      <name val="Arial"/>
      <family val="2"/>
      <scheme val="minor"/>
    </font>
    <font>
      <b/>
      <sz val="10"/>
      <color rgb="FF000000"/>
      <name val="Arial"/>
      <family val="2"/>
      <scheme val="minor"/>
    </font>
  </fonts>
  <fills count="87">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064">
    <xf numFmtId="0" fontId="0" fillId="0" borderId="0"/>
    <xf numFmtId="0" fontId="13" fillId="2" borderId="0" applyNumberFormat="0" applyBorder="0" applyAlignment="0" applyProtection="0"/>
    <xf numFmtId="0" fontId="13" fillId="3"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3"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5" fillId="54" borderId="0" applyNumberFormat="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13" fillId="3"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7" borderId="0" applyNumberFormat="0" applyBorder="0" applyAlignment="0" applyProtection="0"/>
    <xf numFmtId="0" fontId="13" fillId="8"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8" borderId="0" applyNumberFormat="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0" fontId="125" fillId="10"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11" borderId="0" applyNumberFormat="0" applyBorder="0" applyAlignment="0" applyProtection="0"/>
    <xf numFmtId="0" fontId="13" fillId="12"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12"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25" fillId="14" borderId="0" applyNumberFormat="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13" fillId="12"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2" borderId="0" applyNumberFormat="0" applyBorder="0" applyAlignment="0" applyProtection="0"/>
    <xf numFmtId="0" fontId="13" fillId="15"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15"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5" fillId="16"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13" fillId="1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17" borderId="0" applyNumberFormat="0" applyBorder="0" applyAlignment="0" applyProtection="0"/>
    <xf numFmtId="0" fontId="13" fillId="18" borderId="0" applyNumberFormat="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0" fontId="13" fillId="18" borderId="0" applyNumberFormat="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0" fontId="125" fillId="6" borderId="0" applyNumberFormat="0" applyBorder="0" applyAlignment="0" applyProtection="0"/>
    <xf numFmtId="187" fontId="51" fillId="18" borderId="0" applyBorder="0" applyAlignment="0" applyProtection="0"/>
    <xf numFmtId="187" fontId="13" fillId="18" borderId="0" applyBorder="0" applyAlignment="0" applyProtection="0"/>
    <xf numFmtId="187" fontId="13" fillId="18" borderId="0" applyBorder="0" applyAlignment="0" applyProtection="0"/>
    <xf numFmtId="0" fontId="13" fillId="11" borderId="0" applyNumberFormat="0" applyBorder="0" applyAlignment="0" applyProtection="0"/>
    <xf numFmtId="0" fontId="13" fillId="9"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9" borderId="0" applyNumberFormat="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0" fontId="125"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20" borderId="0" applyNumberFormat="0" applyBorder="0" applyAlignment="0" applyProtection="0"/>
    <xf numFmtId="0" fontId="13" fillId="21"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5" fillId="6"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7" borderId="0" applyNumberFormat="0" applyBorder="0" applyAlignment="0" applyProtection="0"/>
    <xf numFmtId="0" fontId="13" fillId="23" borderId="0" applyNumberFormat="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0" fontId="13" fillId="23" borderId="0" applyNumberFormat="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0" fontId="125" fillId="10" borderId="0" applyNumberFormat="0" applyBorder="0" applyAlignment="0" applyProtection="0"/>
    <xf numFmtId="187" fontId="51" fillId="23" borderId="0" applyBorder="0" applyAlignment="0" applyProtection="0"/>
    <xf numFmtId="187" fontId="13" fillId="23" borderId="0" applyBorder="0" applyAlignment="0" applyProtection="0"/>
    <xf numFmtId="187" fontId="13" fillId="23" borderId="0" applyBorder="0" applyAlignment="0" applyProtection="0"/>
    <xf numFmtId="0" fontId="13" fillId="13" borderId="0" applyNumberFormat="0" applyBorder="0" applyAlignment="0" applyProtection="0"/>
    <xf numFmtId="0" fontId="13" fillId="24"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24" borderId="0" applyNumberFormat="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0" fontId="125" fillId="14" borderId="0" applyNumberFormat="0" applyBorder="0" applyAlignment="0" applyProtection="0"/>
    <xf numFmtId="187" fontId="51" fillId="13" borderId="0" applyBorder="0" applyAlignment="0" applyProtection="0"/>
    <xf numFmtId="187" fontId="13" fillId="13" borderId="0" applyBorder="0" applyAlignment="0" applyProtection="0"/>
    <xf numFmtId="187" fontId="13" fillId="13" borderId="0" applyBorder="0" applyAlignment="0" applyProtection="0"/>
    <xf numFmtId="0" fontId="13" fillId="20" borderId="0" applyNumberFormat="0" applyBorder="0" applyAlignment="0" applyProtection="0"/>
    <xf numFmtId="0" fontId="13" fillId="15"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15"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0" fontId="125" fillId="25"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26" borderId="0" applyNumberFormat="0" applyBorder="0" applyAlignment="0" applyProtection="0"/>
    <xf numFmtId="0" fontId="13" fillId="21" borderId="0" applyNumberFormat="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5" fillId="6" borderId="0" applyNumberFormat="0" applyBorder="0" applyAlignment="0" applyProtection="0"/>
    <xf numFmtId="187" fontId="51" fillId="21" borderId="0" applyBorder="0" applyAlignment="0" applyProtection="0"/>
    <xf numFmtId="187" fontId="13" fillId="21" borderId="0" applyBorder="0" applyAlignment="0" applyProtection="0"/>
    <xf numFmtId="187" fontId="13" fillId="21" borderId="0" applyBorder="0" applyAlignment="0" applyProtection="0"/>
    <xf numFmtId="0" fontId="13" fillId="13" borderId="0" applyNumberFormat="0" applyBorder="0" applyAlignment="0" applyProtection="0"/>
    <xf numFmtId="0" fontId="13" fillId="27"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27" borderId="0" applyNumberFormat="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0" fontId="125"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4" fillId="28" borderId="0" applyNumberFormat="0" applyBorder="0" applyAlignment="0" applyProtection="0"/>
    <xf numFmtId="0" fontId="14" fillId="29" borderId="0" applyNumberFormat="0" applyBorder="0" applyAlignment="0" applyProtection="0"/>
    <xf numFmtId="187" fontId="14" fillId="28" borderId="0" applyBorder="0" applyAlignment="0" applyProtection="0"/>
    <xf numFmtId="0" fontId="14" fillId="29" borderId="0" applyNumberFormat="0" applyBorder="0" applyAlignment="0" applyProtection="0"/>
    <xf numFmtId="188" fontId="14" fillId="29" borderId="0" applyBorder="0" applyAlignment="0" applyProtection="0"/>
    <xf numFmtId="0" fontId="126" fillId="30" borderId="0" applyNumberFormat="0" applyBorder="0" applyAlignment="0" applyProtection="0"/>
    <xf numFmtId="0" fontId="14" fillId="7" borderId="0" applyNumberFormat="0" applyBorder="0" applyAlignment="0" applyProtection="0"/>
    <xf numFmtId="0" fontId="14" fillId="23" borderId="0" applyNumberFormat="0" applyBorder="0" applyAlignment="0" applyProtection="0"/>
    <xf numFmtId="187" fontId="14" fillId="23" borderId="0" applyBorder="0" applyAlignment="0" applyProtection="0"/>
    <xf numFmtId="0" fontId="14" fillId="23" borderId="0" applyNumberFormat="0" applyBorder="0" applyAlignment="0" applyProtection="0"/>
    <xf numFmtId="188" fontId="14" fillId="23" borderId="0" applyBorder="0" applyAlignment="0" applyProtection="0"/>
    <xf numFmtId="0" fontId="126" fillId="10" borderId="0" applyNumberFormat="0" applyBorder="0" applyAlignment="0" applyProtection="0"/>
    <xf numFmtId="0" fontId="14" fillId="13" borderId="0" applyNumberFormat="0" applyBorder="0" applyAlignment="0" applyProtection="0"/>
    <xf numFmtId="0" fontId="14" fillId="24" borderId="0" applyNumberFormat="0" applyBorder="0" applyAlignment="0" applyProtection="0"/>
    <xf numFmtId="187" fontId="14" fillId="13" borderId="0" applyBorder="0" applyAlignment="0" applyProtection="0"/>
    <xf numFmtId="0" fontId="14" fillId="24" borderId="0" applyNumberFormat="0" applyBorder="0" applyAlignment="0" applyProtection="0"/>
    <xf numFmtId="188" fontId="14" fillId="24" borderId="0" applyBorder="0" applyAlignment="0" applyProtection="0"/>
    <xf numFmtId="0" fontId="126" fillId="14" borderId="0" applyNumberFormat="0" applyBorder="0" applyAlignment="0" applyProtection="0"/>
    <xf numFmtId="0" fontId="14" fillId="20" borderId="0" applyNumberFormat="0" applyBorder="0" applyAlignment="0" applyProtection="0"/>
    <xf numFmtId="0" fontId="14" fillId="31" borderId="0" applyNumberFormat="0" applyBorder="0" applyAlignment="0" applyProtection="0"/>
    <xf numFmtId="187" fontId="14" fillId="22" borderId="0" applyBorder="0" applyAlignment="0" applyProtection="0"/>
    <xf numFmtId="0" fontId="14" fillId="31" borderId="0" applyNumberFormat="0" applyBorder="0" applyAlignment="0" applyProtection="0"/>
    <xf numFmtId="188" fontId="14" fillId="31" borderId="0" applyBorder="0" applyAlignment="0" applyProtection="0"/>
    <xf numFmtId="0" fontId="126" fillId="32"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6" fillId="30" borderId="0" applyNumberFormat="0" applyBorder="0" applyAlignment="0" applyProtection="0"/>
    <xf numFmtId="0" fontId="14" fillId="7" borderId="0" applyNumberFormat="0" applyBorder="0" applyAlignment="0" applyProtection="0"/>
    <xf numFmtId="0" fontId="14" fillId="33" borderId="0" applyNumberFormat="0" applyBorder="0" applyAlignment="0" applyProtection="0"/>
    <xf numFmtId="187" fontId="14" fillId="9" borderId="0" applyBorder="0" applyAlignment="0" applyProtection="0"/>
    <xf numFmtId="0" fontId="14" fillId="33" borderId="0" applyNumberFormat="0" applyBorder="0" applyAlignment="0" applyProtection="0"/>
    <xf numFmtId="188" fontId="14" fillId="33" borderId="0" applyBorder="0" applyAlignment="0" applyProtection="0"/>
    <xf numFmtId="0" fontId="126" fillId="34" borderId="0" applyNumberFormat="0" applyBorder="0" applyAlignment="0" applyProtection="0"/>
    <xf numFmtId="0" fontId="15" fillId="12" borderId="0" applyNumberFormat="0" applyBorder="0" applyAlignment="0" applyProtection="0"/>
    <xf numFmtId="187" fontId="15" fillId="12" borderId="0" applyBorder="0" applyAlignment="0" applyProtection="0"/>
    <xf numFmtId="0" fontId="15" fillId="12" borderId="0" applyNumberFormat="0" applyBorder="0" applyAlignment="0" applyProtection="0"/>
    <xf numFmtId="188" fontId="15" fillId="12" borderId="0" applyBorder="0" applyAlignment="0" applyProtection="0"/>
    <xf numFmtId="0" fontId="127" fillId="14" borderId="0" applyNumberFormat="0" applyBorder="0" applyAlignment="0" applyProtection="0"/>
    <xf numFmtId="0" fontId="127" fillId="14" borderId="0" applyNumberFormat="0" applyBorder="0" applyAlignment="0" applyProtection="0"/>
    <xf numFmtId="0" fontId="16" fillId="5" borderId="1" applyNumberFormat="0" applyAlignment="0" applyProtection="0"/>
    <xf numFmtId="0" fontId="16" fillId="22" borderId="1" applyNumberFormat="0" applyAlignment="0" applyProtection="0"/>
    <xf numFmtId="187" fontId="16" fillId="4" borderId="1" applyAlignment="0" applyProtection="0"/>
    <xf numFmtId="187" fontId="16" fillId="4" borderId="1" applyAlignment="0" applyProtection="0"/>
    <xf numFmtId="0" fontId="16" fillId="22" borderId="1" applyNumberFormat="0" applyAlignment="0" applyProtection="0"/>
    <xf numFmtId="187" fontId="16" fillId="5" borderId="1" applyAlignment="0" applyProtection="0"/>
    <xf numFmtId="187" fontId="16" fillId="5" borderId="1" applyAlignment="0" applyProtection="0"/>
    <xf numFmtId="0" fontId="128" fillId="35" borderId="2" applyNumberFormat="0" applyAlignment="0" applyProtection="0"/>
    <xf numFmtId="188" fontId="16" fillId="22" borderId="1" applyAlignment="0" applyProtection="0"/>
    <xf numFmtId="188" fontId="16" fillId="22" borderId="1" applyAlignment="0" applyProtection="0"/>
    <xf numFmtId="188" fontId="16" fillId="22" borderId="1" applyAlignment="0" applyProtection="0"/>
    <xf numFmtId="0" fontId="17" fillId="36" borderId="3" applyNumberFormat="0" applyAlignment="0" applyProtection="0"/>
    <xf numFmtId="0" fontId="17" fillId="37" borderId="3" applyNumberFormat="0" applyAlignment="0" applyProtection="0"/>
    <xf numFmtId="187" fontId="17" fillId="37" borderId="3" applyAlignment="0" applyProtection="0"/>
    <xf numFmtId="187" fontId="17" fillId="37" borderId="3" applyAlignment="0" applyProtection="0"/>
    <xf numFmtId="187" fontId="121" fillId="37" borderId="3" applyAlignment="0" applyProtection="0"/>
    <xf numFmtId="0" fontId="17" fillId="37" borderId="3" applyNumberFormat="0" applyAlignment="0" applyProtection="0"/>
    <xf numFmtId="188" fontId="17" fillId="37" borderId="3" applyAlignment="0" applyProtection="0"/>
    <xf numFmtId="188" fontId="17" fillId="37" borderId="3" applyAlignment="0" applyProtection="0"/>
    <xf numFmtId="188" fontId="121" fillId="37" borderId="3" applyAlignment="0" applyProtection="0"/>
    <xf numFmtId="0" fontId="129" fillId="38" borderId="45" applyNumberFormat="0" applyAlignment="0" applyProtection="0"/>
    <xf numFmtId="0" fontId="18" fillId="0" borderId="4" applyNumberFormat="0" applyFill="0" applyAlignment="0" applyProtection="0"/>
    <xf numFmtId="0" fontId="18" fillId="0" borderId="4" applyNumberFormat="0" applyFill="0" applyAlignment="0" applyProtection="0"/>
    <xf numFmtId="187" fontId="18" fillId="0" borderId="4" applyFill="0" applyAlignment="0" applyProtection="0"/>
    <xf numFmtId="0" fontId="18" fillId="0" borderId="4" applyNumberFormat="0" applyFill="0" applyAlignment="0" applyProtection="0"/>
    <xf numFmtId="188" fontId="18" fillId="0" borderId="4" applyFill="0" applyAlignment="0" applyProtection="0"/>
    <xf numFmtId="0" fontId="130" fillId="0" borderId="46" applyNumberFormat="0" applyFill="0" applyAlignment="0" applyProtection="0"/>
    <xf numFmtId="167"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67" fontId="87" fillId="0" borderId="0" applyFont="0" applyFill="0" applyBorder="0" applyAlignment="0" applyProtection="0"/>
    <xf numFmtId="167"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7" fillId="0" borderId="0" applyFont="0" applyFill="0" applyBorder="0" applyAlignment="0" applyProtection="0"/>
    <xf numFmtId="170" fontId="87"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31" fillId="0" borderId="5" applyNumberFormat="0" applyFill="0" applyAlignment="0" applyProtection="0"/>
    <xf numFmtId="0" fontId="19" fillId="0" borderId="0" applyNumberFormat="0" applyFill="0" applyBorder="0" applyAlignment="0" applyProtection="0"/>
    <xf numFmtId="0" fontId="43" fillId="0" borderId="0" applyNumberFormat="0" applyFill="0" applyBorder="0" applyAlignment="0" applyProtection="0"/>
    <xf numFmtId="187" fontId="19" fillId="0" borderId="0" applyFill="0" applyBorder="0" applyAlignment="0" applyProtection="0"/>
    <xf numFmtId="0" fontId="43" fillId="0" borderId="0" applyNumberFormat="0" applyFill="0" applyBorder="0" applyAlignment="0" applyProtection="0"/>
    <xf numFmtId="188" fontId="43" fillId="0" borderId="0" applyFill="0" applyBorder="0" applyAlignment="0" applyProtection="0"/>
    <xf numFmtId="0" fontId="132" fillId="0" borderId="0" applyNumberFormat="0" applyFill="0" applyBorder="0" applyAlignment="0" applyProtection="0"/>
    <xf numFmtId="0" fontId="14" fillId="28" borderId="0" applyNumberFormat="0" applyBorder="0" applyAlignment="0" applyProtection="0"/>
    <xf numFmtId="0" fontId="14" fillId="39" borderId="0" applyNumberFormat="0" applyBorder="0" applyAlignment="0" applyProtection="0"/>
    <xf numFmtId="187" fontId="14" fillId="28" borderId="0" applyBorder="0" applyAlignment="0" applyProtection="0"/>
    <xf numFmtId="0" fontId="14" fillId="39" borderId="0" applyNumberFormat="0" applyBorder="0" applyAlignment="0" applyProtection="0"/>
    <xf numFmtId="188" fontId="14" fillId="39" borderId="0" applyBorder="0" applyAlignment="0" applyProtection="0"/>
    <xf numFmtId="0" fontId="126"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187" fontId="14" fillId="41" borderId="0" applyBorder="0" applyAlignment="0" applyProtection="0"/>
    <xf numFmtId="0" fontId="14" fillId="41" borderId="0" applyNumberFormat="0" applyBorder="0" applyAlignment="0" applyProtection="0"/>
    <xf numFmtId="188" fontId="14" fillId="41" borderId="0" applyBorder="0" applyAlignment="0" applyProtection="0"/>
    <xf numFmtId="0" fontId="126" fillId="1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187" fontId="14" fillId="42" borderId="0" applyBorder="0" applyAlignment="0" applyProtection="0"/>
    <xf numFmtId="0" fontId="14" fillId="42" borderId="0" applyNumberFormat="0" applyBorder="0" applyAlignment="0" applyProtection="0"/>
    <xf numFmtId="188" fontId="14" fillId="42" borderId="0" applyBorder="0" applyAlignment="0" applyProtection="0"/>
    <xf numFmtId="0" fontId="126" fillId="43" borderId="0" applyNumberFormat="0" applyBorder="0" applyAlignment="0" applyProtection="0"/>
    <xf numFmtId="0" fontId="14" fillId="44" borderId="0" applyNumberFormat="0" applyBorder="0" applyAlignment="0" applyProtection="0"/>
    <xf numFmtId="0" fontId="14" fillId="31" borderId="0" applyNumberFormat="0" applyBorder="0" applyAlignment="0" applyProtection="0"/>
    <xf numFmtId="187" fontId="14" fillId="45" borderId="0" applyBorder="0" applyAlignment="0" applyProtection="0"/>
    <xf numFmtId="0" fontId="14" fillId="31" borderId="0" applyNumberFormat="0" applyBorder="0" applyAlignment="0" applyProtection="0"/>
    <xf numFmtId="188" fontId="14" fillId="31" borderId="0" applyBorder="0" applyAlignment="0" applyProtection="0"/>
    <xf numFmtId="0" fontId="126" fillId="4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6"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187" fontId="14" fillId="49" borderId="0" applyBorder="0" applyAlignment="0" applyProtection="0"/>
    <xf numFmtId="0" fontId="14" fillId="49" borderId="0" applyNumberFormat="0" applyBorder="0" applyAlignment="0" applyProtection="0"/>
    <xf numFmtId="188" fontId="14" fillId="49" borderId="0" applyBorder="0" applyAlignment="0" applyProtection="0"/>
    <xf numFmtId="0" fontId="126" fillId="50" borderId="0" applyNumberFormat="0" applyBorder="0" applyAlignment="0" applyProtection="0"/>
    <xf numFmtId="0" fontId="20" fillId="13" borderId="1" applyNumberFormat="0" applyAlignment="0" applyProtection="0"/>
    <xf numFmtId="0" fontId="20" fillId="9" borderId="1" applyNumberFormat="0" applyAlignment="0" applyProtection="0"/>
    <xf numFmtId="187" fontId="20" fillId="9" borderId="1" applyAlignment="0" applyProtection="0"/>
    <xf numFmtId="187" fontId="20" fillId="9" borderId="1" applyAlignment="0" applyProtection="0"/>
    <xf numFmtId="0" fontId="20" fillId="9" borderId="1" applyNumberFormat="0" applyAlignment="0" applyProtection="0"/>
    <xf numFmtId="188" fontId="20" fillId="9" borderId="1" applyAlignment="0" applyProtection="0"/>
    <xf numFmtId="188" fontId="20" fillId="9" borderId="1" applyAlignment="0" applyProtection="0"/>
    <xf numFmtId="0" fontId="133" fillId="51" borderId="2" applyNumberFormat="0" applyAlignment="0" applyProtection="0"/>
    <xf numFmtId="0" fontId="51" fillId="0" borderId="0"/>
    <xf numFmtId="0" fontId="134" fillId="0" borderId="0" applyNumberForma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xf numFmtId="188" fontId="52" fillId="0" borderId="0" applyFill="0" applyBorder="0" applyAlignment="0" applyProtection="0"/>
    <xf numFmtId="188" fontId="52" fillId="0" borderId="0" applyFill="0" applyBorder="0" applyAlignment="0" applyProtection="0"/>
    <xf numFmtId="188" fontId="52" fillId="0" borderId="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alignment vertical="top"/>
      <protection locked="0"/>
    </xf>
    <xf numFmtId="0" fontId="136" fillId="0" borderId="0" applyNumberFormat="0" applyFill="0" applyBorder="0" applyAlignment="0" applyProtection="0"/>
    <xf numFmtId="0" fontId="21" fillId="52" borderId="0" applyNumberFormat="0" applyBorder="0" applyAlignment="0" applyProtection="0"/>
    <xf numFmtId="0" fontId="21" fillId="8" borderId="0" applyNumberFormat="0" applyBorder="0" applyAlignment="0" applyProtection="0"/>
    <xf numFmtId="187" fontId="21" fillId="8" borderId="0" applyBorder="0" applyAlignment="0" applyProtection="0"/>
    <xf numFmtId="0" fontId="21" fillId="8" borderId="0" applyNumberFormat="0" applyBorder="0" applyAlignment="0" applyProtection="0"/>
    <xf numFmtId="188" fontId="21" fillId="8" borderId="0" applyBorder="0" applyAlignment="0" applyProtection="0"/>
    <xf numFmtId="0" fontId="137" fillId="55" borderId="0" applyNumberFormat="0" applyBorder="0" applyAlignment="0" applyProtection="0"/>
    <xf numFmtId="178" fontId="37" fillId="0" borderId="0" applyFill="0" applyBorder="0" applyAlignment="0" applyProtection="0"/>
    <xf numFmtId="177" fontId="37" fillId="0" borderId="0" applyFill="0" applyBorder="0" applyAlignment="0" applyProtection="0"/>
    <xf numFmtId="164" fontId="87"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4" fontId="11" fillId="0" borderId="0" applyFont="0" applyFill="0" applyBorder="0" applyAlignment="0" applyProtection="0"/>
    <xf numFmtId="164" fontId="87" fillId="0" borderId="0" applyFont="0" applyFill="0" applyBorder="0" applyAlignment="0" applyProtection="0"/>
    <xf numFmtId="164" fontId="11" fillId="0" borderId="0" applyFont="0" applyFill="0" applyBorder="0" applyAlignment="0" applyProtection="0"/>
    <xf numFmtId="186" fontId="12" fillId="0" borderId="0" applyFont="0" applyFill="0" applyBorder="0" applyAlignment="0" applyProtection="0"/>
    <xf numFmtId="177" fontId="37" fillId="0" borderId="0" applyFill="0" applyBorder="0" applyAlignment="0" applyProtection="0"/>
    <xf numFmtId="169" fontId="12" fillId="0" borderId="0" applyFont="0" applyFill="0" applyBorder="0" applyAlignment="0" applyProtection="0"/>
    <xf numFmtId="166" fontId="87" fillId="0" borderId="0" applyFont="0" applyFill="0" applyBorder="0" applyAlignment="0" applyProtection="0"/>
    <xf numFmtId="166"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2" fontId="24" fillId="0" borderId="0" applyFont="0" applyFill="0" applyBorder="0" applyAlignment="0" applyProtection="0"/>
    <xf numFmtId="0"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2" fillId="0" borderId="0" applyFont="0" applyFill="0" applyBorder="0" applyAlignment="0" applyProtection="0"/>
    <xf numFmtId="171" fontId="13" fillId="0" borderId="0" applyFont="0" applyFill="0" applyBorder="0" applyAlignment="0" applyProtection="0"/>
    <xf numFmtId="171" fontId="12" fillId="0" borderId="0" applyFont="0" applyFill="0" applyBorder="0" applyAlignment="0" applyProtection="0"/>
    <xf numFmtId="182"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68" fontId="87" fillId="0" borderId="0" applyFont="0" applyFill="0" applyBorder="0" applyAlignment="0" applyProtection="0"/>
    <xf numFmtId="168" fontId="11" fillId="0" borderId="0" applyFont="0" applyFill="0" applyBorder="0" applyAlignment="0" applyProtection="0"/>
    <xf numFmtId="171" fontId="87"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171" fontId="87" fillId="0" borderId="0" applyFont="0" applyFill="0" applyBorder="0" applyAlignment="0" applyProtection="0"/>
    <xf numFmtId="171" fontId="11" fillId="0" borderId="0" applyFont="0" applyFill="0" applyBorder="0" applyAlignment="0" applyProtection="0"/>
    <xf numFmtId="0" fontId="22" fillId="13" borderId="0" applyNumberFormat="0" applyBorder="0" applyAlignment="0" applyProtection="0"/>
    <xf numFmtId="0" fontId="22" fillId="13" borderId="0" applyNumberFormat="0" applyBorder="0" applyAlignment="0" applyProtection="0"/>
    <xf numFmtId="187" fontId="22" fillId="13" borderId="0" applyBorder="0" applyAlignment="0" applyProtection="0"/>
    <xf numFmtId="0" fontId="22" fillId="13" borderId="0" applyNumberFormat="0" applyBorder="0" applyAlignment="0" applyProtection="0"/>
    <xf numFmtId="188" fontId="22" fillId="13" borderId="0" applyBorder="0" applyAlignment="0" applyProtection="0"/>
    <xf numFmtId="0" fontId="138" fillId="56" borderId="0" applyNumberFormat="0" applyBorder="0" applyAlignment="0" applyProtection="0"/>
    <xf numFmtId="0" fontId="23" fillId="0" borderId="0"/>
    <xf numFmtId="0" fontId="56" fillId="0" borderId="0"/>
    <xf numFmtId="0" fontId="125" fillId="0" borderId="0"/>
    <xf numFmtId="0" fontId="125" fillId="0" borderId="0"/>
    <xf numFmtId="0" fontId="125" fillId="0" borderId="0"/>
    <xf numFmtId="0" fontId="123" fillId="0" borderId="0"/>
    <xf numFmtId="0" fontId="11" fillId="0" borderId="0"/>
    <xf numFmtId="0" fontId="125" fillId="0" borderId="0"/>
    <xf numFmtId="0" fontId="125" fillId="0" borderId="0"/>
    <xf numFmtId="0" fontId="55" fillId="0" borderId="0"/>
    <xf numFmtId="0" fontId="12" fillId="0" borderId="0"/>
    <xf numFmtId="0" fontId="12" fillId="0" borderId="0"/>
    <xf numFmtId="0" fontId="125" fillId="0" borderId="0"/>
    <xf numFmtId="0" fontId="58" fillId="0" borderId="0">
      <alignment wrapText="1"/>
    </xf>
    <xf numFmtId="0" fontId="12" fillId="0" borderId="0">
      <alignment wrapText="1"/>
    </xf>
    <xf numFmtId="0" fontId="59" fillId="0" borderId="0">
      <alignment wrapText="1"/>
    </xf>
    <xf numFmtId="0" fontId="12" fillId="0" borderId="0"/>
    <xf numFmtId="0" fontId="12" fillId="0" borderId="0">
      <alignment wrapText="1"/>
    </xf>
    <xf numFmtId="0" fontId="61" fillId="0" borderId="0"/>
    <xf numFmtId="0" fontId="12" fillId="0" borderId="0"/>
    <xf numFmtId="0" fontId="62" fillId="0" borderId="0">
      <alignment wrapText="1"/>
    </xf>
    <xf numFmtId="0" fontId="125" fillId="0" borderId="0"/>
    <xf numFmtId="0" fontId="12" fillId="0" borderId="0">
      <alignment wrapText="1"/>
    </xf>
    <xf numFmtId="0" fontId="24" fillId="0" borderId="0"/>
    <xf numFmtId="0" fontId="12" fillId="0" borderId="0"/>
    <xf numFmtId="0" fontId="125" fillId="0" borderId="0"/>
    <xf numFmtId="0" fontId="125" fillId="0" borderId="0"/>
    <xf numFmtId="0" fontId="12" fillId="0" borderId="0">
      <alignment wrapText="1"/>
    </xf>
    <xf numFmtId="0" fontId="12" fillId="0" borderId="0">
      <alignment wrapText="1"/>
    </xf>
    <xf numFmtId="0" fontId="12" fillId="0" borderId="0"/>
    <xf numFmtId="0" fontId="12" fillId="0" borderId="0"/>
    <xf numFmtId="0" fontId="139" fillId="0" borderId="0"/>
    <xf numFmtId="0" fontId="56" fillId="0" borderId="0"/>
    <xf numFmtId="0" fontId="56" fillId="0" borderId="0"/>
    <xf numFmtId="187" fontId="53" fillId="0" borderId="0"/>
    <xf numFmtId="0" fontId="12" fillId="0" borderId="0"/>
    <xf numFmtId="0" fontId="140" fillId="0" borderId="0"/>
    <xf numFmtId="0" fontId="13" fillId="0" borderId="0"/>
    <xf numFmtId="0" fontId="13" fillId="0" borderId="0"/>
    <xf numFmtId="0" fontId="31" fillId="0" borderId="0"/>
    <xf numFmtId="0" fontId="63" fillId="0" borderId="0">
      <alignment wrapText="1"/>
    </xf>
    <xf numFmtId="0" fontId="12" fillId="0" borderId="0"/>
    <xf numFmtId="0" fontId="12" fillId="0" borderId="0">
      <alignment wrapText="1"/>
    </xf>
    <xf numFmtId="0" fontId="64" fillId="0" borderId="0"/>
    <xf numFmtId="0" fontId="12" fillId="0" borderId="0"/>
    <xf numFmtId="0" fontId="67" fillId="0" borderId="0"/>
    <xf numFmtId="0" fontId="12" fillId="0" borderId="0"/>
    <xf numFmtId="0" fontId="141" fillId="0" borderId="0"/>
    <xf numFmtId="0" fontId="72" fillId="0" borderId="0"/>
    <xf numFmtId="0" fontId="12" fillId="0" borderId="0"/>
    <xf numFmtId="0" fontId="83" fillId="0" borderId="0"/>
    <xf numFmtId="0" fontId="12" fillId="0" borderId="0"/>
    <xf numFmtId="0" fontId="85" fillId="0" borderId="0"/>
    <xf numFmtId="0" fontId="12" fillId="0" borderId="0"/>
    <xf numFmtId="0" fontId="142" fillId="0" borderId="0"/>
    <xf numFmtId="0" fontId="24" fillId="0" borderId="0"/>
    <xf numFmtId="0" fontId="12" fillId="0" borderId="0"/>
    <xf numFmtId="187" fontId="53" fillId="0" borderId="0"/>
    <xf numFmtId="0" fontId="12" fillId="0" borderId="0"/>
    <xf numFmtId="0" fontId="125" fillId="0" borderId="0"/>
    <xf numFmtId="0" fontId="125" fillId="0" borderId="0"/>
    <xf numFmtId="0" fontId="12" fillId="0" borderId="0"/>
    <xf numFmtId="0" fontId="139" fillId="0" borderId="0"/>
    <xf numFmtId="0" fontId="143" fillId="0" borderId="0"/>
    <xf numFmtId="0" fontId="143" fillId="0" borderId="0"/>
    <xf numFmtId="0" fontId="24" fillId="0" borderId="0"/>
    <xf numFmtId="0" fontId="125" fillId="0" borderId="0"/>
    <xf numFmtId="0" fontId="125" fillId="0" borderId="0"/>
    <xf numFmtId="0" fontId="125" fillId="0" borderId="0"/>
    <xf numFmtId="0" fontId="12" fillId="0" borderId="0"/>
    <xf numFmtId="0" fontId="1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5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5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24" fillId="0" borderId="0"/>
    <xf numFmtId="0" fontId="125" fillId="0" borderId="0"/>
    <xf numFmtId="0" fontId="12"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187" fontId="5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24" fillId="0" borderId="0"/>
    <xf numFmtId="188" fontId="53" fillId="0" borderId="0"/>
    <xf numFmtId="0" fontId="12" fillId="0" borderId="0"/>
    <xf numFmtId="0" fontId="24" fillId="0" borderId="0"/>
    <xf numFmtId="0" fontId="12" fillId="0" borderId="0"/>
    <xf numFmtId="187" fontId="53" fillId="0" borderId="0"/>
    <xf numFmtId="0" fontId="24" fillId="0" borderId="0"/>
    <xf numFmtId="0" fontId="12" fillId="0" borderId="0"/>
    <xf numFmtId="188" fontId="53" fillId="0" borderId="0"/>
    <xf numFmtId="0" fontId="125" fillId="0" borderId="0"/>
    <xf numFmtId="0" fontId="37" fillId="0" borderId="0"/>
    <xf numFmtId="0" fontId="12" fillId="0" borderId="0"/>
    <xf numFmtId="0" fontId="31" fillId="0" borderId="0"/>
    <xf numFmtId="0" fontId="37" fillId="11" borderId="6" applyNumberFormat="0" applyAlignment="0" applyProtection="0"/>
    <xf numFmtId="0" fontId="13" fillId="4" borderId="6" applyNumberFormat="0" applyAlignment="0" applyProtection="0"/>
    <xf numFmtId="187" fontId="53" fillId="13" borderId="6" applyAlignment="0" applyProtection="0"/>
    <xf numFmtId="187" fontId="53" fillId="13" borderId="6" applyAlignment="0" applyProtection="0"/>
    <xf numFmtId="0" fontId="13" fillId="4" borderId="6" applyNumberFormat="0" applyAlignment="0" applyProtection="0"/>
    <xf numFmtId="187" fontId="53" fillId="4" borderId="6" applyAlignment="0" applyProtection="0"/>
    <xf numFmtId="187" fontId="53" fillId="4" borderId="6" applyAlignment="0" applyProtection="0"/>
    <xf numFmtId="0" fontId="87" fillId="57" borderId="7" applyNumberFormat="0" applyFont="0" applyAlignment="0" applyProtection="0"/>
    <xf numFmtId="188" fontId="53" fillId="4" borderId="6" applyAlignment="0" applyProtection="0"/>
    <xf numFmtId="188" fontId="53" fillId="4" borderId="6" applyAlignment="0" applyProtection="0"/>
    <xf numFmtId="188" fontId="53" fillId="4" borderId="6" applyAlignment="0" applyProtection="0"/>
    <xf numFmtId="0" fontId="11" fillId="57" borderId="7" applyNumberFormat="0" applyFont="0" applyAlignment="0" applyProtection="0"/>
    <xf numFmtId="9" fontId="89"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37" fillId="0" borderId="0" applyFill="0" applyBorder="0" applyAlignment="0" applyProtection="0"/>
    <xf numFmtId="9" fontId="87" fillId="0" borderId="0" applyFont="0" applyFill="0" applyBorder="0" applyAlignment="0" applyProtection="0"/>
    <xf numFmtId="9" fontId="37" fillId="0" borderId="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8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25" fillId="5" borderId="8" applyNumberFormat="0" applyAlignment="0" applyProtection="0"/>
    <xf numFmtId="0" fontId="25" fillId="22" borderId="8" applyNumberFormat="0" applyAlignment="0" applyProtection="0"/>
    <xf numFmtId="187" fontId="25" fillId="4" borderId="8" applyAlignment="0" applyProtection="0"/>
    <xf numFmtId="187" fontId="25" fillId="4" borderId="8" applyAlignment="0" applyProtection="0"/>
    <xf numFmtId="0" fontId="25" fillId="22" borderId="8" applyNumberFormat="0" applyAlignment="0" applyProtection="0"/>
    <xf numFmtId="187" fontId="25" fillId="5" borderId="8" applyAlignment="0" applyProtection="0"/>
    <xf numFmtId="187" fontId="25" fillId="5" borderId="8" applyAlignment="0" applyProtection="0"/>
    <xf numFmtId="0" fontId="144" fillId="35" borderId="47" applyNumberFormat="0" applyAlignment="0" applyProtection="0"/>
    <xf numFmtId="188" fontId="25" fillId="22" borderId="8" applyAlignment="0" applyProtection="0"/>
    <xf numFmtId="188" fontId="25" fillId="22" borderId="8" applyAlignment="0" applyProtection="0"/>
    <xf numFmtId="188" fontId="25" fillId="22" borderId="8" applyAlignment="0" applyProtection="0"/>
    <xf numFmtId="196" fontId="12" fillId="0" borderId="0" applyFill="0" applyBorder="0" applyProtection="0">
      <alignment horizontal="right" vertical="center" wrapText="1"/>
    </xf>
    <xf numFmtId="0" fontId="26" fillId="0" borderId="0" applyNumberFormat="0" applyFill="0" applyBorder="0" applyAlignment="0" applyProtection="0"/>
    <xf numFmtId="0" fontId="26" fillId="0" borderId="0" applyNumberFormat="0" applyFill="0" applyBorder="0" applyAlignment="0" applyProtection="0"/>
    <xf numFmtId="187" fontId="26" fillId="0" borderId="0" applyFill="0" applyBorder="0" applyAlignment="0" applyProtection="0"/>
    <xf numFmtId="0" fontId="26" fillId="0" borderId="0" applyNumberFormat="0" applyFill="0" applyBorder="0" applyAlignment="0" applyProtection="0"/>
    <xf numFmtId="188" fontId="26" fillId="0" borderId="0" applyFill="0" applyBorder="0" applyAlignment="0" applyProtection="0"/>
    <xf numFmtId="0" fontId="14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7" fontId="27" fillId="0" borderId="0" applyFill="0" applyBorder="0" applyAlignment="0" applyProtection="0"/>
    <xf numFmtId="0" fontId="27" fillId="0" borderId="0" applyNumberFormat="0" applyFill="0" applyBorder="0" applyAlignment="0" applyProtection="0"/>
    <xf numFmtId="188" fontId="27" fillId="0" borderId="0" applyFill="0" applyBorder="0" applyAlignment="0" applyProtection="0"/>
    <xf numFmtId="0" fontId="90" fillId="0" borderId="0" applyNumberFormat="0" applyFill="0" applyBorder="0" applyAlignment="0" applyProtection="0"/>
    <xf numFmtId="0" fontId="28" fillId="0" borderId="0" applyNumberFormat="0" applyFill="0" applyBorder="0" applyAlignment="0" applyProtection="0"/>
    <xf numFmtId="0" fontId="45" fillId="0" borderId="9" applyNumberFormat="0" applyFill="0" applyAlignment="0" applyProtection="0"/>
    <xf numFmtId="187" fontId="54" fillId="0" borderId="10" applyFill="0" applyAlignment="0" applyProtection="0"/>
    <xf numFmtId="0" fontId="45" fillId="0" borderId="9" applyNumberFormat="0" applyFill="0" applyAlignment="0" applyProtection="0"/>
    <xf numFmtId="188" fontId="45" fillId="0" borderId="9" applyFill="0" applyAlignment="0" applyProtection="0"/>
    <xf numFmtId="0" fontId="131" fillId="0" borderId="5" applyNumberFormat="0" applyFill="0" applyAlignment="0" applyProtection="0"/>
    <xf numFmtId="0" fontId="29" fillId="0" borderId="11" applyNumberFormat="0" applyFill="0" applyAlignment="0" applyProtection="0"/>
    <xf numFmtId="0" fontId="46" fillId="0" borderId="11" applyNumberFormat="0" applyFill="0" applyAlignment="0" applyProtection="0"/>
    <xf numFmtId="187" fontId="29" fillId="0" borderId="11" applyFill="0" applyAlignment="0" applyProtection="0"/>
    <xf numFmtId="0" fontId="46" fillId="0" borderId="11" applyNumberFormat="0" applyFill="0" applyAlignment="0" applyProtection="0"/>
    <xf numFmtId="188" fontId="46" fillId="0" borderId="11" applyFill="0" applyAlignment="0" applyProtection="0"/>
    <xf numFmtId="0" fontId="146" fillId="0" borderId="12" applyNumberFormat="0" applyFill="0" applyAlignment="0" applyProtection="0"/>
    <xf numFmtId="0" fontId="19" fillId="0" borderId="13" applyNumberFormat="0" applyFill="0" applyAlignment="0" applyProtection="0"/>
    <xf numFmtId="0" fontId="43" fillId="0" borderId="14" applyNumberFormat="0" applyFill="0" applyAlignment="0" applyProtection="0"/>
    <xf numFmtId="187" fontId="19" fillId="0" borderId="13" applyFill="0" applyAlignment="0" applyProtection="0"/>
    <xf numFmtId="0" fontId="43" fillId="0" borderId="14" applyNumberFormat="0" applyFill="0" applyAlignment="0" applyProtection="0"/>
    <xf numFmtId="188" fontId="43" fillId="0" borderId="14" applyFill="0" applyAlignment="0" applyProtection="0"/>
    <xf numFmtId="0" fontId="132" fillId="0" borderId="15" applyNumberFormat="0" applyFill="0" applyAlignment="0" applyProtection="0"/>
    <xf numFmtId="0" fontId="44" fillId="0" borderId="0" applyNumberFormat="0" applyFill="0" applyBorder="0" applyAlignment="0" applyProtection="0"/>
    <xf numFmtId="187" fontId="28" fillId="0" borderId="0" applyFill="0" applyBorder="0" applyAlignment="0" applyProtection="0"/>
    <xf numFmtId="0" fontId="44" fillId="0" borderId="0" applyNumberFormat="0" applyFill="0" applyBorder="0" applyAlignment="0" applyProtection="0"/>
    <xf numFmtId="188" fontId="44" fillId="0" borderId="0" applyFill="0" applyBorder="0" applyAlignment="0" applyProtection="0"/>
    <xf numFmtId="0" fontId="147" fillId="0" borderId="0" applyNumberFormat="0" applyFill="0" applyBorder="0" applyAlignment="0" applyProtection="0"/>
    <xf numFmtId="0" fontId="30" fillId="0" borderId="16" applyNumberFormat="0" applyFill="0" applyAlignment="0" applyProtection="0"/>
    <xf numFmtId="0" fontId="30" fillId="0" borderId="17" applyNumberFormat="0" applyFill="0" applyAlignment="0" applyProtection="0"/>
    <xf numFmtId="187" fontId="30" fillId="0" borderId="16" applyFill="0" applyAlignment="0" applyProtection="0"/>
    <xf numFmtId="187" fontId="30" fillId="0" borderId="16" applyFill="0" applyAlignment="0" applyProtection="0"/>
    <xf numFmtId="187" fontId="122" fillId="0" borderId="16" applyFill="0" applyAlignment="0" applyProtection="0"/>
    <xf numFmtId="187" fontId="122" fillId="0" borderId="16" applyFill="0" applyAlignment="0" applyProtection="0"/>
    <xf numFmtId="0" fontId="30" fillId="0" borderId="17" applyNumberFormat="0" applyFill="0" applyAlignment="0" applyProtection="0"/>
    <xf numFmtId="188" fontId="30" fillId="0" borderId="17" applyFill="0" applyAlignment="0" applyProtection="0"/>
    <xf numFmtId="188" fontId="30" fillId="0" borderId="17" applyFill="0" applyAlignment="0" applyProtection="0"/>
    <xf numFmtId="188" fontId="122" fillId="0" borderId="17" applyFill="0" applyAlignment="0" applyProtection="0"/>
    <xf numFmtId="188" fontId="122" fillId="0" borderId="17" applyFill="0" applyAlignment="0" applyProtection="0"/>
    <xf numFmtId="0" fontId="148" fillId="0" borderId="18" applyNumberFormat="0" applyFill="0" applyAlignment="0" applyProtection="0"/>
    <xf numFmtId="0" fontId="10" fillId="0" borderId="0"/>
    <xf numFmtId="0" fontId="157" fillId="0" borderId="0"/>
    <xf numFmtId="0" fontId="9" fillId="0" borderId="0"/>
    <xf numFmtId="0" fontId="168" fillId="0" borderId="0"/>
    <xf numFmtId="0" fontId="8" fillId="0" borderId="0"/>
    <xf numFmtId="0" fontId="7" fillId="0" borderId="0"/>
    <xf numFmtId="0" fontId="6" fillId="0" borderId="0"/>
    <xf numFmtId="0" fontId="22" fillId="51"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136" fillId="0" borderId="0" applyNumberFormat="0" applyFill="0" applyBorder="0" applyAlignment="0" applyProtection="0">
      <alignment vertical="top"/>
      <protection locked="0"/>
    </xf>
    <xf numFmtId="41" fontId="12" fillId="0" borderId="0" applyFont="0" applyFill="0" applyBorder="0" applyAlignment="0" applyProtection="0"/>
    <xf numFmtId="43" fontId="12" fillId="0" borderId="0" applyFont="0" applyFill="0" applyBorder="0" applyAlignment="0" applyProtection="0"/>
    <xf numFmtId="0" fontId="4" fillId="0" borderId="0"/>
    <xf numFmtId="41"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81" fillId="0" borderId="48" applyNumberFormat="0" applyFill="0" applyAlignment="0" applyProtection="0"/>
    <xf numFmtId="0" fontId="182" fillId="0" borderId="49" applyNumberFormat="0" applyFill="0" applyAlignment="0" applyProtection="0"/>
    <xf numFmtId="0" fontId="183" fillId="0" borderId="50" applyNumberFormat="0" applyFill="0" applyAlignment="0" applyProtection="0"/>
    <xf numFmtId="0" fontId="184" fillId="60" borderId="0" applyNumberFormat="0" applyBorder="0" applyAlignment="0" applyProtection="0"/>
    <xf numFmtId="0" fontId="185" fillId="55" borderId="0" applyNumberFormat="0" applyBorder="0" applyAlignment="0" applyProtection="0"/>
    <xf numFmtId="0" fontId="192" fillId="56" borderId="0" applyNumberFormat="0" applyBorder="0" applyAlignment="0" applyProtection="0"/>
    <xf numFmtId="0" fontId="186" fillId="61" borderId="51" applyNumberFormat="0" applyAlignment="0" applyProtection="0"/>
    <xf numFmtId="0" fontId="187" fillId="62" borderId="47" applyNumberFormat="0" applyAlignment="0" applyProtection="0"/>
    <xf numFmtId="0" fontId="188" fillId="62" borderId="51" applyNumberFormat="0" applyAlignment="0" applyProtection="0"/>
    <xf numFmtId="0" fontId="189" fillId="0" borderId="46" applyNumberFormat="0" applyFill="0" applyAlignment="0" applyProtection="0"/>
    <xf numFmtId="0" fontId="190" fillId="63" borderId="45" applyNumberFormat="0" applyAlignment="0" applyProtection="0"/>
    <xf numFmtId="0" fontId="179" fillId="0" borderId="0" applyNumberFormat="0" applyFill="0" applyBorder="0" applyAlignment="0" applyProtection="0"/>
    <xf numFmtId="0" fontId="191" fillId="0" borderId="0" applyNumberFormat="0" applyFill="0" applyBorder="0" applyAlignment="0" applyProtection="0"/>
    <xf numFmtId="0" fontId="177" fillId="0" borderId="53" applyNumberFormat="0" applyFill="0" applyAlignment="0" applyProtection="0"/>
    <xf numFmtId="0" fontId="175" fillId="64" borderId="0" applyNumberFormat="0" applyBorder="0" applyAlignment="0" applyProtection="0"/>
    <xf numFmtId="0" fontId="4" fillId="65" borderId="0" applyNumberFormat="0" applyBorder="0" applyAlignment="0" applyProtection="0"/>
    <xf numFmtId="0" fontId="178" fillId="0" borderId="0" applyNumberFormat="0" applyFill="0" applyBorder="0" applyAlignment="0" applyProtection="0"/>
    <xf numFmtId="0" fontId="175"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175" fillId="70" borderId="0" applyNumberFormat="0" applyBorder="0" applyAlignment="0" applyProtection="0"/>
    <xf numFmtId="0" fontId="175"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171" fontId="4" fillId="0" borderId="0" applyFont="0" applyFill="0" applyBorder="0" applyAlignment="0" applyProtection="0"/>
    <xf numFmtId="0" fontId="175" fillId="74" borderId="0" applyNumberFormat="0" applyBorder="0" applyAlignment="0" applyProtection="0"/>
    <xf numFmtId="0" fontId="175"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4" fillId="0" borderId="0"/>
    <xf numFmtId="0" fontId="175" fillId="82" borderId="0" applyNumberFormat="0" applyBorder="0" applyAlignment="0" applyProtection="0"/>
    <xf numFmtId="0" fontId="4" fillId="8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5" borderId="0" applyNumberFormat="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0" fontId="4" fillId="54" borderId="0" applyNumberFormat="0" applyBorder="0" applyAlignment="0" applyProtection="0"/>
    <xf numFmtId="0" fontId="175" fillId="66" borderId="0" applyNumberFormat="0" applyBorder="0" applyAlignment="0" applyProtection="0"/>
    <xf numFmtId="0" fontId="175" fillId="78" borderId="0" applyNumberFormat="0" applyBorder="0" applyAlignment="0" applyProtection="0"/>
    <xf numFmtId="165" fontId="4" fillId="0" borderId="0" applyFont="0" applyFill="0" applyBorder="0" applyAlignment="0" applyProtection="0"/>
    <xf numFmtId="0" fontId="175" fillId="83" borderId="0" applyNumberFormat="0" applyBorder="0" applyAlignment="0" applyProtection="0"/>
    <xf numFmtId="0" fontId="180" fillId="0" borderId="0"/>
    <xf numFmtId="0" fontId="175" fillId="86"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0" fontId="183" fillId="0" borderId="0" applyNumberFormat="0" applyFill="0" applyBorder="0" applyAlignment="0" applyProtection="0"/>
    <xf numFmtId="0" fontId="4" fillId="57" borderId="52" applyNumberFormat="0" applyFont="0" applyAlignment="0" applyProtection="0"/>
    <xf numFmtId="165" fontId="4" fillId="0" borderId="0" applyFont="0" applyFill="0" applyBorder="0" applyAlignment="0" applyProtection="0"/>
    <xf numFmtId="0" fontId="175" fillId="79" borderId="0" applyNumberFormat="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93" fillId="0" borderId="0" applyNumberFormat="0" applyFill="0" applyBorder="0" applyAlignment="0" applyProtection="0"/>
    <xf numFmtId="9" fontId="4" fillId="0" borderId="0" applyFont="0" applyFill="0" applyBorder="0" applyAlignment="0" applyProtection="0"/>
    <xf numFmtId="0" fontId="180" fillId="0" borderId="0"/>
    <xf numFmtId="0" fontId="12" fillId="0" borderId="0"/>
    <xf numFmtId="0" fontId="12" fillId="0" borderId="0"/>
    <xf numFmtId="0" fontId="3" fillId="0" borderId="0"/>
    <xf numFmtId="41" fontId="3" fillId="0" borderId="0" applyFont="0" applyFill="0" applyBorder="0" applyAlignment="0" applyProtection="0"/>
    <xf numFmtId="0" fontId="2" fillId="0" borderId="0"/>
    <xf numFmtId="4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97" fillId="0" borderId="0"/>
    <xf numFmtId="41" fontId="1" fillId="0" borderId="0" applyFont="0" applyFill="0" applyBorder="0" applyAlignment="0" applyProtection="0"/>
    <xf numFmtId="0" fontId="1" fillId="0" borderId="0"/>
    <xf numFmtId="42" fontId="37" fillId="0" borderId="0" applyFont="0" applyFill="0" applyBorder="0" applyAlignment="0" applyProtection="0"/>
  </cellStyleXfs>
  <cellXfs count="1011">
    <xf numFmtId="0" fontId="0" fillId="0" borderId="0" xfId="0"/>
    <xf numFmtId="0" fontId="34" fillId="0" borderId="0" xfId="0" applyFont="1"/>
    <xf numFmtId="0" fontId="35" fillId="0" borderId="0" xfId="0" applyFont="1"/>
    <xf numFmtId="3" fontId="35" fillId="0" borderId="0" xfId="0" applyNumberFormat="1" applyFont="1"/>
    <xf numFmtId="0" fontId="34" fillId="0" borderId="0" xfId="0" applyFont="1" applyAlignment="1">
      <alignment horizontal="center"/>
    </xf>
    <xf numFmtId="173" fontId="34" fillId="0" borderId="0" xfId="0" applyNumberFormat="1" applyFont="1"/>
    <xf numFmtId="0" fontId="34" fillId="0" borderId="0" xfId="0" applyFont="1" applyAlignment="1">
      <alignment horizontal="left"/>
    </xf>
    <xf numFmtId="2" fontId="32" fillId="0" borderId="0" xfId="0" applyNumberFormat="1" applyFont="1"/>
    <xf numFmtId="0" fontId="24" fillId="0" borderId="0" xfId="0" applyFont="1" applyAlignment="1">
      <alignment vertical="center"/>
    </xf>
    <xf numFmtId="4" fontId="34" fillId="0" borderId="0" xfId="0" applyNumberFormat="1" applyFont="1"/>
    <xf numFmtId="37" fontId="34" fillId="0" borderId="0" xfId="0" applyNumberFormat="1" applyFont="1"/>
    <xf numFmtId="9" fontId="37" fillId="0" borderId="0" xfId="1900"/>
    <xf numFmtId="3" fontId="34" fillId="0" borderId="0" xfId="0" applyNumberFormat="1" applyFont="1"/>
    <xf numFmtId="9" fontId="32" fillId="0" borderId="0" xfId="1900" applyFont="1"/>
    <xf numFmtId="0" fontId="24" fillId="0" borderId="0" xfId="0" applyFont="1"/>
    <xf numFmtId="0" fontId="39" fillId="0" borderId="0" xfId="0" applyFont="1"/>
    <xf numFmtId="0" fontId="40" fillId="0" borderId="0" xfId="0" applyFont="1"/>
    <xf numFmtId="0" fontId="39" fillId="0" borderId="0" xfId="0" applyFont="1" applyAlignment="1">
      <alignment horizontal="center"/>
    </xf>
    <xf numFmtId="0" fontId="33" fillId="0" borderId="0" xfId="0" applyFont="1"/>
    <xf numFmtId="0" fontId="39" fillId="0" borderId="0" xfId="0" applyFont="1" applyAlignment="1">
      <alignment vertical="center"/>
    </xf>
    <xf numFmtId="0" fontId="91" fillId="0" borderId="0" xfId="0" applyFont="1"/>
    <xf numFmtId="0" fontId="92" fillId="0" borderId="0" xfId="0" applyFont="1"/>
    <xf numFmtId="0" fontId="12" fillId="0" borderId="0" xfId="0" applyFont="1"/>
    <xf numFmtId="3" fontId="39" fillId="0" borderId="0" xfId="0" applyNumberFormat="1" applyFont="1"/>
    <xf numFmtId="0" fontId="12" fillId="0" borderId="19" xfId="0" applyFont="1" applyBorder="1" applyAlignment="1">
      <alignment horizontal="left"/>
    </xf>
    <xf numFmtId="3" fontId="36" fillId="0" borderId="0" xfId="0" applyNumberFormat="1" applyFont="1"/>
    <xf numFmtId="4" fontId="12" fillId="0" borderId="0" xfId="0" applyNumberFormat="1" applyFont="1"/>
    <xf numFmtId="175" fontId="36" fillId="0" borderId="0" xfId="1900" applyNumberFormat="1" applyFont="1" applyAlignment="1">
      <alignment vertical="center"/>
    </xf>
    <xf numFmtId="0" fontId="12" fillId="0" borderId="0" xfId="0" quotePrefix="1" applyFont="1" applyAlignment="1">
      <alignment vertical="center"/>
    </xf>
    <xf numFmtId="0" fontId="34" fillId="0" borderId="0" xfId="0" applyFont="1" applyAlignment="1">
      <alignment vertical="center" wrapText="1"/>
    </xf>
    <xf numFmtId="183" fontId="34" fillId="0" borderId="0" xfId="0" applyNumberFormat="1" applyFont="1"/>
    <xf numFmtId="0" fontId="39" fillId="0" borderId="0" xfId="0" applyFont="1" applyAlignment="1">
      <alignment horizontal="center" vertical="center"/>
    </xf>
    <xf numFmtId="0" fontId="12" fillId="0" borderId="19" xfId="0" applyFont="1" applyBorder="1" applyAlignment="1">
      <alignment horizontal="center" wrapText="1"/>
    </xf>
    <xf numFmtId="0" fontId="12" fillId="0" borderId="19" xfId="1882" quotePrefix="1" applyFont="1" applyBorder="1" applyAlignment="1">
      <alignment vertical="center"/>
    </xf>
    <xf numFmtId="0" fontId="12" fillId="0" borderId="0" xfId="1882" applyFont="1" applyAlignment="1">
      <alignment vertical="center"/>
    </xf>
    <xf numFmtId="0" fontId="12" fillId="0" borderId="0" xfId="0" applyFont="1" applyAlignment="1">
      <alignment vertical="center" wrapText="1"/>
    </xf>
    <xf numFmtId="178" fontId="32" fillId="0" borderId="0" xfId="1152" applyFont="1" applyBorder="1"/>
    <xf numFmtId="0" fontId="47" fillId="0" borderId="0" xfId="0" applyFont="1"/>
    <xf numFmtId="3" fontId="32" fillId="0" borderId="0" xfId="0" applyNumberFormat="1" applyFont="1"/>
    <xf numFmtId="0" fontId="12" fillId="0" borderId="0" xfId="0" applyFont="1" applyAlignment="1">
      <alignment vertical="center"/>
    </xf>
    <xf numFmtId="9" fontId="12" fillId="0" borderId="19" xfId="0" applyNumberFormat="1" applyFont="1" applyBorder="1" applyAlignment="1">
      <alignment horizontal="center" wrapText="1"/>
    </xf>
    <xf numFmtId="190" fontId="12" fillId="0" borderId="0" xfId="0" applyNumberFormat="1" applyFont="1" applyAlignment="1">
      <alignment wrapText="1"/>
    </xf>
    <xf numFmtId="0" fontId="93" fillId="0" borderId="0" xfId="1224" applyFont="1" applyAlignment="1">
      <alignment vertical="center"/>
    </xf>
    <xf numFmtId="0" fontId="94" fillId="0" borderId="0" xfId="0" applyFont="1" applyAlignment="1">
      <alignment vertical="center"/>
    </xf>
    <xf numFmtId="0" fontId="12" fillId="0" borderId="21" xfId="0" applyFont="1" applyBorder="1" applyAlignment="1">
      <alignment horizontal="center" vertical="center"/>
    </xf>
    <xf numFmtId="189" fontId="12" fillId="0" borderId="19" xfId="1152" applyNumberFormat="1" applyFont="1" applyFill="1" applyBorder="1" applyAlignment="1">
      <alignment horizontal="center" vertical="center"/>
    </xf>
    <xf numFmtId="3" fontId="12" fillId="0" borderId="19" xfId="0" applyNumberFormat="1" applyFont="1" applyBorder="1" applyAlignment="1">
      <alignment horizontal="center"/>
    </xf>
    <xf numFmtId="0" fontId="12" fillId="0" borderId="19" xfId="0" applyFont="1" applyBorder="1"/>
    <xf numFmtId="0" fontId="12" fillId="0" borderId="22" xfId="0" applyFont="1" applyBorder="1" applyAlignment="1">
      <alignment wrapText="1"/>
    </xf>
    <xf numFmtId="0" fontId="34" fillId="0" borderId="0" xfId="0" applyFont="1" applyAlignment="1">
      <alignment vertical="center"/>
    </xf>
    <xf numFmtId="2" fontId="34" fillId="0" borderId="0" xfId="0" applyNumberFormat="1" applyFont="1" applyAlignment="1">
      <alignment vertical="center"/>
    </xf>
    <xf numFmtId="0" fontId="12" fillId="0" borderId="19" xfId="0" applyFont="1" applyBorder="1" applyAlignment="1">
      <alignment horizontal="center" vertical="center"/>
    </xf>
    <xf numFmtId="0" fontId="12" fillId="0" borderId="19" xfId="0" applyFont="1" applyBorder="1" applyAlignment="1">
      <alignment horizontal="center"/>
    </xf>
    <xf numFmtId="0" fontId="12" fillId="0" borderId="19" xfId="0" applyFont="1" applyBorder="1" applyAlignment="1">
      <alignment horizontal="left" vertical="center"/>
    </xf>
    <xf numFmtId="173" fontId="36" fillId="0" borderId="0" xfId="1900" applyNumberFormat="1" applyFont="1" applyAlignment="1">
      <alignment vertical="center"/>
    </xf>
    <xf numFmtId="173" fontId="12" fillId="0" borderId="0" xfId="1882" applyNumberFormat="1" applyFont="1" applyAlignment="1">
      <alignment vertical="center"/>
    </xf>
    <xf numFmtId="173" fontId="47" fillId="0" borderId="0" xfId="1900" applyNumberFormat="1" applyFont="1" applyBorder="1"/>
    <xf numFmtId="0" fontId="12" fillId="0" borderId="19" xfId="0" applyFont="1" applyBorder="1" applyAlignment="1">
      <alignment horizontal="left" wrapText="1"/>
    </xf>
    <xf numFmtId="2" fontId="36" fillId="0" borderId="0" xfId="1900" applyNumberFormat="1" applyFont="1" applyAlignment="1">
      <alignment vertical="center"/>
    </xf>
    <xf numFmtId="0" fontId="35" fillId="0" borderId="0" xfId="0" applyFont="1" applyAlignment="1">
      <alignment wrapText="1"/>
    </xf>
    <xf numFmtId="0" fontId="95" fillId="0" borderId="0" xfId="0" applyFont="1"/>
    <xf numFmtId="0" fontId="96" fillId="0" borderId="0" xfId="0" applyFont="1" applyAlignment="1">
      <alignment wrapText="1"/>
    </xf>
    <xf numFmtId="0" fontId="97" fillId="0" borderId="0" xfId="0" applyFont="1"/>
    <xf numFmtId="0" fontId="98" fillId="0" borderId="0" xfId="0" applyFont="1"/>
    <xf numFmtId="37" fontId="12" fillId="0" borderId="19" xfId="0" applyNumberFormat="1" applyFont="1" applyBorder="1" applyAlignment="1">
      <alignment horizontal="center" vertical="center"/>
    </xf>
    <xf numFmtId="175" fontId="36" fillId="0" borderId="19" xfId="1900" applyNumberFormat="1" applyFont="1" applyBorder="1" applyAlignment="1" applyProtection="1">
      <alignment horizontal="center" vertical="center"/>
    </xf>
    <xf numFmtId="184" fontId="12" fillId="0" borderId="19" xfId="0" applyNumberFormat="1" applyFont="1" applyBorder="1" applyAlignment="1">
      <alignment horizontal="center" vertical="center"/>
    </xf>
    <xf numFmtId="3" fontId="12" fillId="0" borderId="19" xfId="0" applyNumberFormat="1" applyFont="1" applyBorder="1" applyAlignment="1">
      <alignment horizontal="center" vertical="center"/>
    </xf>
    <xf numFmtId="180" fontId="37" fillId="0" borderId="0" xfId="1152" applyNumberFormat="1"/>
    <xf numFmtId="0" fontId="60" fillId="0" borderId="0" xfId="0" applyFont="1" applyAlignment="1">
      <alignment horizontal="justify" vertical="center" wrapText="1"/>
    </xf>
    <xf numFmtId="0" fontId="34" fillId="0" borderId="0" xfId="1882" applyFont="1"/>
    <xf numFmtId="175" fontId="12" fillId="0" borderId="0" xfId="0" applyNumberFormat="1" applyFont="1"/>
    <xf numFmtId="0" fontId="99" fillId="0" borderId="0" xfId="1136" applyFont="1" applyBorder="1" applyAlignment="1" applyProtection="1">
      <alignment horizontal="center" vertical="center"/>
    </xf>
    <xf numFmtId="4" fontId="97" fillId="0" borderId="0" xfId="0" applyNumberFormat="1" applyFont="1"/>
    <xf numFmtId="0" fontId="96" fillId="0" borderId="0" xfId="0" applyFont="1" applyAlignment="1">
      <alignment horizontal="center" wrapText="1"/>
    </xf>
    <xf numFmtId="0" fontId="65" fillId="0" borderId="0" xfId="1265" applyFont="1" applyAlignment="1" applyProtection="1">
      <alignment horizontal="right" wrapText="1" readingOrder="1"/>
      <protection locked="0"/>
    </xf>
    <xf numFmtId="192" fontId="66" fillId="0" borderId="0" xfId="0" applyNumberFormat="1" applyFont="1" applyAlignment="1">
      <alignment vertical="top" wrapText="1"/>
    </xf>
    <xf numFmtId="174" fontId="12" fillId="0" borderId="19" xfId="0" applyNumberFormat="1" applyFont="1" applyBorder="1" applyAlignment="1">
      <alignment horizontal="center" vertical="center"/>
    </xf>
    <xf numFmtId="195" fontId="69" fillId="53" borderId="0" xfId="1267" applyNumberFormat="1" applyFont="1" applyFill="1" applyAlignment="1" applyProtection="1">
      <alignment horizontal="right" vertical="top" wrapText="1" readingOrder="1"/>
      <protection locked="0"/>
    </xf>
    <xf numFmtId="0" fontId="68" fillId="0" borderId="0" xfId="1267" applyFont="1" applyAlignment="1" applyProtection="1">
      <alignment horizontal="center" vertical="top" wrapText="1" readingOrder="1"/>
      <protection locked="0"/>
    </xf>
    <xf numFmtId="194" fontId="69" fillId="53" borderId="0" xfId="1267" applyNumberFormat="1" applyFont="1" applyFill="1" applyAlignment="1" applyProtection="1">
      <alignment horizontal="right" vertical="top" wrapText="1" readingOrder="1"/>
      <protection locked="0"/>
    </xf>
    <xf numFmtId="9" fontId="32" fillId="0" borderId="0" xfId="1900" applyFont="1" applyFill="1" applyBorder="1" applyAlignment="1">
      <alignment vertical="center"/>
    </xf>
    <xf numFmtId="194" fontId="69" fillId="0" borderId="0" xfId="1267" applyNumberFormat="1" applyFont="1" applyAlignment="1" applyProtection="1">
      <alignment horizontal="right" vertical="top" wrapText="1" readingOrder="1"/>
      <protection locked="0"/>
    </xf>
    <xf numFmtId="194" fontId="68" fillId="0" borderId="0" xfId="1267" applyNumberFormat="1" applyFont="1" applyAlignment="1" applyProtection="1">
      <alignment horizontal="right" vertical="top" wrapText="1" readingOrder="1"/>
      <protection locked="0"/>
    </xf>
    <xf numFmtId="195" fontId="69" fillId="0" borderId="0" xfId="1267" applyNumberFormat="1" applyFont="1" applyAlignment="1" applyProtection="1">
      <alignment horizontal="right" vertical="top" wrapText="1" readingOrder="1"/>
      <protection locked="0"/>
    </xf>
    <xf numFmtId="0" fontId="69" fillId="0" borderId="0" xfId="1267" applyFont="1" applyAlignment="1" applyProtection="1">
      <alignment vertical="top" wrapText="1" readingOrder="1"/>
      <protection locked="0"/>
    </xf>
    <xf numFmtId="195" fontId="68" fillId="0" borderId="0" xfId="1267" applyNumberFormat="1" applyFont="1" applyAlignment="1" applyProtection="1">
      <alignment horizontal="right" vertical="top" wrapText="1" readingOrder="1"/>
      <protection locked="0"/>
    </xf>
    <xf numFmtId="3" fontId="39" fillId="0" borderId="0" xfId="0" applyNumberFormat="1" applyFont="1" applyAlignment="1">
      <alignment vertical="center"/>
    </xf>
    <xf numFmtId="173" fontId="39" fillId="0" borderId="0" xfId="0" applyNumberFormat="1" applyFont="1" applyAlignment="1">
      <alignment vertical="center"/>
    </xf>
    <xf numFmtId="9" fontId="36" fillId="0" borderId="0" xfId="1900" applyFont="1" applyFill="1" applyBorder="1" applyAlignment="1">
      <alignment vertical="center"/>
    </xf>
    <xf numFmtId="0" fontId="100" fillId="0" borderId="0" xfId="0" applyFont="1"/>
    <xf numFmtId="173" fontId="100" fillId="0" borderId="0" xfId="0" applyNumberFormat="1" applyFont="1"/>
    <xf numFmtId="176" fontId="0" fillId="0" borderId="0" xfId="0" applyNumberFormat="1"/>
    <xf numFmtId="9" fontId="91" fillId="0" borderId="0" xfId="0" applyNumberFormat="1" applyFont="1"/>
    <xf numFmtId="197" fontId="12" fillId="0" borderId="0" xfId="0" applyNumberFormat="1" applyFont="1"/>
    <xf numFmtId="3" fontId="12" fillId="0" borderId="0" xfId="0" applyNumberFormat="1" applyFont="1"/>
    <xf numFmtId="0" fontId="37" fillId="0" borderId="0" xfId="1152" applyNumberFormat="1"/>
    <xf numFmtId="0" fontId="0" fillId="0" borderId="0" xfId="0" applyAlignment="1">
      <alignment wrapText="1"/>
    </xf>
    <xf numFmtId="3" fontId="12" fillId="0" borderId="0" xfId="1165" applyNumberFormat="1" applyFont="1" applyFill="1" applyBorder="1" applyAlignment="1">
      <alignment horizontal="center" vertical="center"/>
    </xf>
    <xf numFmtId="176" fontId="12" fillId="0" borderId="0" xfId="1165" applyNumberFormat="1" applyFont="1" applyFill="1" applyBorder="1" applyAlignment="1">
      <alignment horizontal="center" vertical="center"/>
    </xf>
    <xf numFmtId="0" fontId="39" fillId="0" borderId="0" xfId="0" applyFont="1" applyAlignment="1">
      <alignment horizontal="center" vertical="center" wrapText="1"/>
    </xf>
    <xf numFmtId="17" fontId="104" fillId="0" borderId="0" xfId="1225" applyNumberFormat="1" applyFont="1" applyAlignment="1">
      <alignment horizontal="left" vertical="center"/>
    </xf>
    <xf numFmtId="0" fontId="39" fillId="0" borderId="0" xfId="1225" applyFont="1" applyAlignment="1">
      <alignment vertical="center"/>
    </xf>
    <xf numFmtId="0" fontId="39" fillId="0" borderId="19" xfId="0" applyFont="1" applyBorder="1" applyAlignment="1">
      <alignment horizontal="center" vertical="center" wrapText="1"/>
    </xf>
    <xf numFmtId="0" fontId="91" fillId="0" borderId="0" xfId="0" applyFont="1" applyAlignment="1">
      <alignment wrapText="1"/>
    </xf>
    <xf numFmtId="4" fontId="91" fillId="0" borderId="0" xfId="0" applyNumberFormat="1" applyFont="1"/>
    <xf numFmtId="0" fontId="65" fillId="0" borderId="0" xfId="1241" applyFont="1" applyAlignment="1" applyProtection="1">
      <alignment horizontal="right" vertical="top" wrapText="1" readingOrder="1"/>
      <protection locked="0"/>
    </xf>
    <xf numFmtId="0" fontId="65" fillId="0" borderId="0" xfId="1241" applyFont="1" applyAlignment="1" applyProtection="1">
      <alignment vertical="top" wrapText="1" readingOrder="1"/>
      <protection locked="0"/>
    </xf>
    <xf numFmtId="0" fontId="12" fillId="0" borderId="0" xfId="1241" applyAlignment="1">
      <alignment wrapText="1" readingOrder="1"/>
    </xf>
    <xf numFmtId="0" fontId="12" fillId="0" borderId="0" xfId="1241" applyAlignment="1">
      <alignment wrapText="1"/>
    </xf>
    <xf numFmtId="199" fontId="91" fillId="0" borderId="0" xfId="0" applyNumberFormat="1" applyFont="1"/>
    <xf numFmtId="0" fontId="12" fillId="0" borderId="0" xfId="1232" applyAlignment="1">
      <alignment wrapText="1"/>
    </xf>
    <xf numFmtId="0" fontId="65" fillId="0" borderId="0" xfId="1232" applyFont="1" applyAlignment="1" applyProtection="1">
      <alignment horizontal="right" vertical="top" wrapText="1" readingOrder="1"/>
      <protection locked="0"/>
    </xf>
    <xf numFmtId="4" fontId="91" fillId="0" borderId="0" xfId="0" applyNumberFormat="1" applyFont="1" applyAlignment="1">
      <alignment wrapText="1"/>
    </xf>
    <xf numFmtId="197" fontId="91" fillId="0" borderId="0" xfId="0" applyNumberFormat="1" applyFont="1"/>
    <xf numFmtId="173" fontId="92" fillId="0" borderId="0" xfId="0" applyNumberFormat="1" applyFont="1"/>
    <xf numFmtId="3" fontId="92" fillId="0" borderId="0" xfId="0" applyNumberFormat="1" applyFont="1"/>
    <xf numFmtId="0" fontId="39" fillId="53" borderId="19" xfId="0" applyFont="1" applyFill="1" applyBorder="1" applyAlignment="1">
      <alignment horizontal="center" vertical="center" wrapText="1"/>
    </xf>
    <xf numFmtId="0" fontId="34" fillId="0" borderId="0" xfId="0" applyFont="1" applyAlignment="1">
      <alignment horizontal="left" vertical="top" wrapText="1"/>
    </xf>
    <xf numFmtId="9" fontId="12" fillId="0" borderId="0" xfId="0" applyNumberFormat="1" applyFont="1"/>
    <xf numFmtId="4" fontId="34" fillId="0" borderId="0" xfId="0" applyNumberFormat="1" applyFont="1" applyAlignment="1">
      <alignment horizontal="center"/>
    </xf>
    <xf numFmtId="2" fontId="97" fillId="0" borderId="0" xfId="0" applyNumberFormat="1" applyFont="1"/>
    <xf numFmtId="3" fontId="97" fillId="0" borderId="0" xfId="0" applyNumberFormat="1" applyFont="1"/>
    <xf numFmtId="0" fontId="105" fillId="0" borderId="0" xfId="0" applyFont="1" applyAlignment="1">
      <alignment horizontal="center"/>
    </xf>
    <xf numFmtId="3" fontId="105" fillId="0" borderId="0" xfId="0" applyNumberFormat="1" applyFont="1"/>
    <xf numFmtId="173" fontId="105" fillId="0" borderId="0" xfId="0" applyNumberFormat="1" applyFont="1"/>
    <xf numFmtId="9" fontId="0" fillId="0" borderId="0" xfId="0" applyNumberFormat="1"/>
    <xf numFmtId="4" fontId="0" fillId="0" borderId="0" xfId="0" applyNumberFormat="1"/>
    <xf numFmtId="0" fontId="39" fillId="0" borderId="19" xfId="0" applyFont="1" applyBorder="1" applyAlignment="1">
      <alignment horizontal="center" vertical="center"/>
    </xf>
    <xf numFmtId="179" fontId="39" fillId="0" borderId="19" xfId="1153" applyNumberFormat="1" applyFont="1" applyBorder="1" applyAlignment="1">
      <alignment horizontal="center" vertical="center" wrapText="1"/>
    </xf>
    <xf numFmtId="200" fontId="37" fillId="0" borderId="0" xfId="1153" applyNumberFormat="1" applyAlignment="1">
      <alignment vertical="center"/>
    </xf>
    <xf numFmtId="3" fontId="12" fillId="0" borderId="0" xfId="1153" applyNumberFormat="1" applyFont="1" applyFill="1" applyBorder="1" applyAlignment="1">
      <alignment vertical="center"/>
    </xf>
    <xf numFmtId="3" fontId="12" fillId="0" borderId="0" xfId="0" applyNumberFormat="1" applyFont="1" applyAlignment="1">
      <alignment vertical="center"/>
    </xf>
    <xf numFmtId="3" fontId="12" fillId="0" borderId="19" xfId="1153" applyNumberFormat="1" applyFont="1" applyFill="1" applyBorder="1" applyAlignment="1">
      <alignment horizontal="center" vertical="center"/>
    </xf>
    <xf numFmtId="175" fontId="106" fillId="0" borderId="0" xfId="1900" applyNumberFormat="1" applyFont="1" applyAlignment="1">
      <alignment vertical="center"/>
    </xf>
    <xf numFmtId="3" fontId="91" fillId="0" borderId="0" xfId="1153" applyNumberFormat="1" applyFont="1" applyFill="1" applyBorder="1" applyAlignment="1">
      <alignment vertical="center"/>
    </xf>
    <xf numFmtId="0" fontId="12" fillId="0" borderId="19" xfId="0" applyFont="1" applyBorder="1" applyAlignment="1">
      <alignment vertical="center"/>
    </xf>
    <xf numFmtId="176" fontId="91" fillId="0" borderId="0" xfId="0" applyNumberFormat="1" applyFont="1" applyAlignment="1">
      <alignment vertical="center"/>
    </xf>
    <xf numFmtId="0" fontId="91" fillId="0" borderId="0" xfId="0" applyFont="1" applyAlignment="1">
      <alignment vertical="center"/>
    </xf>
    <xf numFmtId="0" fontId="95" fillId="0" borderId="0" xfId="0" applyFont="1" applyAlignment="1">
      <alignment vertical="center"/>
    </xf>
    <xf numFmtId="0" fontId="98" fillId="0" borderId="0" xfId="0" applyFont="1" applyAlignment="1">
      <alignment vertical="center"/>
    </xf>
    <xf numFmtId="176" fontId="12" fillId="0" borderId="0" xfId="0" applyNumberFormat="1" applyFont="1" applyAlignment="1">
      <alignment vertical="center"/>
    </xf>
    <xf numFmtId="173" fontId="12" fillId="0" borderId="0" xfId="0" applyNumberFormat="1" applyFont="1" applyAlignment="1">
      <alignment vertical="center"/>
    </xf>
    <xf numFmtId="3" fontId="98" fillId="0" borderId="0" xfId="1153" applyNumberFormat="1" applyFont="1" applyFill="1" applyBorder="1" applyAlignment="1">
      <alignment vertical="center"/>
    </xf>
    <xf numFmtId="3" fontId="98" fillId="0" borderId="0" xfId="0" applyNumberFormat="1" applyFont="1" applyAlignment="1">
      <alignment vertical="center"/>
    </xf>
    <xf numFmtId="0" fontId="98" fillId="0" borderId="0" xfId="0" quotePrefix="1" applyFont="1" applyAlignment="1">
      <alignment vertical="center"/>
    </xf>
    <xf numFmtId="0" fontId="107" fillId="0" borderId="0" xfId="0" applyFont="1"/>
    <xf numFmtId="3" fontId="12" fillId="0" borderId="19" xfId="0" applyNumberFormat="1" applyFont="1" applyBorder="1" applyAlignment="1">
      <alignment horizontal="center" vertical="center" wrapText="1"/>
    </xf>
    <xf numFmtId="0" fontId="34" fillId="0" borderId="23" xfId="0" applyFont="1" applyBorder="1" applyAlignment="1">
      <alignment wrapText="1"/>
    </xf>
    <xf numFmtId="189" fontId="12" fillId="0" borderId="19" xfId="1152" applyNumberFormat="1" applyFont="1" applyFill="1" applyBorder="1" applyAlignment="1">
      <alignment horizontal="left" vertical="center"/>
    </xf>
    <xf numFmtId="0" fontId="108" fillId="0" borderId="0" xfId="0" applyFont="1" applyAlignment="1">
      <alignment horizontal="left" wrapText="1"/>
    </xf>
    <xf numFmtId="4" fontId="107" fillId="0" borderId="0" xfId="0" applyNumberFormat="1" applyFont="1"/>
    <xf numFmtId="175" fontId="36" fillId="0" borderId="19" xfId="1900" applyNumberFormat="1" applyFont="1" applyFill="1" applyBorder="1" applyAlignment="1" applyProtection="1">
      <alignment horizontal="center" vertical="center"/>
    </xf>
    <xf numFmtId="185" fontId="91" fillId="0" borderId="0" xfId="0" applyNumberFormat="1" applyFont="1"/>
    <xf numFmtId="175" fontId="36" fillId="53" borderId="19" xfId="1900" applyNumberFormat="1" applyFont="1" applyFill="1" applyBorder="1" applyAlignment="1" applyProtection="1">
      <alignment horizontal="center" vertical="center"/>
    </xf>
    <xf numFmtId="0" fontId="92" fillId="0" borderId="0" xfId="0" applyFont="1" applyAlignment="1">
      <alignment horizontal="right"/>
    </xf>
    <xf numFmtId="201" fontId="36" fillId="0" borderId="0" xfId="0" applyNumberFormat="1" applyFont="1"/>
    <xf numFmtId="9" fontId="36" fillId="0" borderId="0" xfId="1900" applyFont="1"/>
    <xf numFmtId="0" fontId="34" fillId="0" borderId="0" xfId="0" applyFont="1" applyAlignment="1">
      <alignment vertical="top" wrapText="1"/>
    </xf>
    <xf numFmtId="0" fontId="39" fillId="53" borderId="19" xfId="0" applyFont="1" applyFill="1" applyBorder="1" applyAlignment="1">
      <alignment horizontal="center" vertical="center"/>
    </xf>
    <xf numFmtId="3" fontId="12" fillId="53" borderId="19" xfId="0" applyNumberFormat="1" applyFont="1" applyFill="1" applyBorder="1" applyAlignment="1">
      <alignment horizontal="center" vertical="center"/>
    </xf>
    <xf numFmtId="172" fontId="39" fillId="0" borderId="0" xfId="0" applyNumberFormat="1" applyFont="1" applyAlignment="1">
      <alignment horizontal="center" vertical="center"/>
    </xf>
    <xf numFmtId="3" fontId="12" fillId="0" borderId="0" xfId="0" applyNumberFormat="1" applyFont="1" applyAlignment="1">
      <alignment horizontal="center" vertical="center"/>
    </xf>
    <xf numFmtId="0" fontId="34" fillId="0" borderId="0" xfId="0" applyFont="1" applyAlignment="1">
      <alignment horizontal="left" vertical="center" wrapText="1"/>
    </xf>
    <xf numFmtId="202" fontId="34" fillId="0" borderId="0" xfId="0" applyNumberFormat="1" applyFont="1" applyAlignment="1">
      <alignment horizontal="center"/>
    </xf>
    <xf numFmtId="2" fontId="34" fillId="0" borderId="0" xfId="0" applyNumberFormat="1" applyFont="1" applyAlignment="1">
      <alignment horizontal="center"/>
    </xf>
    <xf numFmtId="2" fontId="34" fillId="0" borderId="0" xfId="0" applyNumberFormat="1" applyFont="1"/>
    <xf numFmtId="177" fontId="34" fillId="0" borderId="0" xfId="0" applyNumberFormat="1" applyFont="1"/>
    <xf numFmtId="175" fontId="32" fillId="0" borderId="0" xfId="1900" applyNumberFormat="1" applyFont="1"/>
    <xf numFmtId="17" fontId="102" fillId="0" borderId="24" xfId="0" applyNumberFormat="1" applyFont="1" applyBorder="1" applyAlignment="1">
      <alignment horizontal="center" vertical="center" wrapText="1"/>
    </xf>
    <xf numFmtId="0" fontId="102" fillId="0" borderId="25" xfId="0" applyFont="1" applyBorder="1" applyAlignment="1">
      <alignment horizontal="right" vertical="center" wrapText="1"/>
    </xf>
    <xf numFmtId="0" fontId="101" fillId="53" borderId="26" xfId="0" applyFont="1" applyFill="1" applyBorder="1" applyAlignment="1">
      <alignment horizontal="right" vertical="center" wrapText="1"/>
    </xf>
    <xf numFmtId="17" fontId="102" fillId="0" borderId="27" xfId="0" applyNumberFormat="1" applyFont="1" applyBorder="1" applyAlignment="1">
      <alignment horizontal="center" vertical="center" wrapText="1"/>
    </xf>
    <xf numFmtId="0" fontId="102" fillId="0" borderId="28" xfId="0" applyFont="1" applyBorder="1" applyAlignment="1">
      <alignment horizontal="right" vertical="center" wrapText="1"/>
    </xf>
    <xf numFmtId="0" fontId="39" fillId="0" borderId="19" xfId="0" applyFont="1" applyBorder="1" applyAlignment="1">
      <alignment horizontal="center" wrapText="1"/>
    </xf>
    <xf numFmtId="0" fontId="12" fillId="0" borderId="0" xfId="1238"/>
    <xf numFmtId="0" fontId="65" fillId="0" borderId="29" xfId="1238" applyFont="1" applyBorder="1" applyAlignment="1" applyProtection="1">
      <alignment horizontal="right" vertical="top" wrapText="1" readingOrder="1"/>
      <protection locked="0"/>
    </xf>
    <xf numFmtId="0" fontId="78" fillId="0" borderId="0" xfId="1238" applyFont="1" applyAlignment="1" applyProtection="1">
      <alignment horizontal="left" wrapText="1" readingOrder="1"/>
      <protection locked="0"/>
    </xf>
    <xf numFmtId="0" fontId="78" fillId="0" borderId="30" xfId="1238" applyFont="1" applyBorder="1" applyAlignment="1" applyProtection="1">
      <alignment horizontal="left" wrapText="1" readingOrder="1"/>
      <protection locked="0"/>
    </xf>
    <xf numFmtId="0" fontId="79" fillId="0" borderId="0" xfId="1238" applyFont="1" applyAlignment="1" applyProtection="1">
      <alignment horizontal="center" wrapText="1" readingOrder="2"/>
      <protection locked="0"/>
    </xf>
    <xf numFmtId="0" fontId="65" fillId="0" borderId="0" xfId="0" applyFont="1" applyAlignment="1" applyProtection="1">
      <alignment horizontal="right" vertical="top" wrapText="1" readingOrder="1"/>
      <protection locked="0"/>
    </xf>
    <xf numFmtId="0" fontId="65" fillId="0" borderId="0" xfId="0" applyFont="1" applyAlignment="1" applyProtection="1">
      <alignment vertical="top" wrapText="1" readingOrder="1"/>
      <protection locked="0"/>
    </xf>
    <xf numFmtId="0" fontId="65" fillId="0" borderId="30" xfId="1238" applyFont="1" applyBorder="1" applyAlignment="1" applyProtection="1">
      <alignment vertical="top" wrapText="1" readingOrder="1"/>
      <protection locked="0"/>
    </xf>
    <xf numFmtId="0" fontId="65" fillId="0" borderId="0" xfId="1238" applyFont="1" applyAlignment="1" applyProtection="1">
      <alignment horizontal="right" vertical="top" wrapText="1" readingOrder="1"/>
      <protection locked="0"/>
    </xf>
    <xf numFmtId="0" fontId="65" fillId="0" borderId="0" xfId="1263" applyFont="1" applyAlignment="1" applyProtection="1">
      <alignment horizontal="right" vertical="top" wrapText="1" readingOrder="1"/>
      <protection locked="0"/>
    </xf>
    <xf numFmtId="0" fontId="65" fillId="0" borderId="0" xfId="1263" applyFont="1" applyAlignment="1" applyProtection="1">
      <alignment vertical="top" wrapText="1" readingOrder="1"/>
      <protection locked="0"/>
    </xf>
    <xf numFmtId="0" fontId="12" fillId="0" borderId="0" xfId="1263" applyAlignment="1">
      <alignment wrapText="1"/>
    </xf>
    <xf numFmtId="0" fontId="12" fillId="53" borderId="0" xfId="0" applyFont="1" applyFill="1"/>
    <xf numFmtId="0" fontId="12" fillId="0" borderId="0" xfId="1238" applyAlignment="1">
      <alignment wrapText="1"/>
    </xf>
    <xf numFmtId="4" fontId="92" fillId="0" borderId="0" xfId="0" applyNumberFormat="1" applyFont="1"/>
    <xf numFmtId="0" fontId="65" fillId="0" borderId="0" xfId="1238" applyFont="1" applyAlignment="1" applyProtection="1">
      <alignment horizontal="left" vertical="top" wrapText="1" readingOrder="1"/>
      <protection locked="0"/>
    </xf>
    <xf numFmtId="0" fontId="79" fillId="0" borderId="31" xfId="1238" applyFont="1" applyBorder="1" applyAlignment="1" applyProtection="1">
      <alignment vertical="top" wrapText="1" readingOrder="1"/>
      <protection locked="0"/>
    </xf>
    <xf numFmtId="0" fontId="79" fillId="0" borderId="32" xfId="1238" applyFont="1" applyBorder="1" applyAlignment="1" applyProtection="1">
      <alignment vertical="top" wrapText="1" readingOrder="1"/>
      <protection locked="0"/>
    </xf>
    <xf numFmtId="0" fontId="79" fillId="0" borderId="31" xfId="1238" applyFont="1" applyBorder="1" applyAlignment="1" applyProtection="1">
      <alignment horizontal="right" vertical="top" wrapText="1" readingOrder="1"/>
      <protection locked="0"/>
    </xf>
    <xf numFmtId="1" fontId="39" fillId="0" borderId="0" xfId="0" applyNumberFormat="1" applyFont="1"/>
    <xf numFmtId="9" fontId="39" fillId="0" borderId="0" xfId="0" applyNumberFormat="1" applyFont="1"/>
    <xf numFmtId="0" fontId="33" fillId="0" borderId="0" xfId="0" applyFont="1" applyAlignment="1">
      <alignment horizontal="center"/>
    </xf>
    <xf numFmtId="3" fontId="33" fillId="0" borderId="0" xfId="0" applyNumberFormat="1" applyFont="1"/>
    <xf numFmtId="173" fontId="33" fillId="0" borderId="0" xfId="0" applyNumberFormat="1" applyFont="1"/>
    <xf numFmtId="9" fontId="39" fillId="0" borderId="0" xfId="0" applyNumberFormat="1" applyFont="1" applyAlignment="1">
      <alignment vertical="center"/>
    </xf>
    <xf numFmtId="166" fontId="39" fillId="0" borderId="0" xfId="0" applyNumberFormat="1" applyFont="1" applyAlignment="1">
      <alignment vertical="center"/>
    </xf>
    <xf numFmtId="194" fontId="69" fillId="0" borderId="0" xfId="1241" applyNumberFormat="1" applyFont="1" applyAlignment="1" applyProtection="1">
      <alignment horizontal="right" vertical="top" wrapText="1" readingOrder="1"/>
      <protection locked="0"/>
    </xf>
    <xf numFmtId="195" fontId="69" fillId="0" borderId="0" xfId="1278" applyNumberFormat="1" applyFont="1" applyAlignment="1" applyProtection="1">
      <alignment horizontal="right" vertical="top" wrapText="1" readingOrder="1"/>
      <protection locked="0"/>
    </xf>
    <xf numFmtId="195" fontId="69" fillId="0" borderId="0" xfId="1241" applyNumberFormat="1" applyFont="1" applyAlignment="1" applyProtection="1">
      <alignment horizontal="right" vertical="top" wrapText="1" readingOrder="1"/>
      <protection locked="0"/>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37" fontId="12" fillId="0" borderId="19" xfId="0" applyNumberFormat="1" applyFont="1" applyBorder="1" applyAlignment="1">
      <alignment horizontal="center"/>
    </xf>
    <xf numFmtId="200" fontId="12" fillId="0" borderId="19" xfId="0" applyNumberFormat="1" applyFont="1" applyBorder="1" applyAlignment="1">
      <alignment horizontal="center"/>
    </xf>
    <xf numFmtId="37" fontId="12" fillId="0" borderId="0" xfId="0" applyNumberFormat="1" applyFont="1"/>
    <xf numFmtId="173" fontId="36" fillId="0" borderId="19" xfId="1900" applyNumberFormat="1" applyFont="1" applyBorder="1" applyAlignment="1" applyProtection="1">
      <alignment horizontal="center"/>
    </xf>
    <xf numFmtId="0" fontId="34" fillId="0" borderId="0" xfId="0" applyFont="1" applyAlignment="1">
      <alignment horizontal="right"/>
    </xf>
    <xf numFmtId="175" fontId="36" fillId="0" borderId="0" xfId="1900" applyNumberFormat="1" applyFont="1"/>
    <xf numFmtId="0" fontId="39" fillId="0" borderId="19" xfId="0" applyFont="1" applyBorder="1" applyAlignment="1">
      <alignment horizontal="center"/>
    </xf>
    <xf numFmtId="0" fontId="109" fillId="0" borderId="0" xfId="1152" applyNumberFormat="1" applyFont="1"/>
    <xf numFmtId="1" fontId="47" fillId="0" borderId="0" xfId="1900" applyNumberFormat="1" applyFont="1"/>
    <xf numFmtId="0" fontId="39" fillId="0" borderId="19" xfId="0" applyFont="1" applyBorder="1" applyAlignment="1">
      <alignment horizontal="left"/>
    </xf>
    <xf numFmtId="180" fontId="12" fillId="0" borderId="0" xfId="0" applyNumberFormat="1" applyFont="1"/>
    <xf numFmtId="178" fontId="12" fillId="0" borderId="0" xfId="0" applyNumberFormat="1" applyFont="1"/>
    <xf numFmtId="165" fontId="12" fillId="0" borderId="0" xfId="0" applyNumberFormat="1" applyFont="1"/>
    <xf numFmtId="171" fontId="12" fillId="0" borderId="0" xfId="0" applyNumberFormat="1" applyFont="1"/>
    <xf numFmtId="0" fontId="88" fillId="0" borderId="0" xfId="1136" applyFont="1"/>
    <xf numFmtId="9" fontId="12" fillId="0" borderId="19" xfId="0" applyNumberFormat="1" applyFont="1" applyBorder="1" applyAlignment="1">
      <alignment horizontal="center" vertical="center"/>
    </xf>
    <xf numFmtId="4" fontId="98" fillId="0" borderId="0" xfId="0" applyNumberFormat="1" applyFont="1"/>
    <xf numFmtId="175" fontId="47" fillId="0" borderId="0" xfId="1900" applyNumberFormat="1" applyFont="1"/>
    <xf numFmtId="180" fontId="36" fillId="0" borderId="0" xfId="1152" applyNumberFormat="1" applyFont="1" applyFill="1" applyBorder="1" applyAlignment="1">
      <alignment horizontal="center" vertical="center"/>
    </xf>
    <xf numFmtId="0" fontId="109" fillId="0" borderId="0" xfId="1152" applyNumberFormat="1" applyFont="1" applyFill="1"/>
    <xf numFmtId="1" fontId="32" fillId="0" borderId="0" xfId="1900" applyNumberFormat="1" applyFont="1" applyFill="1"/>
    <xf numFmtId="0" fontId="110" fillId="0" borderId="0" xfId="1226" applyFont="1"/>
    <xf numFmtId="0" fontId="111" fillId="0" borderId="0" xfId="1226" applyFont="1"/>
    <xf numFmtId="0" fontId="104" fillId="0" borderId="0" xfId="1226" applyFont="1" applyAlignment="1">
      <alignment horizontal="center"/>
    </xf>
    <xf numFmtId="17" fontId="104" fillId="0" borderId="0" xfId="1226" quotePrefix="1" applyNumberFormat="1" applyFont="1" applyAlignment="1">
      <alignment horizontal="center"/>
    </xf>
    <xf numFmtId="0" fontId="112" fillId="0" borderId="0" xfId="1226" applyFont="1" applyAlignment="1">
      <alignment horizontal="left" indent="15"/>
    </xf>
    <xf numFmtId="0" fontId="113" fillId="0" borderId="0" xfId="1226" applyFont="1" applyAlignment="1">
      <alignment horizontal="center"/>
    </xf>
    <xf numFmtId="0" fontId="114" fillId="0" borderId="0" xfId="1226" applyFont="1"/>
    <xf numFmtId="0" fontId="110" fillId="0" borderId="0" xfId="1226" quotePrefix="1" applyFont="1"/>
    <xf numFmtId="0" fontId="115" fillId="0" borderId="0" xfId="1226" applyFont="1"/>
    <xf numFmtId="0" fontId="116" fillId="0" borderId="0" xfId="1226" applyFont="1"/>
    <xf numFmtId="0" fontId="117" fillId="0" borderId="0" xfId="1226" applyFont="1"/>
    <xf numFmtId="0" fontId="115" fillId="0" borderId="0" xfId="1226" quotePrefix="1" applyFont="1"/>
    <xf numFmtId="0" fontId="118" fillId="0" borderId="0" xfId="1226" applyFont="1"/>
    <xf numFmtId="49" fontId="36" fillId="0" borderId="19" xfId="1152" applyNumberFormat="1" applyFont="1" applyBorder="1" applyAlignment="1">
      <alignment horizontal="center" vertical="center"/>
    </xf>
    <xf numFmtId="175" fontId="36" fillId="0" borderId="0" xfId="0" applyNumberFormat="1" applyFont="1"/>
    <xf numFmtId="193" fontId="0" fillId="0" borderId="0" xfId="0" applyNumberFormat="1"/>
    <xf numFmtId="185" fontId="39" fillId="0" borderId="0" xfId="0" applyNumberFormat="1" applyFont="1"/>
    <xf numFmtId="1" fontId="36" fillId="0" borderId="19" xfId="1152" applyNumberFormat="1" applyFont="1" applyBorder="1" applyAlignment="1">
      <alignment horizontal="center" vertical="center"/>
    </xf>
    <xf numFmtId="9" fontId="32" fillId="0" borderId="0" xfId="1900" applyFont="1" applyFill="1"/>
    <xf numFmtId="175" fontId="37" fillId="0" borderId="0" xfId="1900" applyNumberFormat="1"/>
    <xf numFmtId="0" fontId="12" fillId="0" borderId="19" xfId="0" applyFont="1" applyBorder="1" applyAlignment="1">
      <alignment wrapText="1"/>
    </xf>
    <xf numFmtId="10" fontId="12" fillId="0" borderId="0" xfId="0" applyNumberFormat="1" applyFont="1"/>
    <xf numFmtId="204" fontId="12" fillId="0" borderId="0" xfId="0" quotePrefix="1" applyNumberFormat="1" applyFont="1" applyAlignment="1">
      <alignment vertical="center"/>
    </xf>
    <xf numFmtId="0" fontId="94" fillId="0" borderId="0" xfId="0" applyFont="1"/>
    <xf numFmtId="0" fontId="12" fillId="0" borderId="0" xfId="1884" applyFont="1" applyAlignment="1">
      <alignment horizontal="center" vertical="center"/>
    </xf>
    <xf numFmtId="0" fontId="36" fillId="0" borderId="0" xfId="0" applyFont="1" applyAlignment="1">
      <alignment vertical="center"/>
    </xf>
    <xf numFmtId="0" fontId="93" fillId="0" borderId="0" xfId="1225" applyFont="1" applyAlignment="1">
      <alignment vertical="center"/>
    </xf>
    <xf numFmtId="0" fontId="39" fillId="0" borderId="20" xfId="1884" applyFont="1" applyBorder="1" applyAlignment="1">
      <alignment horizontal="left" vertical="center"/>
    </xf>
    <xf numFmtId="0" fontId="39" fillId="0" borderId="20" xfId="1884" applyFont="1" applyBorder="1" applyAlignment="1">
      <alignment vertical="center"/>
    </xf>
    <xf numFmtId="0" fontId="39" fillId="0" borderId="20" xfId="1884" applyFont="1" applyBorder="1" applyAlignment="1">
      <alignment horizontal="center" vertical="center"/>
    </xf>
    <xf numFmtId="0" fontId="12" fillId="0" borderId="0" xfId="1884" applyFont="1" applyAlignment="1">
      <alignment vertical="center"/>
    </xf>
    <xf numFmtId="0" fontId="12" fillId="0" borderId="0" xfId="1884" applyFont="1" applyAlignment="1">
      <alignment vertical="top"/>
    </xf>
    <xf numFmtId="0" fontId="39" fillId="0" borderId="20" xfId="1884" applyFont="1" applyBorder="1" applyAlignment="1">
      <alignment vertical="top"/>
    </xf>
    <xf numFmtId="0" fontId="84" fillId="0" borderId="0" xfId="1225" applyFont="1" applyAlignment="1">
      <alignment vertical="center"/>
    </xf>
    <xf numFmtId="0" fontId="119" fillId="0" borderId="0" xfId="1225" applyFont="1" applyAlignment="1">
      <alignment vertical="center"/>
    </xf>
    <xf numFmtId="0" fontId="12" fillId="0" borderId="0" xfId="1884" applyFont="1" applyAlignment="1">
      <alignment horizontal="left" vertical="center"/>
    </xf>
    <xf numFmtId="0" fontId="36" fillId="0" borderId="0" xfId="0" applyFont="1" applyAlignment="1">
      <alignment horizontal="center" vertical="center"/>
    </xf>
    <xf numFmtId="0" fontId="39" fillId="0" borderId="0" xfId="1884" applyFont="1" applyAlignment="1">
      <alignment horizontal="center" vertical="center"/>
    </xf>
    <xf numFmtId="0" fontId="12" fillId="0" borderId="0" xfId="1884" applyFont="1" applyAlignment="1">
      <alignment horizontal="left" vertical="top"/>
    </xf>
    <xf numFmtId="0" fontId="12" fillId="0" borderId="0" xfId="1884" applyFont="1" applyAlignment="1">
      <alignment horizontal="center" vertical="top"/>
    </xf>
    <xf numFmtId="177" fontId="36" fillId="0" borderId="19" xfId="1153" applyFont="1" applyBorder="1" applyAlignment="1" applyProtection="1">
      <alignment horizontal="center" vertical="center"/>
    </xf>
    <xf numFmtId="0" fontId="39" fillId="0" borderId="0" xfId="1884" applyFont="1" applyAlignment="1">
      <alignment horizontal="left" vertical="center"/>
    </xf>
    <xf numFmtId="37" fontId="12" fillId="53" borderId="19" xfId="0" applyNumberFormat="1" applyFont="1" applyFill="1" applyBorder="1" applyAlignment="1">
      <alignment horizontal="center" vertical="center"/>
    </xf>
    <xf numFmtId="184" fontId="12" fillId="53" borderId="19" xfId="0" applyNumberFormat="1" applyFont="1" applyFill="1" applyBorder="1" applyAlignment="1">
      <alignment horizontal="center" vertical="center"/>
    </xf>
    <xf numFmtId="0" fontId="12" fillId="53" borderId="19" xfId="0" applyFont="1" applyFill="1" applyBorder="1" applyAlignment="1">
      <alignment horizontal="left" vertical="center" wrapText="1"/>
    </xf>
    <xf numFmtId="0" fontId="12" fillId="53" borderId="19" xfId="0" applyFont="1" applyFill="1" applyBorder="1" applyAlignment="1">
      <alignment horizontal="left" vertical="center"/>
    </xf>
    <xf numFmtId="0" fontId="105" fillId="0" borderId="0" xfId="0" applyFont="1"/>
    <xf numFmtId="206" fontId="12" fillId="0" borderId="19" xfId="0" applyNumberFormat="1" applyFont="1" applyBorder="1" applyAlignment="1">
      <alignment horizontal="center" vertical="center"/>
    </xf>
    <xf numFmtId="206" fontId="12" fillId="0" borderId="19" xfId="0" applyNumberFormat="1" applyFont="1" applyBorder="1" applyAlignment="1">
      <alignment horizontal="center"/>
    </xf>
    <xf numFmtId="0" fontId="34" fillId="0" borderId="0" xfId="0" applyFont="1" applyAlignment="1">
      <alignment horizontal="center" wrapText="1"/>
    </xf>
    <xf numFmtId="0" fontId="77" fillId="0" borderId="0" xfId="1238" applyFont="1" applyAlignment="1" applyProtection="1">
      <alignment horizontal="left" vertical="center" wrapText="1" readingOrder="1"/>
      <protection locked="0"/>
    </xf>
    <xf numFmtId="0" fontId="65" fillId="0" borderId="0" xfId="1238" applyFont="1" applyAlignment="1" applyProtection="1">
      <alignment vertical="top" wrapText="1" readingOrder="1"/>
      <protection locked="0"/>
    </xf>
    <xf numFmtId="10" fontId="39" fillId="0" borderId="0" xfId="0" applyNumberFormat="1" applyFont="1"/>
    <xf numFmtId="0" fontId="39" fillId="0" borderId="19" xfId="1882" applyFont="1" applyBorder="1" applyAlignment="1">
      <alignment horizontal="center" vertical="center"/>
    </xf>
    <xf numFmtId="179" fontId="39" fillId="0" borderId="19" xfId="1165" applyNumberFormat="1" applyFont="1" applyBorder="1" applyAlignment="1">
      <alignment horizontal="center" vertical="center" wrapText="1"/>
    </xf>
    <xf numFmtId="177" fontId="0" fillId="0" borderId="0" xfId="0" applyNumberFormat="1"/>
    <xf numFmtId="3" fontId="12" fillId="0" borderId="0" xfId="0" quotePrefix="1" applyNumberFormat="1" applyFont="1" applyAlignment="1">
      <alignment vertical="center"/>
    </xf>
    <xf numFmtId="194" fontId="69" fillId="0" borderId="0" xfId="1233" applyNumberFormat="1" applyFont="1" applyAlignment="1" applyProtection="1">
      <alignment horizontal="right" vertical="top" wrapText="1" readingOrder="1"/>
      <protection locked="0"/>
    </xf>
    <xf numFmtId="197" fontId="12" fillId="0" borderId="0" xfId="0" applyNumberFormat="1" applyFont="1" applyAlignment="1">
      <alignment vertical="center"/>
    </xf>
    <xf numFmtId="9" fontId="37" fillId="0" borderId="0" xfId="1900" applyFill="1" applyBorder="1" applyAlignment="1" applyProtection="1">
      <alignment horizontal="right" vertical="top" wrapText="1" readingOrder="1"/>
      <protection locked="0"/>
    </xf>
    <xf numFmtId="175" fontId="37" fillId="0" borderId="0" xfId="1900" applyNumberFormat="1" applyFill="1" applyBorder="1" applyAlignment="1" applyProtection="1">
      <alignment horizontal="right" vertical="top" wrapText="1" readingOrder="1"/>
      <protection locked="0"/>
    </xf>
    <xf numFmtId="176" fontId="68" fillId="0" borderId="0" xfId="1267" applyNumberFormat="1" applyFont="1" applyAlignment="1" applyProtection="1">
      <alignment horizontal="center" vertical="top" wrapText="1" readingOrder="1"/>
      <protection locked="0"/>
    </xf>
    <xf numFmtId="175" fontId="37" fillId="0" borderId="0" xfId="1900" applyNumberFormat="1" applyAlignment="1">
      <alignment vertical="center"/>
    </xf>
    <xf numFmtId="175" fontId="37" fillId="0" borderId="0" xfId="1900" applyNumberFormat="1" applyBorder="1" applyAlignment="1">
      <alignment vertical="center"/>
    </xf>
    <xf numFmtId="1" fontId="37" fillId="0" borderId="0" xfId="1900" quotePrefix="1" applyNumberFormat="1" applyFill="1" applyBorder="1" applyAlignment="1">
      <alignment vertical="center"/>
    </xf>
    <xf numFmtId="9" fontId="37" fillId="0" borderId="0" xfId="1900" applyFill="1" applyBorder="1" applyAlignment="1">
      <alignment vertical="center"/>
    </xf>
    <xf numFmtId="0" fontId="12" fillId="0" borderId="0" xfId="1246" applyAlignment="1">
      <alignment wrapText="1"/>
    </xf>
    <xf numFmtId="0" fontId="57" fillId="0" borderId="19" xfId="0" applyFont="1" applyBorder="1" applyAlignment="1">
      <alignment vertical="top" wrapText="1"/>
    </xf>
    <xf numFmtId="3" fontId="12" fillId="0" borderId="19" xfId="1152" applyNumberFormat="1" applyFont="1" applyFill="1" applyBorder="1" applyAlignment="1">
      <alignment horizontal="center" vertical="center"/>
    </xf>
    <xf numFmtId="0" fontId="33" fillId="0" borderId="19" xfId="0" applyFont="1" applyBorder="1" applyAlignment="1">
      <alignment horizontal="center" vertical="center" wrapText="1"/>
    </xf>
    <xf numFmtId="0" fontId="124" fillId="0" borderId="0" xfId="0" applyFont="1"/>
    <xf numFmtId="0" fontId="71" fillId="0" borderId="19" xfId="0" applyFont="1" applyBorder="1" applyAlignment="1">
      <alignment horizontal="center" vertical="center" wrapText="1"/>
    </xf>
    <xf numFmtId="1" fontId="34" fillId="0" borderId="0" xfId="0" applyNumberFormat="1" applyFont="1"/>
    <xf numFmtId="0" fontId="149" fillId="0" borderId="0" xfId="0" applyFont="1"/>
    <xf numFmtId="0" fontId="12" fillId="0" borderId="35" xfId="0" applyFont="1" applyBorder="1" applyAlignment="1">
      <alignment horizontal="center" vertical="center"/>
    </xf>
    <xf numFmtId="9" fontId="37" fillId="0" borderId="0" xfId="1900" applyAlignment="1">
      <alignment vertical="center"/>
    </xf>
    <xf numFmtId="0" fontId="34" fillId="0" borderId="34" xfId="0" applyFont="1" applyBorder="1" applyAlignment="1">
      <alignment vertical="center" wrapText="1"/>
    </xf>
    <xf numFmtId="0" fontId="57" fillId="0" borderId="19" xfId="0" applyFont="1" applyBorder="1" applyAlignment="1">
      <alignment horizontal="left" vertical="top" wrapText="1"/>
    </xf>
    <xf numFmtId="0" fontId="57" fillId="0" borderId="19" xfId="0" applyFont="1" applyBorder="1" applyAlignment="1">
      <alignment horizontal="left" vertical="center" wrapText="1"/>
    </xf>
    <xf numFmtId="3" fontId="36" fillId="0" borderId="19" xfId="0" applyNumberFormat="1" applyFont="1" applyBorder="1" applyAlignment="1">
      <alignment horizontal="center"/>
    </xf>
    <xf numFmtId="0" fontId="57" fillId="0" borderId="19" xfId="0" applyFont="1" applyBorder="1" applyAlignment="1">
      <alignment horizontal="center"/>
    </xf>
    <xf numFmtId="0" fontId="153" fillId="0" borderId="0" xfId="0" applyFont="1"/>
    <xf numFmtId="1" fontId="39" fillId="0" borderId="19" xfId="1152" applyNumberFormat="1" applyFont="1" applyFill="1" applyBorder="1" applyAlignment="1">
      <alignment horizontal="center" vertical="center"/>
    </xf>
    <xf numFmtId="49" fontId="39" fillId="0" borderId="0" xfId="0" applyNumberFormat="1" applyFont="1" applyAlignment="1">
      <alignment vertical="center"/>
    </xf>
    <xf numFmtId="17" fontId="34" fillId="0" borderId="0" xfId="0" applyNumberFormat="1" applyFont="1" applyAlignment="1">
      <alignment horizontal="center"/>
    </xf>
    <xf numFmtId="1" fontId="155" fillId="0" borderId="19" xfId="0" applyNumberFormat="1" applyFont="1" applyBorder="1" applyAlignment="1">
      <alignment horizontal="center"/>
    </xf>
    <xf numFmtId="49" fontId="39" fillId="0" borderId="19" xfId="0" applyNumberFormat="1" applyFont="1" applyBorder="1" applyAlignment="1">
      <alignment horizontal="center" vertical="center" wrapText="1"/>
    </xf>
    <xf numFmtId="200" fontId="150" fillId="0" borderId="19" xfId="1152" applyNumberFormat="1" applyFont="1" applyFill="1" applyBorder="1" applyAlignment="1">
      <alignment horizontal="center" vertical="center"/>
    </xf>
    <xf numFmtId="0" fontId="57" fillId="58" borderId="19" xfId="0" applyFont="1" applyFill="1" applyBorder="1" applyAlignment="1">
      <alignment horizontal="left"/>
    </xf>
    <xf numFmtId="3" fontId="12" fillId="53" borderId="19" xfId="0" applyNumberFormat="1" applyFont="1" applyFill="1" applyBorder="1" applyAlignment="1">
      <alignment horizontal="center" vertical="center" wrapText="1"/>
    </xf>
    <xf numFmtId="9" fontId="12" fillId="53" borderId="19" xfId="0" applyNumberFormat="1" applyFont="1" applyFill="1" applyBorder="1" applyAlignment="1">
      <alignment horizontal="center" vertical="center" wrapText="1"/>
    </xf>
    <xf numFmtId="173" fontId="37" fillId="0" borderId="0" xfId="1900" applyNumberFormat="1"/>
    <xf numFmtId="0" fontId="12" fillId="0" borderId="38" xfId="0" applyFont="1" applyBorder="1" applyAlignment="1">
      <alignment vertical="center"/>
    </xf>
    <xf numFmtId="0" fontId="12" fillId="0" borderId="37" xfId="0" applyFont="1" applyBorder="1" applyAlignment="1">
      <alignment vertical="center"/>
    </xf>
    <xf numFmtId="0" fontId="34" fillId="0" borderId="0" xfId="1882" applyFont="1" applyAlignment="1">
      <alignment vertical="center" wrapText="1"/>
    </xf>
    <xf numFmtId="0" fontId="12" fillId="0" borderId="38" xfId="0" quotePrefix="1" applyFont="1" applyBorder="1" applyAlignment="1">
      <alignment vertical="center"/>
    </xf>
    <xf numFmtId="0" fontId="69" fillId="0" borderId="0" xfId="0" applyFont="1" applyAlignment="1" applyProtection="1">
      <alignment horizontal="right" vertical="top" wrapText="1" readingOrder="1"/>
      <protection locked="0"/>
    </xf>
    <xf numFmtId="0" fontId="57" fillId="0" borderId="0" xfId="0" applyFont="1" applyAlignment="1">
      <alignment horizontal="left" wrapText="1"/>
    </xf>
    <xf numFmtId="0" fontId="12" fillId="0" borderId="0" xfId="0" applyFont="1" applyAlignment="1">
      <alignment horizontal="right" vertical="center"/>
    </xf>
    <xf numFmtId="3" fontId="12" fillId="0" borderId="19" xfId="0" quotePrefix="1" applyNumberFormat="1" applyFont="1" applyBorder="1" applyAlignment="1">
      <alignment horizontal="right" vertical="center" indent="2"/>
    </xf>
    <xf numFmtId="179" fontId="12" fillId="0" borderId="19" xfId="1153" applyNumberFormat="1" applyFont="1" applyBorder="1" applyAlignment="1">
      <alignment horizontal="right" vertical="center" wrapText="1" indent="3"/>
    </xf>
    <xf numFmtId="3" fontId="12" fillId="0" borderId="19" xfId="1165" applyNumberFormat="1" applyFont="1" applyFill="1" applyBorder="1" applyAlignment="1">
      <alignment horizontal="right" vertical="center" indent="2"/>
    </xf>
    <xf numFmtId="176" fontId="12" fillId="0" borderId="19" xfId="1165" applyNumberFormat="1" applyFont="1" applyFill="1" applyBorder="1" applyAlignment="1">
      <alignment horizontal="right" vertical="center" indent="2"/>
    </xf>
    <xf numFmtId="1" fontId="154" fillId="0" borderId="19" xfId="0" applyNumberFormat="1" applyFont="1" applyBorder="1" applyAlignment="1">
      <alignment horizontal="center"/>
    </xf>
    <xf numFmtId="0" fontId="12" fillId="58" borderId="19" xfId="0" applyFont="1" applyFill="1" applyBorder="1" applyAlignment="1">
      <alignment horizontal="left"/>
    </xf>
    <xf numFmtId="0" fontId="39" fillId="0" borderId="19" xfId="0" applyFont="1" applyBorder="1" applyAlignment="1">
      <alignment horizontal="center" vertical="center" textRotation="90" wrapText="1"/>
    </xf>
    <xf numFmtId="0" fontId="39" fillId="53" borderId="19" xfId="0" applyFont="1" applyFill="1" applyBorder="1" applyAlignment="1">
      <alignment horizontal="center" vertical="center" textRotation="90" wrapText="1"/>
    </xf>
    <xf numFmtId="0" fontId="12" fillId="58" borderId="19" xfId="0" applyFont="1" applyFill="1" applyBorder="1"/>
    <xf numFmtId="49" fontId="115" fillId="0" borderId="0" xfId="1226" applyNumberFormat="1" applyFont="1" applyAlignment="1">
      <alignment vertical="center"/>
    </xf>
    <xf numFmtId="3" fontId="12" fillId="0" borderId="19" xfId="0" applyNumberFormat="1" applyFont="1" applyBorder="1" applyAlignment="1">
      <alignment horizontal="center" wrapText="1"/>
    </xf>
    <xf numFmtId="1" fontId="12" fillId="0" borderId="19" xfId="0" applyNumberFormat="1" applyFont="1" applyBorder="1" applyAlignment="1">
      <alignment horizontal="center" wrapText="1"/>
    </xf>
    <xf numFmtId="1" fontId="12" fillId="53" borderId="19" xfId="0" applyNumberFormat="1" applyFont="1" applyFill="1" applyBorder="1" applyAlignment="1">
      <alignment horizontal="center" wrapText="1"/>
    </xf>
    <xf numFmtId="0" fontId="12" fillId="0" borderId="19" xfId="0" applyFont="1" applyBorder="1" applyAlignment="1">
      <alignment horizontal="center" vertical="center" wrapText="1"/>
    </xf>
    <xf numFmtId="0" fontId="12" fillId="0" borderId="0" xfId="0" applyFont="1" applyAlignment="1">
      <alignment wrapText="1"/>
    </xf>
    <xf numFmtId="0" fontId="36" fillId="0" borderId="0" xfId="0" applyFont="1"/>
    <xf numFmtId="0" fontId="152" fillId="0" borderId="19" xfId="0" applyFont="1" applyBorder="1"/>
    <xf numFmtId="0" fontId="152" fillId="0" borderId="19" xfId="0" applyFont="1" applyBorder="1" applyAlignment="1">
      <alignment horizontal="center" vertical="center"/>
    </xf>
    <xf numFmtId="0" fontId="158" fillId="0" borderId="0" xfId="0" applyFont="1"/>
    <xf numFmtId="0" fontId="152" fillId="0" borderId="0" xfId="0" applyFont="1" applyAlignment="1">
      <alignment vertical="center"/>
    </xf>
    <xf numFmtId="0" fontId="152" fillId="0" borderId="35" xfId="0" applyFont="1" applyBorder="1" applyAlignment="1">
      <alignment horizontal="center" vertical="center"/>
    </xf>
    <xf numFmtId="175" fontId="12" fillId="0" borderId="19" xfId="0" applyNumberFormat="1" applyFont="1" applyBorder="1" applyAlignment="1">
      <alignment horizontal="right"/>
    </xf>
    <xf numFmtId="0" fontId="57" fillId="0" borderId="19" xfId="0" applyFont="1" applyBorder="1" applyAlignment="1">
      <alignment horizontal="left"/>
    </xf>
    <xf numFmtId="0" fontId="57" fillId="0" borderId="19" xfId="0" applyFont="1" applyBorder="1" applyAlignment="1">
      <alignment horizontal="left" wrapText="1"/>
    </xf>
    <xf numFmtId="166" fontId="57" fillId="0" borderId="19" xfId="0" applyNumberFormat="1" applyFont="1" applyBorder="1" applyAlignment="1">
      <alignment horizontal="left" vertical="center" wrapText="1"/>
    </xf>
    <xf numFmtId="0" fontId="99" fillId="0" borderId="0" xfId="1136" applyFont="1" applyFill="1" applyBorder="1" applyAlignment="1" applyProtection="1">
      <alignment horizontal="center" vertical="center"/>
    </xf>
    <xf numFmtId="0" fontId="159" fillId="0" borderId="0" xfId="1136" applyFont="1" applyFill="1" applyBorder="1" applyAlignment="1" applyProtection="1">
      <alignment horizontal="center" vertical="center"/>
    </xf>
    <xf numFmtId="0" fontId="152" fillId="0" borderId="35" xfId="0" applyFont="1" applyBorder="1" applyAlignment="1">
      <alignment horizontal="center" vertical="center" wrapText="1"/>
    </xf>
    <xf numFmtId="0" fontId="159" fillId="0" borderId="0" xfId="1136" applyFont="1" applyBorder="1" applyAlignment="1" applyProtection="1">
      <alignment horizontal="center" vertical="center"/>
    </xf>
    <xf numFmtId="0" fontId="39" fillId="0" borderId="20" xfId="1884" applyFont="1" applyBorder="1" applyAlignment="1">
      <alignment horizontal="center" vertical="top"/>
    </xf>
    <xf numFmtId="0" fontId="57" fillId="0" borderId="0" xfId="1224" applyFont="1" applyAlignment="1">
      <alignment vertical="center"/>
    </xf>
    <xf numFmtId="9" fontId="47" fillId="0" borderId="0" xfId="1900" applyFont="1"/>
    <xf numFmtId="0" fontId="159" fillId="0" borderId="0" xfId="1136" applyFont="1" applyFill="1" applyBorder="1" applyAlignment="1" applyProtection="1">
      <alignment horizontal="center" vertical="top"/>
    </xf>
    <xf numFmtId="0" fontId="12" fillId="0" borderId="0" xfId="1884" applyFont="1" applyAlignment="1">
      <alignment horizontal="right" vertical="center"/>
    </xf>
    <xf numFmtId="0" fontId="159" fillId="0" borderId="0" xfId="1136" applyFont="1" applyBorder="1" applyAlignment="1" applyProtection="1">
      <alignment horizontal="center" vertical="top"/>
    </xf>
    <xf numFmtId="0" fontId="57" fillId="0" borderId="0" xfId="1225" applyFont="1" applyAlignment="1">
      <alignment vertical="center"/>
    </xf>
    <xf numFmtId="3" fontId="161" fillId="0" borderId="19" xfId="0" applyNumberFormat="1" applyFont="1" applyBorder="1" applyAlignment="1">
      <alignment horizontal="center"/>
    </xf>
    <xf numFmtId="3" fontId="34" fillId="0" borderId="0" xfId="0" applyNumberFormat="1" applyFont="1" applyAlignment="1">
      <alignment horizontal="left" vertical="top" wrapText="1"/>
    </xf>
    <xf numFmtId="173" fontId="150" fillId="0" borderId="19" xfId="0" applyNumberFormat="1" applyFont="1" applyBorder="1" applyAlignment="1">
      <alignment horizontal="center" vertical="center"/>
    </xf>
    <xf numFmtId="0" fontId="34" fillId="0" borderId="35" xfId="0" applyFont="1" applyBorder="1"/>
    <xf numFmtId="3" fontId="32" fillId="0" borderId="20" xfId="0" applyNumberFormat="1" applyFont="1" applyBorder="1"/>
    <xf numFmtId="0" fontId="0" fillId="0" borderId="38" xfId="0" applyBorder="1"/>
    <xf numFmtId="1" fontId="12" fillId="53" borderId="19" xfId="0" applyNumberFormat="1" applyFont="1" applyFill="1" applyBorder="1" applyAlignment="1">
      <alignment horizontal="center" vertical="center"/>
    </xf>
    <xf numFmtId="49" fontId="12" fillId="53" borderId="19" xfId="0" applyNumberFormat="1" applyFont="1" applyFill="1" applyBorder="1" applyAlignment="1">
      <alignment horizontal="center" vertical="center"/>
    </xf>
    <xf numFmtId="49" fontId="57" fillId="0" borderId="19" xfId="0" quotePrefix="1" applyNumberFormat="1" applyFont="1" applyBorder="1" applyAlignment="1">
      <alignment horizontal="center" vertical="center"/>
    </xf>
    <xf numFmtId="1" fontId="12" fillId="0" borderId="19" xfId="0" applyNumberFormat="1" applyFont="1" applyBorder="1" applyAlignment="1">
      <alignment horizontal="center" vertical="center"/>
    </xf>
    <xf numFmtId="173" fontId="155" fillId="59" borderId="19" xfId="0" applyNumberFormat="1" applyFont="1" applyFill="1" applyBorder="1"/>
    <xf numFmtId="0" fontId="151" fillId="0" borderId="0" xfId="0" applyFont="1"/>
    <xf numFmtId="1" fontId="12" fillId="58" borderId="19" xfId="0" applyNumberFormat="1" applyFont="1" applyFill="1" applyBorder="1" applyAlignment="1">
      <alignment horizontal="center" vertical="center"/>
    </xf>
    <xf numFmtId="0" fontId="34" fillId="58" borderId="0" xfId="0" applyFont="1" applyFill="1"/>
    <xf numFmtId="3" fontId="12" fillId="58" borderId="19" xfId="0" applyNumberFormat="1" applyFont="1" applyFill="1" applyBorder="1" applyAlignment="1">
      <alignment horizontal="center"/>
    </xf>
    <xf numFmtId="0" fontId="156" fillId="0" borderId="0" xfId="0" applyFont="1"/>
    <xf numFmtId="1" fontId="150" fillId="0" borderId="19" xfId="0" applyNumberFormat="1" applyFont="1" applyBorder="1" applyAlignment="1">
      <alignment horizontal="center"/>
    </xf>
    <xf numFmtId="3" fontId="12" fillId="0" borderId="19" xfId="1152" applyNumberFormat="1" applyFont="1" applyBorder="1" applyAlignment="1">
      <alignment horizontal="center" vertical="center"/>
    </xf>
    <xf numFmtId="1" fontId="150" fillId="0" borderId="19" xfId="1153" applyNumberFormat="1" applyFont="1" applyFill="1" applyBorder="1" applyAlignment="1">
      <alignment horizontal="center"/>
    </xf>
    <xf numFmtId="17" fontId="149" fillId="0" borderId="0" xfId="0" applyNumberFormat="1" applyFont="1" applyAlignment="1">
      <alignment horizontal="left" vertical="center"/>
    </xf>
    <xf numFmtId="173" fontId="0" fillId="0" borderId="0" xfId="0" applyNumberFormat="1"/>
    <xf numFmtId="3" fontId="0" fillId="0" borderId="0" xfId="0" applyNumberFormat="1" applyAlignment="1">
      <alignment wrapText="1"/>
    </xf>
    <xf numFmtId="175" fontId="150" fillId="0" borderId="19" xfId="0" applyNumberFormat="1" applyFont="1" applyBorder="1" applyAlignment="1">
      <alignment horizontal="center" vertical="center"/>
    </xf>
    <xf numFmtId="0" fontId="162" fillId="0" borderId="0" xfId="0" applyFont="1" applyAlignment="1">
      <alignment vertical="center"/>
    </xf>
    <xf numFmtId="0" fontId="162" fillId="0" borderId="0" xfId="0" applyFont="1" applyAlignment="1">
      <alignment horizontal="justify" vertical="center"/>
    </xf>
    <xf numFmtId="208" fontId="12" fillId="0" borderId="38" xfId="0" applyNumberFormat="1" applyFont="1" applyBorder="1" applyAlignment="1">
      <alignment horizontal="center" vertical="center"/>
    </xf>
    <xf numFmtId="1" fontId="36" fillId="0" borderId="19" xfId="1153" applyNumberFormat="1" applyFont="1" applyFill="1" applyBorder="1" applyAlignment="1">
      <alignment horizontal="center"/>
    </xf>
    <xf numFmtId="1" fontId="32" fillId="0" borderId="19" xfId="1153" applyNumberFormat="1" applyFont="1" applyFill="1" applyBorder="1" applyAlignment="1">
      <alignment horizontal="center"/>
    </xf>
    <xf numFmtId="1" fontId="37" fillId="0" borderId="0" xfId="1900" applyNumberFormat="1" applyAlignment="1"/>
    <xf numFmtId="180" fontId="149" fillId="0" borderId="0" xfId="0" applyNumberFormat="1" applyFont="1"/>
    <xf numFmtId="9" fontId="37" fillId="0" borderId="0" xfId="1900" applyFill="1"/>
    <xf numFmtId="3" fontId="12" fillId="53" borderId="19" xfId="0" applyNumberFormat="1" applyFont="1" applyFill="1" applyBorder="1" applyAlignment="1">
      <alignment horizontal="center" wrapText="1"/>
    </xf>
    <xf numFmtId="175" fontId="37" fillId="0" borderId="34" xfId="1900" applyNumberFormat="1" applyBorder="1" applyAlignment="1">
      <alignment vertical="center" wrapText="1"/>
    </xf>
    <xf numFmtId="4" fontId="163" fillId="0" borderId="0" xfId="0" applyNumberFormat="1" applyFont="1"/>
    <xf numFmtId="0" fontId="164" fillId="0" borderId="0" xfId="0" applyFont="1" applyAlignment="1">
      <alignment horizontal="right" vertical="center" wrapText="1"/>
    </xf>
    <xf numFmtId="173" fontId="149" fillId="0" borderId="0" xfId="0" applyNumberFormat="1" applyFont="1"/>
    <xf numFmtId="1" fontId="150" fillId="0" borderId="19" xfId="0" applyNumberFormat="1" applyFont="1" applyBorder="1" applyAlignment="1">
      <alignment horizontal="center" vertical="center"/>
    </xf>
    <xf numFmtId="0" fontId="159" fillId="0" borderId="0" xfId="1136" applyFont="1" applyAlignment="1">
      <alignment horizontal="center" vertical="center"/>
    </xf>
    <xf numFmtId="180" fontId="39" fillId="0" borderId="19" xfId="1152" applyNumberFormat="1" applyFont="1" applyBorder="1" applyAlignment="1">
      <alignment horizontal="center" vertical="center" wrapText="1"/>
    </xf>
    <xf numFmtId="180" fontId="39" fillId="0" borderId="19" xfId="1152" applyNumberFormat="1" applyFont="1" applyFill="1" applyBorder="1" applyAlignment="1">
      <alignment horizontal="center" vertical="center" wrapText="1"/>
    </xf>
    <xf numFmtId="175" fontId="12" fillId="58" borderId="19" xfId="0" applyNumberFormat="1" applyFont="1" applyFill="1" applyBorder="1" applyAlignment="1">
      <alignment horizontal="center" vertical="center"/>
    </xf>
    <xf numFmtId="0" fontId="57" fillId="0" borderId="0" xfId="0" applyFont="1"/>
    <xf numFmtId="3" fontId="91" fillId="0" borderId="0" xfId="0" applyNumberFormat="1" applyFont="1" applyAlignment="1">
      <alignment wrapText="1"/>
    </xf>
    <xf numFmtId="3" fontId="12" fillId="53" borderId="19" xfId="0" quotePrefix="1" applyNumberFormat="1" applyFont="1" applyFill="1" applyBorder="1" applyAlignment="1">
      <alignment horizontal="right" vertical="center" indent="3"/>
    </xf>
    <xf numFmtId="3" fontId="12" fillId="53" borderId="19" xfId="0" applyNumberFormat="1" applyFont="1" applyFill="1" applyBorder="1" applyAlignment="1">
      <alignment horizontal="right" vertical="center" indent="3"/>
    </xf>
    <xf numFmtId="176" fontId="12" fillId="53" borderId="19" xfId="0" applyNumberFormat="1" applyFont="1" applyFill="1" applyBorder="1" applyAlignment="1">
      <alignment horizontal="right" vertical="center" indent="3"/>
    </xf>
    <xf numFmtId="3" fontId="12" fillId="0" borderId="21" xfId="0" applyNumberFormat="1" applyFont="1" applyBorder="1" applyAlignment="1">
      <alignment horizontal="center" vertical="center"/>
    </xf>
    <xf numFmtId="177" fontId="165" fillId="0" borderId="19" xfId="1153" applyFont="1" applyBorder="1" applyAlignment="1">
      <alignment vertical="center" wrapText="1"/>
    </xf>
    <xf numFmtId="177" fontId="165" fillId="0" borderId="19" xfId="1153" applyFont="1" applyBorder="1" applyAlignment="1">
      <alignment vertical="center"/>
    </xf>
    <xf numFmtId="177" fontId="165" fillId="0" borderId="19" xfId="1153" quotePrefix="1" applyFont="1" applyFill="1" applyBorder="1" applyAlignment="1">
      <alignment vertical="center"/>
    </xf>
    <xf numFmtId="177" fontId="165" fillId="0" borderId="19" xfId="1153" applyFont="1" applyFill="1" applyBorder="1" applyAlignment="1">
      <alignment vertical="center"/>
    </xf>
    <xf numFmtId="9" fontId="0" fillId="0" borderId="0" xfId="1900" applyFont="1"/>
    <xf numFmtId="0" fontId="152" fillId="0" borderId="19" xfId="0" applyFont="1" applyBorder="1" applyAlignment="1">
      <alignment horizontal="center"/>
    </xf>
    <xf numFmtId="209" fontId="37" fillId="0" borderId="0" xfId="1153" applyNumberFormat="1" applyBorder="1" applyAlignment="1" applyProtection="1">
      <alignment horizontal="center" vertical="top" wrapText="1" readingOrder="1"/>
      <protection locked="0"/>
    </xf>
    <xf numFmtId="3" fontId="12" fillId="58" borderId="19" xfId="0" applyNumberFormat="1" applyFont="1" applyFill="1" applyBorder="1" applyAlignment="1">
      <alignment horizontal="center" wrapText="1"/>
    </xf>
    <xf numFmtId="3" fontId="12" fillId="58" borderId="19" xfId="0" applyNumberFormat="1" applyFont="1" applyFill="1" applyBorder="1" applyAlignment="1">
      <alignment horizontal="center" vertical="center" wrapText="1"/>
    </xf>
    <xf numFmtId="1" fontId="12" fillId="58" borderId="19" xfId="0" applyNumberFormat="1" applyFont="1" applyFill="1" applyBorder="1" applyAlignment="1">
      <alignment horizontal="center" wrapText="1"/>
    </xf>
    <xf numFmtId="3" fontId="40" fillId="0" borderId="0" xfId="0" applyNumberFormat="1" applyFont="1"/>
    <xf numFmtId="173" fontId="12" fillId="0" borderId="0" xfId="0" applyNumberFormat="1" applyFont="1"/>
    <xf numFmtId="175" fontId="0" fillId="0" borderId="0" xfId="1900" applyNumberFormat="1" applyFont="1"/>
    <xf numFmtId="0" fontId="167" fillId="0" borderId="0" xfId="1136" applyFont="1"/>
    <xf numFmtId="0" fontId="39" fillId="58" borderId="19" xfId="0" applyFont="1" applyFill="1" applyBorder="1" applyAlignment="1">
      <alignment horizontal="center" vertical="center" textRotation="90" wrapText="1"/>
    </xf>
    <xf numFmtId="9" fontId="37" fillId="0" borderId="0" xfId="1900" applyAlignment="1"/>
    <xf numFmtId="9" fontId="37" fillId="0" borderId="0" xfId="1900" applyBorder="1"/>
    <xf numFmtId="17" fontId="12" fillId="0" borderId="19" xfId="1152" applyNumberFormat="1" applyFont="1" applyFill="1" applyBorder="1" applyAlignment="1">
      <alignment horizontal="left" vertical="center" wrapText="1"/>
    </xf>
    <xf numFmtId="49" fontId="115" fillId="0" borderId="0" xfId="1226" applyNumberFormat="1" applyFont="1" applyAlignment="1">
      <alignment horizontal="center" vertical="center"/>
    </xf>
    <xf numFmtId="0" fontId="161" fillId="0" borderId="19" xfId="0" applyFont="1" applyBorder="1" applyAlignment="1">
      <alignment horizontal="center"/>
    </xf>
    <xf numFmtId="179" fontId="71" fillId="0" borderId="19" xfId="1153" applyNumberFormat="1" applyFont="1" applyFill="1" applyBorder="1" applyAlignment="1">
      <alignment horizontal="center" vertical="center" wrapText="1"/>
    </xf>
    <xf numFmtId="9" fontId="37" fillId="0" borderId="0" xfId="1900" quotePrefix="1" applyFill="1" applyBorder="1" applyAlignment="1">
      <alignment vertical="center"/>
    </xf>
    <xf numFmtId="9" fontId="37" fillId="0" borderId="0" xfId="1900" applyAlignment="1" applyProtection="1">
      <alignment horizontal="right" vertical="top" wrapText="1" readingOrder="1"/>
      <protection locked="0"/>
    </xf>
    <xf numFmtId="3" fontId="0" fillId="0" borderId="0" xfId="0" applyNumberFormat="1"/>
    <xf numFmtId="1" fontId="155" fillId="0" borderId="19" xfId="0" applyNumberFormat="1" applyFont="1" applyBorder="1" applyAlignment="1">
      <alignment horizontal="center" vertical="center"/>
    </xf>
    <xf numFmtId="0" fontId="39" fillId="58" borderId="19" xfId="0" applyFont="1" applyFill="1" applyBorder="1" applyAlignment="1">
      <alignment horizontal="center"/>
    </xf>
    <xf numFmtId="3" fontId="7" fillId="0" borderId="42" xfId="1987" applyNumberFormat="1" applyBorder="1"/>
    <xf numFmtId="1" fontId="12" fillId="0" borderId="19" xfId="0" applyNumberFormat="1" applyFont="1" applyBorder="1" applyAlignment="1">
      <alignment horizontal="center"/>
    </xf>
    <xf numFmtId="0" fontId="71" fillId="0" borderId="19" xfId="0" applyFont="1" applyBorder="1" applyAlignment="1">
      <alignment horizontal="center"/>
    </xf>
    <xf numFmtId="3" fontId="7" fillId="0" borderId="0" xfId="1987" applyNumberFormat="1"/>
    <xf numFmtId="1" fontId="86" fillId="0" borderId="0" xfId="1243" applyNumberFormat="1" applyFont="1" applyAlignment="1">
      <alignment horizontal="center"/>
    </xf>
    <xf numFmtId="197" fontId="153" fillId="0" borderId="0" xfId="0" applyNumberFormat="1" applyFont="1"/>
    <xf numFmtId="9" fontId="169" fillId="0" borderId="0" xfId="1900" applyFont="1"/>
    <xf numFmtId="173" fontId="57" fillId="58" borderId="19" xfId="0" applyNumberFormat="1" applyFont="1" applyFill="1" applyBorder="1" applyAlignment="1">
      <alignment horizontal="left" wrapText="1"/>
    </xf>
    <xf numFmtId="173" fontId="57" fillId="58" borderId="19" xfId="0" applyNumberFormat="1" applyFont="1" applyFill="1" applyBorder="1" applyAlignment="1">
      <alignment horizontal="left"/>
    </xf>
    <xf numFmtId="0" fontId="12" fillId="0" borderId="0" xfId="0" applyFont="1" applyAlignment="1">
      <alignment horizontal="center" vertical="center" wrapText="1"/>
    </xf>
    <xf numFmtId="0" fontId="0" fillId="0" borderId="0" xfId="0" applyAlignment="1">
      <alignment horizontal="center"/>
    </xf>
    <xf numFmtId="200" fontId="12" fillId="0" borderId="19" xfId="1153" applyNumberFormat="1" applyFont="1" applyFill="1" applyBorder="1" applyAlignment="1">
      <alignment horizontal="center" vertical="center"/>
    </xf>
    <xf numFmtId="0" fontId="171" fillId="0" borderId="0" xfId="0" applyFont="1" applyAlignment="1">
      <alignment horizontal="center" vertical="center" readingOrder="1"/>
    </xf>
    <xf numFmtId="0" fontId="57" fillId="58" borderId="19" xfId="0" applyFont="1" applyFill="1" applyBorder="1" applyAlignment="1">
      <alignment horizontal="left" wrapText="1"/>
    </xf>
    <xf numFmtId="0" fontId="103" fillId="0" borderId="0" xfId="0" applyFont="1"/>
    <xf numFmtId="181" fontId="33" fillId="0" borderId="19" xfId="1152" applyNumberFormat="1" applyFont="1" applyFill="1" applyBorder="1" applyAlignment="1">
      <alignment horizontal="center" vertical="center"/>
    </xf>
    <xf numFmtId="180" fontId="33" fillId="0" borderId="19" xfId="1152" applyNumberFormat="1" applyFont="1" applyFill="1" applyBorder="1" applyAlignment="1">
      <alignment horizontal="center" vertical="center" wrapText="1"/>
    </xf>
    <xf numFmtId="17" fontId="57" fillId="0" borderId="19" xfId="0" applyNumberFormat="1" applyFont="1" applyBorder="1" applyAlignment="1">
      <alignment horizontal="center" wrapText="1"/>
    </xf>
    <xf numFmtId="2" fontId="12" fillId="0" borderId="19" xfId="0" applyNumberFormat="1" applyFont="1" applyBorder="1" applyAlignment="1">
      <alignment horizontal="center" vertical="center"/>
    </xf>
    <xf numFmtId="2" fontId="12" fillId="0" borderId="19" xfId="0" applyNumberFormat="1" applyFont="1" applyBorder="1" applyAlignment="1">
      <alignment horizontal="center" vertical="center" wrapText="1"/>
    </xf>
    <xf numFmtId="0" fontId="39" fillId="58" borderId="19" xfId="0" applyFont="1" applyFill="1" applyBorder="1" applyAlignment="1">
      <alignment horizontal="center" vertical="center" wrapText="1"/>
    </xf>
    <xf numFmtId="180" fontId="33" fillId="58" borderId="19" xfId="1152" applyNumberFormat="1" applyFont="1" applyFill="1" applyBorder="1" applyAlignment="1">
      <alignment horizontal="center" vertical="center" wrapText="1"/>
    </xf>
    <xf numFmtId="0" fontId="57" fillId="58" borderId="19" xfId="0" applyFont="1" applyFill="1" applyBorder="1" applyAlignment="1">
      <alignment horizontal="center"/>
    </xf>
    <xf numFmtId="0" fontId="172" fillId="58" borderId="0" xfId="0" applyFont="1" applyFill="1" applyAlignment="1">
      <alignment vertical="top"/>
    </xf>
    <xf numFmtId="0" fontId="172" fillId="0" borderId="0" xfId="0" applyFont="1" applyAlignment="1">
      <alignment vertical="top"/>
    </xf>
    <xf numFmtId="193" fontId="12" fillId="0" borderId="0" xfId="0" applyNumberFormat="1" applyFont="1" applyAlignment="1">
      <alignment vertical="center"/>
    </xf>
    <xf numFmtId="17" fontId="149" fillId="0" borderId="0" xfId="0" applyNumberFormat="1" applyFont="1"/>
    <xf numFmtId="0" fontId="36" fillId="0" borderId="19" xfId="0" applyFont="1" applyBorder="1"/>
    <xf numFmtId="3" fontId="36" fillId="0" borderId="19" xfId="0" applyNumberFormat="1" applyFont="1" applyBorder="1"/>
    <xf numFmtId="3" fontId="36" fillId="0" borderId="19" xfId="0" applyNumberFormat="1" applyFont="1" applyBorder="1" applyAlignment="1">
      <alignment horizontal="center" vertical="center"/>
    </xf>
    <xf numFmtId="0" fontId="149" fillId="0" borderId="0" xfId="0" applyFont="1" applyAlignment="1">
      <alignment vertical="center" wrapText="1"/>
    </xf>
    <xf numFmtId="177" fontId="36" fillId="0" borderId="0" xfId="1153" applyFont="1"/>
    <xf numFmtId="177" fontId="36" fillId="0" borderId="0" xfId="1153" applyFont="1" applyFill="1"/>
    <xf numFmtId="166" fontId="150" fillId="0" borderId="0" xfId="0" applyNumberFormat="1" applyFont="1"/>
    <xf numFmtId="0" fontId="173" fillId="0" borderId="0" xfId="0" applyFont="1"/>
    <xf numFmtId="4" fontId="173" fillId="0" borderId="0" xfId="0" applyNumberFormat="1" applyFont="1"/>
    <xf numFmtId="0" fontId="170" fillId="0" borderId="0" xfId="0" applyFont="1"/>
    <xf numFmtId="0" fontId="174" fillId="0" borderId="0" xfId="0" applyFont="1"/>
    <xf numFmtId="3" fontId="174" fillId="0" borderId="0" xfId="0" applyNumberFormat="1" applyFont="1"/>
    <xf numFmtId="0" fontId="175" fillId="0" borderId="0" xfId="0" applyFont="1"/>
    <xf numFmtId="175" fontId="174" fillId="0" borderId="0" xfId="1900" applyNumberFormat="1" applyFont="1" applyBorder="1"/>
    <xf numFmtId="175" fontId="170" fillId="0" borderId="0" xfId="0" applyNumberFormat="1" applyFont="1"/>
    <xf numFmtId="166" fontId="174" fillId="0" borderId="0" xfId="0" applyNumberFormat="1" applyFont="1"/>
    <xf numFmtId="210" fontId="174" fillId="0" borderId="0" xfId="1153" applyNumberFormat="1" applyFont="1" applyFill="1" applyBorder="1" applyAlignment="1"/>
    <xf numFmtId="166" fontId="170" fillId="0" borderId="0" xfId="0" applyNumberFormat="1" applyFont="1"/>
    <xf numFmtId="0" fontId="176" fillId="0" borderId="0" xfId="0" applyFont="1"/>
    <xf numFmtId="198" fontId="149" fillId="0" borderId="0" xfId="0" applyNumberFormat="1" applyFont="1"/>
    <xf numFmtId="191" fontId="149" fillId="0" borderId="0" xfId="0" applyNumberFormat="1" applyFont="1"/>
    <xf numFmtId="177" fontId="36" fillId="0" borderId="19" xfId="1153" applyFont="1" applyBorder="1" applyAlignment="1">
      <alignment horizontal="center" vertical="center"/>
    </xf>
    <xf numFmtId="177" fontId="37" fillId="0" borderId="0" xfId="1153"/>
    <xf numFmtId="176" fontId="12" fillId="0" borderId="19" xfId="1153" applyNumberFormat="1" applyFont="1" applyFill="1" applyBorder="1" applyAlignment="1">
      <alignment horizontal="center" vertical="center"/>
    </xf>
    <xf numFmtId="166" fontId="195" fillId="0" borderId="0" xfId="0" applyNumberFormat="1" applyFont="1"/>
    <xf numFmtId="0" fontId="34" fillId="0" borderId="0" xfId="0" applyFont="1" applyAlignment="1">
      <alignment wrapText="1"/>
    </xf>
    <xf numFmtId="166" fontId="71" fillId="0" borderId="19" xfId="0" applyNumberFormat="1" applyFont="1" applyBorder="1" applyAlignment="1">
      <alignment horizontal="center" vertical="center" wrapText="1"/>
    </xf>
    <xf numFmtId="0" fontId="12" fillId="0" borderId="0" xfId="0" applyFont="1" applyAlignment="1">
      <alignment horizontal="center" vertical="center"/>
    </xf>
    <xf numFmtId="3" fontId="34" fillId="0" borderId="0" xfId="0" applyNumberFormat="1" applyFont="1" applyAlignment="1">
      <alignment vertical="center" wrapText="1"/>
    </xf>
    <xf numFmtId="3" fontId="196" fillId="0" borderId="0" xfId="0" applyNumberFormat="1" applyFont="1" applyAlignment="1">
      <alignment vertical="center" wrapText="1"/>
    </xf>
    <xf numFmtId="0" fontId="196" fillId="0" borderId="0" xfId="0" applyFont="1" applyAlignment="1">
      <alignment horizontal="left" vertical="center" wrapText="1"/>
    </xf>
    <xf numFmtId="0" fontId="11" fillId="0" borderId="0" xfId="1226" applyFont="1"/>
    <xf numFmtId="0" fontId="71" fillId="0" borderId="0" xfId="1226" applyFont="1" applyAlignment="1">
      <alignment wrapText="1"/>
    </xf>
    <xf numFmtId="17" fontId="57" fillId="0" borderId="0" xfId="1226" applyNumberFormat="1" applyFont="1"/>
    <xf numFmtId="0" fontId="35" fillId="0" borderId="0" xfId="1226" applyFont="1"/>
    <xf numFmtId="0" fontId="39" fillId="0" borderId="0" xfId="1226" applyFont="1"/>
    <xf numFmtId="0" fontId="53" fillId="0" borderId="0" xfId="0" applyFont="1"/>
    <xf numFmtId="17" fontId="71" fillId="0" borderId="0" xfId="1224" applyNumberFormat="1" applyFont="1" applyAlignment="1">
      <alignment horizontal="left" vertical="center"/>
    </xf>
    <xf numFmtId="0" fontId="91" fillId="0" borderId="0" xfId="1224" applyFont="1" applyAlignment="1">
      <alignment vertical="center"/>
    </xf>
    <xf numFmtId="9" fontId="57" fillId="0" borderId="0" xfId="1224" applyNumberFormat="1" applyFont="1" applyAlignment="1">
      <alignment vertical="center"/>
    </xf>
    <xf numFmtId="0" fontId="57" fillId="0" borderId="0" xfId="1224" applyFont="1" applyAlignment="1">
      <alignment horizontal="left" vertical="center"/>
    </xf>
    <xf numFmtId="176" fontId="12" fillId="0" borderId="0" xfId="0" applyNumberFormat="1" applyFont="1"/>
    <xf numFmtId="4" fontId="57" fillId="0" borderId="0" xfId="0" applyNumberFormat="1" applyFont="1"/>
    <xf numFmtId="0" fontId="65" fillId="0" borderId="0" xfId="0" applyFont="1" applyAlignment="1" applyProtection="1">
      <alignment horizontal="right" wrapText="1" readingOrder="1"/>
      <protection locked="0"/>
    </xf>
    <xf numFmtId="4" fontId="65" fillId="0" borderId="0" xfId="0" applyNumberFormat="1" applyFont="1" applyAlignment="1" applyProtection="1">
      <alignment wrapText="1" readingOrder="1"/>
      <protection locked="0"/>
    </xf>
    <xf numFmtId="0" fontId="65" fillId="0" borderId="0" xfId="0" applyFont="1" applyAlignment="1" applyProtection="1">
      <alignment wrapText="1" readingOrder="1"/>
      <protection locked="0"/>
    </xf>
    <xf numFmtId="0" fontId="75" fillId="0" borderId="0" xfId="0" applyFont="1"/>
    <xf numFmtId="3" fontId="75" fillId="0" borderId="0" xfId="0" applyNumberFormat="1" applyFont="1"/>
    <xf numFmtId="0" fontId="71" fillId="0" borderId="19" xfId="0" applyFont="1" applyBorder="1" applyAlignment="1">
      <alignment horizontal="center" wrapText="1"/>
    </xf>
    <xf numFmtId="173" fontId="57" fillId="0" borderId="19" xfId="0" applyNumberFormat="1" applyFont="1" applyBorder="1" applyAlignment="1">
      <alignment horizontal="center" vertical="center"/>
    </xf>
    <xf numFmtId="173" fontId="57" fillId="0" borderId="21" xfId="0" applyNumberFormat="1" applyFont="1" applyBorder="1" applyAlignment="1">
      <alignment horizontal="center" vertical="center"/>
    </xf>
    <xf numFmtId="173" fontId="57" fillId="58" borderId="21" xfId="0" applyNumberFormat="1" applyFont="1" applyFill="1" applyBorder="1" applyAlignment="1">
      <alignment horizontal="center" vertical="center"/>
    </xf>
    <xf numFmtId="166" fontId="12" fillId="0" borderId="0" xfId="0" applyNumberFormat="1" applyFont="1" applyAlignment="1">
      <alignment vertical="center"/>
    </xf>
    <xf numFmtId="179" fontId="12" fillId="0" borderId="0" xfId="0" applyNumberFormat="1" applyFont="1" applyAlignment="1">
      <alignment vertical="center"/>
    </xf>
    <xf numFmtId="4" fontId="12" fillId="0" borderId="0" xfId="1153" applyNumberFormat="1" applyFont="1" applyFill="1" applyBorder="1" applyAlignment="1">
      <alignment vertical="center"/>
    </xf>
    <xf numFmtId="9" fontId="12" fillId="0" borderId="0" xfId="0" quotePrefix="1" applyNumberFormat="1" applyFont="1" applyAlignment="1">
      <alignment vertical="center"/>
    </xf>
    <xf numFmtId="0" fontId="12" fillId="0" borderId="38" xfId="0" applyFont="1" applyBorder="1" applyAlignment="1">
      <alignment horizontal="center" vertical="center"/>
    </xf>
    <xf numFmtId="3" fontId="12" fillId="0" borderId="38" xfId="0" applyNumberFormat="1" applyFont="1" applyBorder="1" applyAlignment="1">
      <alignment horizontal="center"/>
    </xf>
    <xf numFmtId="0" fontId="71" fillId="0" borderId="33" xfId="0" applyFont="1" applyBorder="1" applyAlignment="1">
      <alignment horizontal="center" vertical="center"/>
    </xf>
    <xf numFmtId="9" fontId="12" fillId="0" borderId="19" xfId="1152" applyNumberFormat="1" applyFont="1" applyFill="1" applyBorder="1" applyAlignment="1">
      <alignment horizontal="center" vertical="center"/>
    </xf>
    <xf numFmtId="166" fontId="71" fillId="0" borderId="19" xfId="0" applyNumberFormat="1" applyFont="1" applyBorder="1" applyAlignment="1">
      <alignment horizontal="left" vertical="center" wrapText="1"/>
    </xf>
    <xf numFmtId="0" fontId="39" fillId="0" borderId="0"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9" fillId="0" borderId="19" xfId="1153" applyNumberFormat="1" applyFont="1" applyFill="1" applyBorder="1" applyAlignment="1">
      <alignment horizontal="left"/>
    </xf>
    <xf numFmtId="0" fontId="12" fillId="0" borderId="19" xfId="1153" applyNumberFormat="1" applyFont="1" applyFill="1" applyBorder="1" applyAlignment="1">
      <alignment horizontal="left"/>
    </xf>
    <xf numFmtId="181" fontId="39" fillId="0" borderId="19" xfId="1152" applyNumberFormat="1" applyFont="1" applyBorder="1" applyAlignment="1">
      <alignment horizontal="center" vertical="center"/>
    </xf>
    <xf numFmtId="17" fontId="12" fillId="0" borderId="19" xfId="1152" applyNumberFormat="1" applyFont="1" applyBorder="1" applyAlignment="1">
      <alignment horizontal="center"/>
    </xf>
    <xf numFmtId="1" fontId="57" fillId="0" borderId="0" xfId="1224" applyNumberFormat="1" applyFont="1" applyAlignment="1">
      <alignment horizontal="center"/>
    </xf>
    <xf numFmtId="0" fontId="57" fillId="0" borderId="0" xfId="0" applyFont="1" applyAlignment="1">
      <alignment vertical="top" wrapText="1"/>
    </xf>
    <xf numFmtId="0" fontId="91" fillId="0" borderId="0" xfId="0" applyFont="1" applyAlignment="1">
      <alignment vertical="top" wrapText="1"/>
    </xf>
    <xf numFmtId="0" fontId="71" fillId="0" borderId="21" xfId="0" applyFont="1" applyBorder="1" applyAlignment="1">
      <alignment horizontal="center" vertical="center" wrapText="1"/>
    </xf>
    <xf numFmtId="0" fontId="91" fillId="0" borderId="42" xfId="0" applyFont="1" applyBorder="1" applyAlignment="1">
      <alignment horizontal="left" vertical="top" wrapText="1"/>
    </xf>
    <xf numFmtId="0" fontId="71" fillId="0" borderId="19" xfId="0" applyFont="1" applyBorder="1" applyAlignment="1">
      <alignment horizontal="center" vertical="top" wrapText="1"/>
    </xf>
    <xf numFmtId="205" fontId="57" fillId="0" borderId="19" xfId="0" applyNumberFormat="1" applyFont="1" applyBorder="1" applyAlignment="1">
      <alignment horizontal="center" vertical="center" wrapText="1"/>
    </xf>
    <xf numFmtId="192" fontId="57" fillId="0" borderId="19" xfId="0" applyNumberFormat="1" applyFont="1" applyBorder="1" applyAlignment="1">
      <alignment horizontal="center" vertical="center" wrapText="1"/>
    </xf>
    <xf numFmtId="192" fontId="57" fillId="0" borderId="0" xfId="0" applyNumberFormat="1" applyFont="1" applyAlignment="1">
      <alignment horizontal="center" vertical="top" wrapText="1"/>
    </xf>
    <xf numFmtId="0" fontId="12" fillId="0" borderId="0" xfId="0" applyFont="1" applyAlignment="1">
      <alignment horizontal="center" wrapText="1"/>
    </xf>
    <xf numFmtId="192" fontId="12" fillId="0" borderId="0" xfId="0" applyNumberFormat="1" applyFont="1" applyAlignment="1">
      <alignment wrapText="1"/>
    </xf>
    <xf numFmtId="192" fontId="57" fillId="58" borderId="19" xfId="0" applyNumberFormat="1" applyFont="1" applyFill="1" applyBorder="1" applyAlignment="1">
      <alignment horizontal="center" vertical="center" wrapText="1"/>
    </xf>
    <xf numFmtId="0" fontId="57" fillId="0" borderId="0" xfId="1225" applyFont="1" applyAlignment="1">
      <alignment vertical="top"/>
    </xf>
    <xf numFmtId="0" fontId="57" fillId="0" borderId="0" xfId="1225" applyFont="1" applyAlignment="1">
      <alignment horizontal="left" vertical="center"/>
    </xf>
    <xf numFmtId="0" fontId="38" fillId="0" borderId="0" xfId="1136" applyFont="1" applyBorder="1" applyAlignment="1" applyProtection="1">
      <alignment horizontal="center" vertical="center"/>
    </xf>
    <xf numFmtId="0" fontId="57" fillId="0" borderId="0" xfId="1225" applyFont="1" applyAlignment="1">
      <alignment horizontal="center" vertical="center"/>
    </xf>
    <xf numFmtId="4" fontId="75" fillId="0" borderId="0" xfId="0" applyNumberFormat="1" applyFont="1"/>
    <xf numFmtId="0" fontId="71" fillId="0" borderId="0" xfId="0" applyFont="1"/>
    <xf numFmtId="176" fontId="57" fillId="0" borderId="0" xfId="0" applyNumberFormat="1" applyFont="1"/>
    <xf numFmtId="3" fontId="57" fillId="0" borderId="19" xfId="0" applyNumberFormat="1" applyFont="1" applyBorder="1" applyAlignment="1">
      <alignment horizontal="left" wrapText="1"/>
    </xf>
    <xf numFmtId="3" fontId="57" fillId="0" borderId="19" xfId="0" applyNumberFormat="1" applyFont="1" applyBorder="1" applyAlignment="1">
      <alignment horizontal="left"/>
    </xf>
    <xf numFmtId="173" fontId="12" fillId="0" borderId="19" xfId="1153" applyNumberFormat="1" applyFont="1" applyBorder="1" applyAlignment="1">
      <alignment horizontal="center" vertical="center" wrapText="1"/>
    </xf>
    <xf numFmtId="173" fontId="12" fillId="0" borderId="19" xfId="1153" quotePrefix="1" applyNumberFormat="1" applyFont="1" applyFill="1" applyBorder="1" applyAlignment="1">
      <alignment horizontal="center" vertical="center"/>
    </xf>
    <xf numFmtId="173" fontId="12" fillId="0" borderId="19" xfId="1153" applyNumberFormat="1" applyFont="1" applyFill="1" applyBorder="1" applyAlignment="1">
      <alignment horizontal="center" vertical="center"/>
    </xf>
    <xf numFmtId="0" fontId="75" fillId="0" borderId="0" xfId="0" applyFont="1" applyAlignment="1">
      <alignment vertical="center"/>
    </xf>
    <xf numFmtId="3" fontId="57" fillId="0" borderId="0" xfId="0" applyNumberFormat="1" applyFont="1" applyAlignment="1">
      <alignment vertical="center"/>
    </xf>
    <xf numFmtId="173" fontId="57" fillId="0" borderId="0" xfId="0" applyNumberFormat="1" applyFont="1" applyAlignment="1">
      <alignment vertical="center"/>
    </xf>
    <xf numFmtId="0" fontId="57" fillId="0" borderId="0" xfId="0" applyFont="1" applyAlignment="1">
      <alignment vertical="center"/>
    </xf>
    <xf numFmtId="3" fontId="57" fillId="0" borderId="0" xfId="1153" applyNumberFormat="1" applyFont="1" applyFill="1" applyBorder="1" applyAlignment="1">
      <alignment vertical="center"/>
    </xf>
    <xf numFmtId="0" fontId="57" fillId="0" borderId="0" xfId="0" quotePrefix="1" applyFont="1" applyAlignment="1">
      <alignment vertical="center"/>
    </xf>
    <xf numFmtId="0" fontId="71" fillId="53" borderId="19" xfId="0" applyFont="1" applyFill="1" applyBorder="1" applyAlignment="1">
      <alignment horizontal="center" vertical="center" wrapText="1"/>
    </xf>
    <xf numFmtId="0" fontId="57" fillId="0" borderId="19" xfId="0" applyFont="1" applyBorder="1" applyAlignment="1">
      <alignment horizontal="center" vertical="center"/>
    </xf>
    <xf numFmtId="17" fontId="70" fillId="0" borderId="0" xfId="0" applyNumberFormat="1" applyFont="1" applyAlignment="1">
      <alignment horizontal="center" wrapText="1"/>
    </xf>
    <xf numFmtId="0" fontId="57" fillId="0" borderId="19" xfId="0" applyFont="1" applyBorder="1" applyAlignment="1">
      <alignment horizontal="left" vertical="center"/>
    </xf>
    <xf numFmtId="200" fontId="12" fillId="0" borderId="19" xfId="1153" applyNumberFormat="1" applyFont="1" applyBorder="1" applyAlignment="1">
      <alignment horizontal="center" vertical="center"/>
    </xf>
    <xf numFmtId="200" fontId="12" fillId="53" borderId="19" xfId="1153" applyNumberFormat="1" applyFont="1" applyFill="1" applyBorder="1" applyAlignment="1">
      <alignment horizontal="center" vertical="center"/>
    </xf>
    <xf numFmtId="203" fontId="34" fillId="0" borderId="19" xfId="1152" applyNumberFormat="1" applyFont="1" applyFill="1" applyBorder="1" applyAlignment="1">
      <alignment horizontal="center" vertical="center"/>
    </xf>
    <xf numFmtId="1" fontId="57" fillId="58" borderId="19" xfId="0" applyNumberFormat="1" applyFont="1" applyFill="1" applyBorder="1" applyAlignment="1">
      <alignment horizontal="center" vertical="center"/>
    </xf>
    <xf numFmtId="3" fontId="57" fillId="0" borderId="0" xfId="0" applyNumberFormat="1" applyFont="1"/>
    <xf numFmtId="211" fontId="57" fillId="58" borderId="19" xfId="0" applyNumberFormat="1" applyFont="1" applyFill="1" applyBorder="1" applyAlignment="1">
      <alignment horizontal="center" vertical="center" wrapText="1"/>
    </xf>
    <xf numFmtId="3" fontId="194" fillId="0" borderId="19" xfId="0" applyNumberFormat="1" applyFont="1" applyBorder="1" applyAlignment="1">
      <alignment horizontal="center" wrapText="1"/>
    </xf>
    <xf numFmtId="3" fontId="194" fillId="0" borderId="19" xfId="0" applyNumberFormat="1" applyFont="1" applyBorder="1" applyAlignment="1">
      <alignment horizontal="center" vertical="center" wrapText="1"/>
    </xf>
    <xf numFmtId="0" fontId="149" fillId="0" borderId="0" xfId="0" applyFont="1" applyAlignment="1">
      <alignment wrapText="1"/>
    </xf>
    <xf numFmtId="1" fontId="170" fillId="0" borderId="0" xfId="1153" applyNumberFormat="1" applyFont="1" applyAlignment="1">
      <alignment horizontal="center"/>
    </xf>
    <xf numFmtId="1" fontId="151" fillId="0" borderId="0" xfId="0" applyNumberFormat="1" applyFont="1"/>
    <xf numFmtId="3" fontId="37" fillId="0" borderId="0" xfId="1900" quotePrefix="1" applyNumberFormat="1" applyFill="1" applyBorder="1" applyAlignment="1">
      <alignment vertical="center"/>
    </xf>
    <xf numFmtId="3" fontId="12" fillId="58" borderId="19" xfId="0" applyNumberFormat="1" applyFont="1" applyFill="1" applyBorder="1" applyAlignment="1">
      <alignment horizontal="right" vertical="center" indent="3"/>
    </xf>
    <xf numFmtId="175" fontId="37" fillId="0" borderId="0" xfId="1900" quotePrefix="1" applyNumberFormat="1" applyAlignment="1">
      <alignment vertical="center"/>
    </xf>
    <xf numFmtId="1" fontId="91" fillId="0" borderId="0" xfId="0" applyNumberFormat="1" applyFont="1"/>
    <xf numFmtId="172" fontId="39" fillId="0" borderId="0" xfId="0" applyNumberFormat="1" applyFont="1" applyAlignment="1">
      <alignment horizontal="center"/>
    </xf>
    <xf numFmtId="9" fontId="198" fillId="0" borderId="19" xfId="0" applyNumberFormat="1" applyFont="1" applyBorder="1" applyAlignment="1">
      <alignment horizontal="center" wrapText="1"/>
    </xf>
    <xf numFmtId="0" fontId="199" fillId="0" borderId="0" xfId="0" applyFont="1"/>
    <xf numFmtId="1" fontId="200" fillId="0" borderId="0" xfId="1243" applyNumberFormat="1" applyFont="1" applyAlignment="1">
      <alignment horizontal="center"/>
    </xf>
    <xf numFmtId="3" fontId="201" fillId="0" borderId="0" xfId="0" applyNumberFormat="1" applyFont="1"/>
    <xf numFmtId="0" fontId="201" fillId="0" borderId="0" xfId="0" applyFont="1"/>
    <xf numFmtId="0" fontId="156" fillId="0" borderId="0" xfId="0" applyFont="1" applyAlignment="1">
      <alignment vertical="center"/>
    </xf>
    <xf numFmtId="173" fontId="202" fillId="0" borderId="19" xfId="0" applyNumberFormat="1" applyFont="1" applyBorder="1" applyAlignment="1">
      <alignment horizontal="center" vertical="center"/>
    </xf>
    <xf numFmtId="0" fontId="198" fillId="0" borderId="0" xfId="0" applyFont="1"/>
    <xf numFmtId="0" fontId="203" fillId="0" borderId="0" xfId="0" applyFont="1"/>
    <xf numFmtId="1" fontId="155" fillId="0" borderId="0" xfId="0" applyNumberFormat="1" applyFont="1" applyAlignment="1">
      <alignment horizontal="center" vertical="center"/>
    </xf>
    <xf numFmtId="4" fontId="198" fillId="0" borderId="0" xfId="0" applyNumberFormat="1" applyFont="1"/>
    <xf numFmtId="177" fontId="37" fillId="0" borderId="0" xfId="1153" applyBorder="1"/>
    <xf numFmtId="10" fontId="12" fillId="58" borderId="19" xfId="0" applyNumberFormat="1" applyFont="1" applyFill="1" applyBorder="1" applyAlignment="1">
      <alignment horizontal="center" vertical="center"/>
    </xf>
    <xf numFmtId="177" fontId="165" fillId="0" borderId="19" xfId="1153" applyFont="1" applyBorder="1" applyAlignment="1">
      <alignment horizontal="right" vertical="center"/>
    </xf>
    <xf numFmtId="1" fontId="12" fillId="0" borderId="0" xfId="0" applyNumberFormat="1" applyFont="1"/>
    <xf numFmtId="4" fontId="153" fillId="0" borderId="0" xfId="0" applyNumberFormat="1" applyFont="1"/>
    <xf numFmtId="4" fontId="151" fillId="0" borderId="0" xfId="0" applyNumberFormat="1" applyFont="1"/>
    <xf numFmtId="193" fontId="149" fillId="0" borderId="0" xfId="0" applyNumberFormat="1" applyFont="1"/>
    <xf numFmtId="0" fontId="211" fillId="0" borderId="0" xfId="0" applyFont="1"/>
    <xf numFmtId="0" fontId="214" fillId="0" borderId="0" xfId="1226" applyFont="1"/>
    <xf numFmtId="0" fontId="212" fillId="0" borderId="0" xfId="1226" applyFont="1" applyAlignment="1">
      <alignment horizontal="center" wrapText="1"/>
    </xf>
    <xf numFmtId="17" fontId="213" fillId="0" borderId="0" xfId="1226" applyNumberFormat="1" applyFont="1" applyAlignment="1">
      <alignment horizontal="center" wrapText="1"/>
    </xf>
    <xf numFmtId="17" fontId="213" fillId="0" borderId="0" xfId="1226" applyNumberFormat="1" applyFont="1" applyAlignment="1">
      <alignment horizontal="center"/>
    </xf>
    <xf numFmtId="0" fontId="71" fillId="0" borderId="19" xfId="0" applyFont="1" applyBorder="1" applyAlignment="1">
      <alignment vertical="center" wrapText="1"/>
    </xf>
    <xf numFmtId="0" fontId="216" fillId="0" borderId="0" xfId="0" applyFont="1"/>
    <xf numFmtId="0" fontId="217" fillId="0" borderId="0" xfId="0" applyFont="1"/>
    <xf numFmtId="0" fontId="219" fillId="0" borderId="0" xfId="0" applyFont="1"/>
    <xf numFmtId="0" fontId="218" fillId="0" borderId="0" xfId="0" applyFont="1"/>
    <xf numFmtId="0" fontId="141" fillId="0" borderId="19" xfId="0" applyFont="1" applyBorder="1" applyAlignment="1">
      <alignment horizontal="left" vertical="center"/>
    </xf>
    <xf numFmtId="3" fontId="141" fillId="0" borderId="19" xfId="0" applyNumberFormat="1" applyFont="1" applyBorder="1" applyAlignment="1">
      <alignment horizontal="center" vertical="center"/>
    </xf>
    <xf numFmtId="0" fontId="141" fillId="0" borderId="19" xfId="0" applyFont="1" applyBorder="1"/>
    <xf numFmtId="0" fontId="141" fillId="0" borderId="19" xfId="0" applyFont="1" applyBorder="1" applyAlignment="1">
      <alignment vertical="center"/>
    </xf>
    <xf numFmtId="175" fontId="141" fillId="0" borderId="19" xfId="0" applyNumberFormat="1" applyFont="1" applyBorder="1" applyAlignment="1">
      <alignment horizontal="center" vertical="center"/>
    </xf>
    <xf numFmtId="10" fontId="141" fillId="0" borderId="19" xfId="0" applyNumberFormat="1" applyFont="1" applyBorder="1" applyAlignment="1">
      <alignment horizontal="center" vertical="center"/>
    </xf>
    <xf numFmtId="9" fontId="141" fillId="0" borderId="19" xfId="0" applyNumberFormat="1" applyFont="1" applyBorder="1" applyAlignment="1">
      <alignment horizontal="center" vertical="center"/>
    </xf>
    <xf numFmtId="0" fontId="221" fillId="53" borderId="0" xfId="0" applyFont="1" applyFill="1" applyAlignment="1">
      <alignment horizontal="right" vertical="center" wrapText="1"/>
    </xf>
    <xf numFmtId="0" fontId="222" fillId="0" borderId="0" xfId="0" applyFont="1" applyAlignment="1">
      <alignment wrapText="1"/>
    </xf>
    <xf numFmtId="0" fontId="222" fillId="0" borderId="0" xfId="0" applyFont="1"/>
    <xf numFmtId="0" fontId="223" fillId="0" borderId="0" xfId="0" applyFont="1"/>
    <xf numFmtId="17" fontId="12" fillId="0" borderId="19" xfId="0" applyNumberFormat="1" applyFont="1" applyBorder="1" applyAlignment="1">
      <alignment horizontal="left"/>
    </xf>
    <xf numFmtId="0" fontId="149" fillId="58" borderId="0" xfId="0" applyFont="1" applyFill="1"/>
    <xf numFmtId="17" fontId="12" fillId="0" borderId="19" xfId="0" applyNumberFormat="1" applyFont="1" applyBorder="1" applyAlignment="1">
      <alignment horizontal="left" vertical="center"/>
    </xf>
    <xf numFmtId="0" fontId="57" fillId="0" borderId="0" xfId="0" applyFont="1" applyAlignment="1">
      <alignment horizontal="left"/>
    </xf>
    <xf numFmtId="3" fontId="57" fillId="0" borderId="0" xfId="0" applyNumberFormat="1" applyFont="1" applyAlignment="1">
      <alignment horizontal="left" wrapText="1"/>
    </xf>
    <xf numFmtId="1" fontId="12" fillId="53" borderId="19" xfId="0" applyNumberFormat="1" applyFont="1" applyFill="1" applyBorder="1" applyAlignment="1">
      <alignment horizontal="center" vertical="center" wrapText="1"/>
    </xf>
    <xf numFmtId="180" fontId="156" fillId="0" borderId="0" xfId="0" applyNumberFormat="1" applyFont="1"/>
    <xf numFmtId="175" fontId="169" fillId="0" borderId="0" xfId="1900" applyNumberFormat="1" applyFont="1" applyFill="1" applyAlignment="1"/>
    <xf numFmtId="3" fontId="153" fillId="0" borderId="0" xfId="0" applyNumberFormat="1" applyFont="1"/>
    <xf numFmtId="175" fontId="149" fillId="0" borderId="0" xfId="0" applyNumberFormat="1" applyFont="1"/>
    <xf numFmtId="10" fontId="149" fillId="0" borderId="0" xfId="0" applyNumberFormat="1" applyFont="1"/>
    <xf numFmtId="3" fontId="149" fillId="0" borderId="0" xfId="0" applyNumberFormat="1" applyFont="1"/>
    <xf numFmtId="9" fontId="149" fillId="0" borderId="0" xfId="0" applyNumberFormat="1" applyFont="1"/>
    <xf numFmtId="0" fontId="224" fillId="0" borderId="0" xfId="0" applyFont="1"/>
    <xf numFmtId="1" fontId="198" fillId="58" borderId="19" xfId="0" applyNumberFormat="1" applyFont="1" applyFill="1" applyBorder="1" applyAlignment="1">
      <alignment horizontal="center" wrapText="1"/>
    </xf>
    <xf numFmtId="14" fontId="149" fillId="0" borderId="0" xfId="0" applyNumberFormat="1" applyFont="1"/>
    <xf numFmtId="1" fontId="149" fillId="0" borderId="0" xfId="0" applyNumberFormat="1" applyFont="1" applyAlignment="1">
      <alignment horizontal="center" vertical="center"/>
    </xf>
    <xf numFmtId="1" fontId="149" fillId="0" borderId="0" xfId="0" applyNumberFormat="1" applyFont="1" applyAlignment="1">
      <alignment horizontal="center"/>
    </xf>
    <xf numFmtId="3" fontId="126" fillId="0" borderId="0" xfId="0" applyNumberFormat="1" applyFont="1"/>
    <xf numFmtId="0" fontId="166" fillId="0" borderId="0" xfId="0" applyFont="1"/>
    <xf numFmtId="0" fontId="156" fillId="58" borderId="0" xfId="0" applyFont="1" applyFill="1"/>
    <xf numFmtId="0" fontId="34" fillId="0" borderId="0" xfId="1232" applyFont="1" applyAlignment="1">
      <alignment horizontal="left"/>
    </xf>
    <xf numFmtId="177" fontId="149" fillId="0" borderId="0" xfId="1153" applyFont="1" applyFill="1" applyBorder="1" applyAlignment="1">
      <alignment wrapText="1"/>
    </xf>
    <xf numFmtId="177" fontId="149" fillId="0" borderId="0" xfId="1153" applyFont="1" applyFill="1" applyAlignment="1">
      <alignment wrapText="1"/>
    </xf>
    <xf numFmtId="3" fontId="149" fillId="0" borderId="0" xfId="1153" applyNumberFormat="1" applyFont="1" applyFill="1" applyAlignment="1">
      <alignment wrapText="1"/>
    </xf>
    <xf numFmtId="0" fontId="149" fillId="0" borderId="0" xfId="1153" applyNumberFormat="1" applyFont="1" applyFill="1" applyAlignment="1">
      <alignment wrapText="1"/>
    </xf>
    <xf numFmtId="2" fontId="12" fillId="0" borderId="19" xfId="0" applyNumberFormat="1" applyFont="1" applyBorder="1" applyAlignment="1">
      <alignment horizontal="center" wrapText="1"/>
    </xf>
    <xf numFmtId="166" fontId="12" fillId="0" borderId="19" xfId="1152" applyNumberFormat="1" applyFont="1" applyFill="1" applyBorder="1" applyAlignment="1">
      <alignment horizontal="center" vertical="center"/>
    </xf>
    <xf numFmtId="0" fontId="12" fillId="0" borderId="19" xfId="1152" applyNumberFormat="1" applyFont="1" applyFill="1" applyBorder="1" applyAlignment="1">
      <alignment horizontal="center" vertical="center"/>
    </xf>
    <xf numFmtId="0" fontId="226" fillId="0" borderId="0" xfId="0" applyFont="1" applyAlignment="1">
      <alignment horizontal="right" vertical="center" wrapText="1"/>
    </xf>
    <xf numFmtId="173" fontId="156" fillId="0" borderId="0" xfId="0" applyNumberFormat="1" applyFont="1"/>
    <xf numFmtId="0" fontId="227" fillId="0" borderId="0" xfId="0" applyFont="1"/>
    <xf numFmtId="0" fontId="228" fillId="53" borderId="0" xfId="0" applyFont="1" applyFill="1" applyAlignment="1">
      <alignment horizontal="right" vertical="center" wrapText="1"/>
    </xf>
    <xf numFmtId="0" fontId="229" fillId="0" borderId="0" xfId="0" applyFont="1"/>
    <xf numFmtId="3" fontId="227" fillId="0" borderId="0" xfId="0" applyNumberFormat="1" applyFont="1"/>
    <xf numFmtId="0" fontId="150" fillId="0" borderId="19" xfId="0" applyFont="1" applyBorder="1" applyAlignment="1">
      <alignment horizontal="center"/>
    </xf>
    <xf numFmtId="0" fontId="205" fillId="0" borderId="0" xfId="0" applyFont="1"/>
    <xf numFmtId="212" fontId="57" fillId="0" borderId="19" xfId="0" applyNumberFormat="1" applyFont="1" applyBorder="1" applyAlignment="1">
      <alignment horizontal="center" vertical="center" wrapText="1"/>
    </xf>
    <xf numFmtId="1" fontId="12" fillId="0" borderId="19" xfId="1153" applyNumberFormat="1" applyFont="1" applyFill="1" applyBorder="1" applyAlignment="1">
      <alignment horizontal="center" vertical="center"/>
    </xf>
    <xf numFmtId="207" fontId="225" fillId="0" borderId="0" xfId="0" applyNumberFormat="1" applyFont="1"/>
    <xf numFmtId="0" fontId="163" fillId="0" borderId="0" xfId="0" applyFont="1"/>
    <xf numFmtId="0" fontId="230" fillId="0" borderId="0" xfId="0" applyFont="1" applyAlignment="1">
      <alignment wrapText="1"/>
    </xf>
    <xf numFmtId="0" fontId="230" fillId="0" borderId="0" xfId="0" applyFont="1"/>
    <xf numFmtId="9" fontId="37" fillId="0" borderId="0" xfId="1900" applyAlignment="1">
      <alignment wrapText="1"/>
    </xf>
    <xf numFmtId="175" fontId="39" fillId="0" borderId="0" xfId="0" applyNumberFormat="1" applyFont="1"/>
    <xf numFmtId="0" fontId="231" fillId="0" borderId="0" xfId="0" applyFont="1"/>
    <xf numFmtId="4" fontId="231" fillId="0" borderId="0" xfId="0" applyNumberFormat="1" applyFont="1"/>
    <xf numFmtId="0" fontId="195" fillId="0" borderId="0" xfId="0" applyFont="1"/>
    <xf numFmtId="177" fontId="179" fillId="0" borderId="0" xfId="1153" applyFont="1" applyBorder="1"/>
    <xf numFmtId="175" fontId="232" fillId="0" borderId="0" xfId="1900" applyNumberFormat="1" applyFont="1" applyBorder="1"/>
    <xf numFmtId="177" fontId="179" fillId="0" borderId="0" xfId="1153" applyFont="1" applyFill="1" applyBorder="1" applyAlignment="1"/>
    <xf numFmtId="210" fontId="163" fillId="0" borderId="0" xfId="1153" applyNumberFormat="1" applyFont="1" applyFill="1" applyBorder="1" applyAlignment="1"/>
    <xf numFmtId="0" fontId="233" fillId="0" borderId="0" xfId="0" applyFont="1"/>
    <xf numFmtId="0" fontId="234" fillId="0" borderId="0" xfId="0" applyFont="1"/>
    <xf numFmtId="175" fontId="37" fillId="0" borderId="0" xfId="1900" applyNumberFormat="1" applyBorder="1"/>
    <xf numFmtId="9" fontId="163" fillId="0" borderId="0" xfId="1900" applyFont="1"/>
    <xf numFmtId="3" fontId="235" fillId="0" borderId="0" xfId="0" applyNumberFormat="1" applyFont="1" applyAlignment="1">
      <alignment horizontal="center" vertical="center"/>
    </xf>
    <xf numFmtId="1" fontId="163" fillId="0" borderId="0" xfId="1900" applyNumberFormat="1" applyFont="1"/>
    <xf numFmtId="37" fontId="156" fillId="0" borderId="0" xfId="0" applyNumberFormat="1" applyFont="1"/>
    <xf numFmtId="0" fontId="166" fillId="58" borderId="0" xfId="0" applyFont="1" applyFill="1"/>
    <xf numFmtId="0" fontId="166" fillId="0" borderId="0" xfId="0" applyFont="1" applyAlignment="1">
      <alignment horizontal="right"/>
    </xf>
    <xf numFmtId="173" fontId="166" fillId="0" borderId="0" xfId="0" applyNumberFormat="1" applyFont="1"/>
    <xf numFmtId="177" fontId="166" fillId="0" borderId="0" xfId="0" applyNumberFormat="1" applyFont="1"/>
    <xf numFmtId="0" fontId="228" fillId="53" borderId="26" xfId="0" applyFont="1" applyFill="1" applyBorder="1" applyAlignment="1">
      <alignment horizontal="right" vertical="center" wrapText="1"/>
    </xf>
    <xf numFmtId="10" fontId="37" fillId="0" borderId="0" xfId="1900" applyNumberFormat="1" applyFill="1"/>
    <xf numFmtId="214" fontId="12" fillId="0" borderId="19" xfId="0" applyNumberFormat="1" applyFont="1" applyBorder="1" applyAlignment="1">
      <alignment horizontal="center" vertical="center"/>
    </xf>
    <xf numFmtId="194" fontId="12" fillId="0" borderId="19" xfId="0" applyNumberFormat="1" applyFont="1" applyBorder="1" applyAlignment="1">
      <alignment horizontal="center" vertical="center"/>
    </xf>
    <xf numFmtId="214" fontId="12" fillId="0" borderId="21" xfId="0" applyNumberFormat="1" applyFont="1" applyBorder="1" applyAlignment="1">
      <alignment horizontal="center" vertical="center"/>
    </xf>
    <xf numFmtId="194" fontId="12" fillId="0" borderId="21" xfId="0" applyNumberFormat="1" applyFont="1" applyBorder="1" applyAlignment="1">
      <alignment horizontal="center" vertical="center"/>
    </xf>
    <xf numFmtId="9" fontId="165" fillId="0" borderId="19" xfId="1900" applyFont="1" applyBorder="1" applyAlignment="1">
      <alignment horizontal="center" vertical="center"/>
    </xf>
    <xf numFmtId="9" fontId="236" fillId="0" borderId="19" xfId="1900" applyFont="1" applyBorder="1" applyAlignment="1">
      <alignment horizontal="center" vertical="center"/>
    </xf>
    <xf numFmtId="3" fontId="237" fillId="58" borderId="19" xfId="0" applyNumberFormat="1" applyFont="1" applyFill="1" applyBorder="1" applyAlignment="1">
      <alignment horizontal="center"/>
    </xf>
    <xf numFmtId="184" fontId="237" fillId="0" borderId="19" xfId="0" applyNumberFormat="1" applyFont="1" applyBorder="1" applyAlignment="1">
      <alignment horizontal="center" vertical="center"/>
    </xf>
    <xf numFmtId="9" fontId="238" fillId="0" borderId="19" xfId="1900" applyFont="1" applyBorder="1" applyAlignment="1">
      <alignment horizontal="center" vertical="center"/>
    </xf>
    <xf numFmtId="9" fontId="239" fillId="0" borderId="0" xfId="1900" applyFont="1"/>
    <xf numFmtId="177" fontId="239" fillId="0" borderId="0" xfId="1153" applyFont="1"/>
    <xf numFmtId="0" fontId="240" fillId="0" borderId="0" xfId="0" applyFont="1"/>
    <xf numFmtId="1" fontId="241" fillId="0" borderId="19" xfId="0" applyNumberFormat="1" applyFont="1" applyBorder="1" applyAlignment="1">
      <alignment horizontal="center" vertical="center"/>
    </xf>
    <xf numFmtId="1" fontId="242" fillId="0" borderId="19" xfId="0" applyNumberFormat="1" applyFont="1" applyBorder="1" applyAlignment="1">
      <alignment horizontal="center" vertical="center"/>
    </xf>
    <xf numFmtId="9" fontId="163" fillId="0" borderId="0" xfId="1900" applyFont="1" applyBorder="1"/>
    <xf numFmtId="1" fontId="163" fillId="0" borderId="0" xfId="1900" applyNumberFormat="1" applyFont="1" applyBorder="1"/>
    <xf numFmtId="213" fontId="156" fillId="0" borderId="0" xfId="3063" applyNumberFormat="1" applyFont="1" applyBorder="1"/>
    <xf numFmtId="3" fontId="163" fillId="0" borderId="0" xfId="1900" applyNumberFormat="1" applyFont="1" applyBorder="1"/>
    <xf numFmtId="184" fontId="156" fillId="0" borderId="0" xfId="0" applyNumberFormat="1" applyFont="1"/>
    <xf numFmtId="166" fontId="12" fillId="0" borderId="0" xfId="1152" applyNumberFormat="1" applyFont="1" applyFill="1" applyBorder="1" applyAlignment="1">
      <alignment horizontal="center" vertical="center"/>
    </xf>
    <xf numFmtId="0" fontId="225" fillId="0" borderId="0" xfId="0" applyFont="1"/>
    <xf numFmtId="17" fontId="225" fillId="0" borderId="0" xfId="0" applyNumberFormat="1" applyFont="1"/>
    <xf numFmtId="14" fontId="225" fillId="0" borderId="0" xfId="0" applyNumberFormat="1" applyFont="1"/>
    <xf numFmtId="1" fontId="225" fillId="0" borderId="0" xfId="0" applyNumberFormat="1" applyFont="1"/>
    <xf numFmtId="37" fontId="237" fillId="0" borderId="19" xfId="0" applyNumberFormat="1" applyFont="1" applyBorder="1" applyAlignment="1">
      <alignment horizontal="center"/>
    </xf>
    <xf numFmtId="3" fontId="169" fillId="0" borderId="0" xfId="0" applyNumberFormat="1" applyFont="1" applyAlignment="1">
      <alignment wrapText="1"/>
    </xf>
    <xf numFmtId="0" fontId="169" fillId="0" borderId="0" xfId="0" applyFont="1" applyAlignment="1">
      <alignment wrapText="1"/>
    </xf>
    <xf numFmtId="0" fontId="169" fillId="0" borderId="0" xfId="0" applyFont="1" applyAlignment="1">
      <alignment horizontal="left" wrapText="1"/>
    </xf>
    <xf numFmtId="14" fontId="169" fillId="0" borderId="0" xfId="0" applyNumberFormat="1" applyFont="1"/>
    <xf numFmtId="3" fontId="169" fillId="0" borderId="0" xfId="0" applyNumberFormat="1" applyFont="1"/>
    <xf numFmtId="0" fontId="169" fillId="0" borderId="0" xfId="0" applyFont="1"/>
    <xf numFmtId="176" fontId="169" fillId="0" borderId="0" xfId="0" applyNumberFormat="1" applyFont="1"/>
    <xf numFmtId="2" fontId="169" fillId="0" borderId="0" xfId="0" applyNumberFormat="1" applyFont="1"/>
    <xf numFmtId="175" fontId="169" fillId="0" borderId="0" xfId="1900" applyNumberFormat="1" applyFont="1"/>
    <xf numFmtId="0" fontId="222" fillId="58" borderId="0" xfId="0" applyFont="1" applyFill="1"/>
    <xf numFmtId="165" fontId="222" fillId="58" borderId="0" xfId="0" applyNumberFormat="1" applyFont="1" applyFill="1" applyAlignment="1">
      <alignment horizontal="center"/>
    </xf>
    <xf numFmtId="0" fontId="222" fillId="58" borderId="0" xfId="0" applyFont="1" applyFill="1" applyAlignment="1">
      <alignment horizontal="center"/>
    </xf>
    <xf numFmtId="9" fontId="37" fillId="0" borderId="0" xfId="1900" applyAlignment="1">
      <alignment horizontal="left"/>
    </xf>
    <xf numFmtId="0" fontId="12" fillId="58" borderId="0" xfId="0" applyFont="1" applyFill="1"/>
    <xf numFmtId="168" fontId="32" fillId="0" borderId="0" xfId="1900" applyNumberFormat="1" applyFont="1" applyFill="1"/>
    <xf numFmtId="166" fontId="32" fillId="0" borderId="0" xfId="1900" applyNumberFormat="1" applyFont="1" applyFill="1"/>
    <xf numFmtId="173" fontId="155" fillId="0" borderId="19" xfId="0" applyNumberFormat="1" applyFont="1" applyBorder="1" applyAlignment="1">
      <alignment horizontal="center" vertical="center"/>
    </xf>
    <xf numFmtId="180" fontId="39" fillId="0" borderId="0" xfId="1152" applyNumberFormat="1" applyFont="1" applyFill="1" applyBorder="1" applyAlignment="1">
      <alignment horizontal="center" vertical="center" wrapText="1"/>
    </xf>
    <xf numFmtId="0" fontId="33" fillId="0" borderId="0" xfId="0" applyFont="1" applyBorder="1"/>
    <xf numFmtId="166" fontId="32" fillId="0" borderId="0" xfId="1900" applyNumberFormat="1" applyFont="1" applyFill="1" applyBorder="1"/>
    <xf numFmtId="1" fontId="34" fillId="0" borderId="0" xfId="0" applyNumberFormat="1" applyFont="1" applyBorder="1"/>
    <xf numFmtId="0" fontId="34" fillId="0" borderId="0" xfId="0" applyFont="1" applyBorder="1"/>
    <xf numFmtId="9" fontId="32" fillId="0" borderId="0" xfId="1900" applyFont="1" applyFill="1" applyBorder="1"/>
    <xf numFmtId="207" fontId="149" fillId="0" borderId="0" xfId="0" applyNumberFormat="1" applyFont="1" applyFill="1"/>
    <xf numFmtId="17" fontId="149" fillId="0" borderId="0" xfId="0" applyNumberFormat="1" applyFont="1" applyFill="1"/>
    <xf numFmtId="0" fontId="149" fillId="0" borderId="0" xfId="0" applyFont="1" applyFill="1"/>
    <xf numFmtId="207" fontId="151" fillId="0" borderId="0" xfId="0" applyNumberFormat="1" applyFont="1" applyFill="1"/>
    <xf numFmtId="1" fontId="151" fillId="0" borderId="0" xfId="0" applyNumberFormat="1" applyFont="1" applyFill="1"/>
    <xf numFmtId="0" fontId="151" fillId="0" borderId="0" xfId="0" applyFont="1" applyFill="1"/>
    <xf numFmtId="0" fontId="149" fillId="0" borderId="0" xfId="0" applyFont="1" applyFill="1" applyAlignment="1">
      <alignment wrapText="1"/>
    </xf>
    <xf numFmtId="0" fontId="151" fillId="0" borderId="0" xfId="0" applyFont="1" applyFill="1" applyAlignment="1">
      <alignment wrapText="1"/>
    </xf>
    <xf numFmtId="3" fontId="151" fillId="0" borderId="0" xfId="0" applyNumberFormat="1" applyFont="1" applyFill="1"/>
    <xf numFmtId="207" fontId="151" fillId="0" borderId="0" xfId="0" applyNumberFormat="1" applyFont="1" applyFill="1" applyAlignment="1">
      <alignment horizontal="right"/>
    </xf>
    <xf numFmtId="2" fontId="151" fillId="0" borderId="0" xfId="0" applyNumberFormat="1" applyFont="1" applyFill="1"/>
    <xf numFmtId="0" fontId="39" fillId="0" borderId="0" xfId="0" applyFont="1" applyAlignment="1">
      <alignment wrapText="1"/>
    </xf>
    <xf numFmtId="0" fontId="34" fillId="0" borderId="0" xfId="0" applyFont="1" applyBorder="1" applyAlignment="1">
      <alignment vertical="center" wrapText="1"/>
    </xf>
    <xf numFmtId="0" fontId="71" fillId="0" borderId="0" xfId="0" applyFont="1" applyBorder="1" applyAlignment="1"/>
    <xf numFmtId="0" fontId="0" fillId="0" borderId="0" xfId="0" applyBorder="1"/>
    <xf numFmtId="0" fontId="39" fillId="0" borderId="0" xfId="0" applyFont="1" applyAlignment="1"/>
    <xf numFmtId="17" fontId="12" fillId="0" borderId="19" xfId="1152" applyNumberFormat="1" applyFont="1" applyFill="1" applyBorder="1" applyAlignment="1">
      <alignment horizontal="left" wrapText="1"/>
    </xf>
    <xf numFmtId="183" fontId="34" fillId="0" borderId="0" xfId="0" applyNumberFormat="1" applyFont="1" applyAlignment="1">
      <alignment wrapText="1"/>
    </xf>
    <xf numFmtId="183" fontId="34" fillId="0" borderId="0" xfId="0" applyNumberFormat="1" applyFont="1" applyAlignment="1">
      <alignment vertical="top" wrapText="1"/>
    </xf>
    <xf numFmtId="176" fontId="204" fillId="58" borderId="19" xfId="1153" applyNumberFormat="1" applyFont="1" applyFill="1" applyBorder="1" applyAlignment="1">
      <alignment horizontal="center" vertical="center"/>
    </xf>
    <xf numFmtId="176" fontId="150" fillId="0" borderId="19" xfId="1153" applyNumberFormat="1" applyFont="1" applyFill="1" applyBorder="1" applyAlignment="1">
      <alignment horizontal="center" vertical="center"/>
    </xf>
    <xf numFmtId="3" fontId="237" fillId="0" borderId="0" xfId="0" applyNumberFormat="1" applyFont="1" applyAlignment="1">
      <alignment horizontal="center"/>
    </xf>
    <xf numFmtId="0" fontId="225" fillId="0" borderId="0" xfId="0" applyFont="1" applyAlignment="1">
      <alignment horizontal="right"/>
    </xf>
    <xf numFmtId="15" fontId="225" fillId="0" borderId="0" xfId="0" applyNumberFormat="1" applyFont="1"/>
    <xf numFmtId="0" fontId="210" fillId="0" borderId="0" xfId="1226" applyFont="1" applyAlignment="1">
      <alignment horizontal="center"/>
    </xf>
    <xf numFmtId="17" fontId="213" fillId="0" borderId="0" xfId="1226" applyNumberFormat="1" applyFont="1" applyAlignment="1">
      <alignment horizontal="center" wrapText="1"/>
    </xf>
    <xf numFmtId="17" fontId="213" fillId="0" borderId="0" xfId="1226" applyNumberFormat="1" applyFont="1" applyAlignment="1">
      <alignment horizontal="center"/>
    </xf>
    <xf numFmtId="0" fontId="214" fillId="0" borderId="0" xfId="1226" applyFont="1" applyAlignment="1">
      <alignment horizontal="center"/>
    </xf>
    <xf numFmtId="0" fontId="213" fillId="53" borderId="0" xfId="1226" applyFont="1" applyFill="1" applyAlignment="1">
      <alignment horizontal="center"/>
    </xf>
    <xf numFmtId="0" fontId="115" fillId="0" borderId="0" xfId="1226" applyFont="1" applyAlignment="1">
      <alignment horizontal="center"/>
    </xf>
    <xf numFmtId="0" fontId="215" fillId="0" borderId="0" xfId="1226" applyFont="1" applyAlignment="1">
      <alignment horizontal="center"/>
    </xf>
    <xf numFmtId="0" fontId="208" fillId="0" borderId="0" xfId="1226" applyFont="1" applyAlignment="1">
      <alignment horizontal="center" wrapText="1"/>
    </xf>
    <xf numFmtId="0" fontId="41" fillId="0" borderId="0" xfId="1226" applyFont="1" applyAlignment="1">
      <alignment horizontal="left" wrapText="1"/>
    </xf>
    <xf numFmtId="0" fontId="120" fillId="0" borderId="0" xfId="1226" applyFont="1" applyAlignment="1">
      <alignment horizontal="center"/>
    </xf>
    <xf numFmtId="0" fontId="212" fillId="0" borderId="0" xfId="1226" applyFont="1" applyAlignment="1">
      <alignment horizontal="center" wrapText="1"/>
    </xf>
    <xf numFmtId="49" fontId="209" fillId="0" borderId="0" xfId="1226" applyNumberFormat="1" applyFont="1" applyAlignment="1">
      <alignment horizontal="center" vertical="center"/>
    </xf>
    <xf numFmtId="0" fontId="39" fillId="0" borderId="0" xfId="0" applyFont="1" applyAlignment="1">
      <alignment horizontal="center"/>
    </xf>
    <xf numFmtId="0" fontId="82" fillId="0" borderId="0" xfId="0" applyFont="1" applyAlignment="1">
      <alignment horizontal="center"/>
    </xf>
    <xf numFmtId="49" fontId="12" fillId="0" borderId="0" xfId="0" applyNumberFormat="1" applyFont="1" applyAlignment="1">
      <alignment horizontal="justify" vertical="top" wrapText="1"/>
    </xf>
    <xf numFmtId="0" fontId="57" fillId="0" borderId="0" xfId="1224" applyFont="1" applyAlignment="1">
      <alignment horizontal="left" vertical="center" wrapText="1"/>
    </xf>
    <xf numFmtId="0" fontId="12" fillId="0" borderId="0" xfId="1224" applyFont="1" applyAlignment="1">
      <alignment horizontal="left" vertical="top"/>
    </xf>
    <xf numFmtId="0" fontId="12" fillId="0" borderId="0" xfId="1224" applyFont="1" applyAlignment="1">
      <alignment horizontal="left" vertical="center" wrapText="1"/>
    </xf>
    <xf numFmtId="0" fontId="12" fillId="0" borderId="0" xfId="1224" applyFont="1" applyAlignment="1">
      <alignment horizontal="left" vertical="center"/>
    </xf>
    <xf numFmtId="0" fontId="57" fillId="0" borderId="0" xfId="1224" applyFont="1" applyAlignment="1">
      <alignment horizontal="left" vertical="top" wrapText="1"/>
    </xf>
    <xf numFmtId="0" fontId="57" fillId="0" borderId="0" xfId="1224" applyFont="1" applyAlignment="1">
      <alignment vertical="center"/>
    </xf>
    <xf numFmtId="0" fontId="12" fillId="0" borderId="0" xfId="1224" applyFont="1" applyAlignment="1">
      <alignment horizontal="left" vertical="top" wrapText="1"/>
    </xf>
    <xf numFmtId="0" fontId="39" fillId="0" borderId="0" xfId="1884" applyFont="1" applyAlignment="1">
      <alignment horizontal="center" vertical="center"/>
    </xf>
    <xf numFmtId="0" fontId="57" fillId="0" borderId="0" xfId="1224" applyFont="1" applyAlignment="1">
      <alignment vertical="center" wrapText="1"/>
    </xf>
    <xf numFmtId="0" fontId="65" fillId="0" borderId="0" xfId="1265" applyFont="1" applyAlignment="1" applyProtection="1">
      <alignment horizontal="right" wrapText="1" readingOrder="1"/>
      <protection locked="0"/>
    </xf>
    <xf numFmtId="0" fontId="64" fillId="0" borderId="0" xfId="1265" applyAlignment="1">
      <alignment wrapText="1"/>
    </xf>
    <xf numFmtId="0" fontId="34" fillId="0" borderId="0" xfId="0" applyFont="1" applyAlignment="1">
      <alignment horizontal="center" wrapText="1"/>
    </xf>
    <xf numFmtId="0" fontId="34" fillId="0" borderId="0" xfId="0" applyFont="1" applyAlignment="1">
      <alignment horizontal="left" vertical="top" wrapText="1"/>
    </xf>
    <xf numFmtId="0" fontId="71" fillId="0" borderId="0" xfId="0" applyFont="1" applyAlignment="1">
      <alignment horizontal="center" wrapText="1"/>
    </xf>
    <xf numFmtId="0" fontId="39" fillId="0" borderId="39" xfId="0" applyFont="1" applyBorder="1" applyAlignment="1">
      <alignment horizontal="center"/>
    </xf>
    <xf numFmtId="0" fontId="34" fillId="0" borderId="0" xfId="0" applyFont="1" applyAlignment="1">
      <alignment wrapText="1"/>
    </xf>
    <xf numFmtId="0" fontId="34" fillId="0" borderId="19" xfId="0" applyFont="1" applyBorder="1" applyAlignment="1">
      <alignment wrapText="1"/>
    </xf>
    <xf numFmtId="0" fontId="57" fillId="58" borderId="19" xfId="0" applyFont="1" applyFill="1" applyBorder="1" applyAlignment="1">
      <alignment horizontal="left" vertical="center" wrapText="1"/>
    </xf>
    <xf numFmtId="2" fontId="57" fillId="58" borderId="19" xfId="0" applyNumberFormat="1" applyFont="1" applyFill="1" applyBorder="1" applyAlignment="1">
      <alignment horizontal="left" vertical="center" wrapText="1"/>
    </xf>
    <xf numFmtId="0" fontId="39" fillId="0" borderId="0" xfId="0" applyFont="1" applyAlignment="1">
      <alignment horizontal="center" vertical="center"/>
    </xf>
    <xf numFmtId="0" fontId="39" fillId="0" borderId="0" xfId="0" applyFont="1" applyAlignment="1">
      <alignment horizontal="center" vertical="center" wrapText="1"/>
    </xf>
    <xf numFmtId="0" fontId="71" fillId="0" borderId="0" xfId="0" applyFont="1" applyAlignment="1">
      <alignment horizontal="center" vertical="center" wrapText="1"/>
    </xf>
    <xf numFmtId="0" fontId="34" fillId="0" borderId="19" xfId="0" applyFont="1" applyBorder="1" applyAlignment="1">
      <alignment horizontal="left" vertical="center" wrapText="1"/>
    </xf>
    <xf numFmtId="0" fontId="39" fillId="0" borderId="19" xfId="0" applyFont="1" applyBorder="1" applyAlignment="1">
      <alignment horizontal="center" vertical="center"/>
    </xf>
    <xf numFmtId="0" fontId="34" fillId="0" borderId="35" xfId="1882" applyFont="1" applyBorder="1" applyAlignment="1">
      <alignment horizontal="left" vertical="center" wrapText="1"/>
    </xf>
    <xf numFmtId="0" fontId="34" fillId="0" borderId="20" xfId="1882" applyFont="1" applyBorder="1" applyAlignment="1">
      <alignment horizontal="left" vertical="center" wrapText="1"/>
    </xf>
    <xf numFmtId="0" fontId="34" fillId="0" borderId="38" xfId="1882" applyFont="1" applyBorder="1" applyAlignment="1">
      <alignment horizontal="left" vertical="center" wrapText="1"/>
    </xf>
    <xf numFmtId="0" fontId="39" fillId="0" borderId="0" xfId="1882" applyFont="1" applyAlignment="1">
      <alignment horizontal="center" vertical="center" wrapText="1"/>
    </xf>
    <xf numFmtId="0" fontId="39" fillId="0" borderId="0" xfId="1882" applyFont="1" applyAlignment="1">
      <alignment horizontal="center" vertical="center"/>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34" fillId="0" borderId="20" xfId="1882" applyFont="1" applyBorder="1" applyAlignment="1">
      <alignment horizontal="left" vertical="center"/>
    </xf>
    <xf numFmtId="0" fontId="34" fillId="0" borderId="38" xfId="1882" applyFont="1" applyBorder="1" applyAlignment="1">
      <alignment horizontal="left" vertical="center"/>
    </xf>
    <xf numFmtId="0" fontId="12" fillId="0" borderId="40" xfId="1882" applyFont="1" applyBorder="1" applyAlignment="1">
      <alignment horizontal="center" vertical="center"/>
    </xf>
    <xf numFmtId="0" fontId="12" fillId="0" borderId="33" xfId="1882" applyFont="1" applyBorder="1" applyAlignment="1">
      <alignment horizontal="center" vertical="center"/>
    </xf>
    <xf numFmtId="0" fontId="12" fillId="0" borderId="35" xfId="0" applyFont="1" applyBorder="1" applyAlignment="1">
      <alignment horizontal="left" vertical="center" wrapText="1"/>
    </xf>
    <xf numFmtId="0" fontId="12" fillId="0" borderId="19" xfId="0" applyFont="1" applyBorder="1" applyAlignment="1">
      <alignment horizontal="left" vertical="center" wrapText="1"/>
    </xf>
    <xf numFmtId="0" fontId="12" fillId="0" borderId="35"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Alignment="1">
      <alignment horizontal="center" vertical="center" wrapText="1"/>
    </xf>
    <xf numFmtId="0" fontId="71" fillId="0" borderId="0" xfId="0" applyFont="1" applyAlignment="1">
      <alignment horizontal="center" vertical="center"/>
    </xf>
    <xf numFmtId="0" fontId="57" fillId="0" borderId="19" xfId="0" applyFont="1" applyBorder="1" applyAlignment="1">
      <alignment horizontal="center" vertical="center" wrapText="1"/>
    </xf>
    <xf numFmtId="0" fontId="70" fillId="0" borderId="19" xfId="0" applyFont="1" applyBorder="1" applyAlignment="1">
      <alignment horizontal="left" wrapText="1"/>
    </xf>
    <xf numFmtId="0" fontId="12" fillId="0" borderId="38" xfId="0" applyFont="1" applyBorder="1" applyAlignment="1">
      <alignment horizontal="left" vertical="center" wrapText="1"/>
    </xf>
    <xf numFmtId="0" fontId="34" fillId="0" borderId="33" xfId="0" applyFont="1" applyBorder="1" applyAlignment="1">
      <alignment horizontal="left" wrapText="1"/>
    </xf>
    <xf numFmtId="0" fontId="70" fillId="0" borderId="35" xfId="0" applyFont="1" applyBorder="1" applyAlignment="1">
      <alignment horizontal="left"/>
    </xf>
    <xf numFmtId="0" fontId="70" fillId="0" borderId="20" xfId="0" applyFont="1" applyBorder="1" applyAlignment="1">
      <alignment horizontal="left"/>
    </xf>
    <xf numFmtId="0" fontId="70" fillId="0" borderId="38" xfId="0" applyFont="1" applyBorder="1" applyAlignment="1">
      <alignment horizontal="left"/>
    </xf>
    <xf numFmtId="0" fontId="12" fillId="0" borderId="35" xfId="0" applyFont="1" applyBorder="1" applyAlignment="1">
      <alignment horizontal="left"/>
    </xf>
    <xf numFmtId="0" fontId="12" fillId="0" borderId="19" xfId="0" applyFont="1" applyBorder="1" applyAlignment="1">
      <alignment horizontal="left"/>
    </xf>
    <xf numFmtId="0" fontId="70" fillId="0" borderId="21" xfId="0" applyFont="1" applyBorder="1" applyAlignment="1">
      <alignment horizontal="left"/>
    </xf>
    <xf numFmtId="0" fontId="12" fillId="0" borderId="19" xfId="0" applyFont="1" applyBorder="1" applyAlignment="1">
      <alignment horizontal="center"/>
    </xf>
    <xf numFmtId="0" fontId="12" fillId="0" borderId="35" xfId="0" applyFont="1" applyBorder="1" applyAlignment="1">
      <alignment horizontal="center"/>
    </xf>
    <xf numFmtId="0" fontId="12" fillId="0" borderId="20" xfId="0" applyFont="1" applyBorder="1" applyAlignment="1">
      <alignment horizontal="center"/>
    </xf>
    <xf numFmtId="0" fontId="12" fillId="0" borderId="38" xfId="0" applyFont="1" applyBorder="1" applyAlignment="1">
      <alignment horizontal="center"/>
    </xf>
    <xf numFmtId="0" fontId="70" fillId="0" borderId="35" xfId="0" applyFont="1" applyBorder="1" applyAlignment="1">
      <alignment horizontal="left" wrapText="1"/>
    </xf>
    <xf numFmtId="0" fontId="70" fillId="0" borderId="20" xfId="0" applyFont="1" applyBorder="1" applyAlignment="1">
      <alignment horizontal="left" wrapText="1"/>
    </xf>
    <xf numFmtId="0" fontId="70" fillId="0" borderId="38" xfId="0" applyFont="1" applyBorder="1" applyAlignment="1">
      <alignment horizontal="left" wrapText="1"/>
    </xf>
    <xf numFmtId="0" fontId="71" fillId="0" borderId="19"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0" fontId="34" fillId="0" borderId="35" xfId="0" applyFont="1" applyBorder="1" applyAlignment="1">
      <alignment horizontal="left" vertical="center" wrapText="1"/>
    </xf>
    <xf numFmtId="0" fontId="34" fillId="0" borderId="20" xfId="0" applyFont="1" applyBorder="1" applyAlignment="1">
      <alignment horizontal="left" vertical="center" wrapText="1"/>
    </xf>
    <xf numFmtId="0" fontId="34" fillId="0" borderId="38" xfId="0" applyFont="1" applyBorder="1" applyAlignment="1">
      <alignment horizontal="left" vertical="center" wrapText="1"/>
    </xf>
    <xf numFmtId="0" fontId="71" fillId="0" borderId="39" xfId="0" applyFont="1" applyBorder="1" applyAlignment="1">
      <alignment horizontal="center"/>
    </xf>
    <xf numFmtId="0" fontId="71" fillId="0" borderId="0" xfId="0" applyFont="1" applyAlignment="1">
      <alignment horizontal="center"/>
    </xf>
    <xf numFmtId="172" fontId="39" fillId="0" borderId="0" xfId="0" applyNumberFormat="1" applyFont="1" applyAlignment="1">
      <alignment horizontal="center"/>
    </xf>
    <xf numFmtId="0" fontId="34" fillId="0" borderId="0" xfId="0" applyFont="1" applyAlignment="1">
      <alignment horizontal="left"/>
    </xf>
    <xf numFmtId="0" fontId="71" fillId="5" borderId="39" xfId="0" applyFont="1" applyFill="1" applyBorder="1" applyAlignment="1">
      <alignment horizontal="center"/>
    </xf>
    <xf numFmtId="0" fontId="39" fillId="0" borderId="33" xfId="0" applyFont="1" applyBorder="1" applyAlignment="1">
      <alignment horizontal="center" vertical="center"/>
    </xf>
    <xf numFmtId="0" fontId="34" fillId="0" borderId="35" xfId="0" applyFont="1" applyBorder="1" applyAlignment="1">
      <alignment vertical="center" wrapText="1"/>
    </xf>
    <xf numFmtId="0" fontId="34" fillId="0" borderId="20" xfId="0" applyFont="1" applyBorder="1" applyAlignment="1">
      <alignment vertical="center" wrapText="1"/>
    </xf>
    <xf numFmtId="0" fontId="34" fillId="0" borderId="38" xfId="0" applyFont="1" applyBorder="1" applyAlignment="1">
      <alignment vertical="center" wrapText="1"/>
    </xf>
    <xf numFmtId="0" fontId="34" fillId="0" borderId="42" xfId="0" applyFont="1" applyBorder="1" applyAlignment="1">
      <alignment horizontal="left" vertical="center" wrapText="1"/>
    </xf>
    <xf numFmtId="0" fontId="34" fillId="0" borderId="0" xfId="0" applyFont="1" applyAlignment="1">
      <alignment horizontal="left" vertical="center" wrapText="1"/>
    </xf>
    <xf numFmtId="0" fontId="34" fillId="0" borderId="43" xfId="0" applyFont="1" applyBorder="1" applyAlignment="1">
      <alignment horizontal="left" vertical="center" wrapText="1"/>
    </xf>
    <xf numFmtId="0" fontId="34" fillId="0" borderId="36" xfId="0" applyFont="1" applyBorder="1" applyAlignment="1">
      <alignment horizontal="left" vertical="center" wrapText="1"/>
    </xf>
    <xf numFmtId="0" fontId="34" fillId="0" borderId="39" xfId="0" applyFont="1" applyBorder="1" applyAlignment="1">
      <alignment horizontal="left" vertical="center" wrapText="1"/>
    </xf>
    <xf numFmtId="0" fontId="34" fillId="0" borderId="41" xfId="0" applyFont="1" applyBorder="1" applyAlignment="1">
      <alignment horizontal="left" vertical="center" wrapText="1"/>
    </xf>
    <xf numFmtId="0" fontId="35" fillId="0" borderId="0" xfId="0" applyFont="1" applyAlignment="1">
      <alignment wrapText="1"/>
    </xf>
    <xf numFmtId="0" fontId="71" fillId="5" borderId="0" xfId="0" applyFont="1" applyFill="1" applyAlignment="1">
      <alignment horizontal="center"/>
    </xf>
    <xf numFmtId="0" fontId="71" fillId="0" borderId="19" xfId="0" applyFont="1" applyBorder="1" applyAlignment="1">
      <alignment horizontal="center" vertical="center"/>
    </xf>
    <xf numFmtId="0" fontId="34" fillId="0" borderId="19" xfId="0" applyFont="1" applyBorder="1" applyAlignment="1">
      <alignment horizontal="left" wrapText="1"/>
    </xf>
    <xf numFmtId="166" fontId="71" fillId="0" borderId="19" xfId="0" applyNumberFormat="1" applyFont="1" applyBorder="1" applyAlignment="1">
      <alignment horizontal="center" vertical="center"/>
    </xf>
    <xf numFmtId="166" fontId="71" fillId="0" borderId="19" xfId="0" applyNumberFormat="1" applyFont="1" applyBorder="1" applyAlignment="1">
      <alignment horizontal="center" vertical="center" wrapText="1"/>
    </xf>
    <xf numFmtId="0" fontId="39" fillId="0" borderId="0" xfId="0" applyFont="1" applyAlignment="1">
      <alignment horizontal="center" wrapText="1"/>
    </xf>
    <xf numFmtId="0" fontId="39" fillId="0" borderId="0" xfId="1153" applyNumberFormat="1" applyFont="1" applyFill="1" applyBorder="1" applyAlignment="1">
      <alignment horizontal="center"/>
    </xf>
    <xf numFmtId="0" fontId="39" fillId="0" borderId="0" xfId="1153" applyNumberFormat="1" applyFont="1" applyFill="1" applyBorder="1" applyAlignment="1">
      <alignment horizontal="center" vertical="center" wrapText="1"/>
    </xf>
    <xf numFmtId="0" fontId="39" fillId="0" borderId="19"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4" fillId="0" borderId="0" xfId="0" applyFont="1" applyAlignment="1">
      <alignment horizontal="left" vertical="center"/>
    </xf>
    <xf numFmtId="0" fontId="34" fillId="0" borderId="19" xfId="0" applyFont="1" applyBorder="1" applyAlignment="1">
      <alignment horizontal="left" vertical="center"/>
    </xf>
    <xf numFmtId="0" fontId="70" fillId="0" borderId="0" xfId="0" applyFont="1" applyAlignment="1">
      <alignment horizontal="center" vertical="center"/>
    </xf>
    <xf numFmtId="49" fontId="39" fillId="0" borderId="19" xfId="0" applyNumberFormat="1" applyFont="1" applyBorder="1" applyAlignment="1">
      <alignment horizontal="center" vertical="center" wrapText="1"/>
    </xf>
    <xf numFmtId="49" fontId="39" fillId="0" borderId="19" xfId="0" applyNumberFormat="1" applyFont="1" applyBorder="1" applyAlignment="1">
      <alignment horizontal="center" vertical="center"/>
    </xf>
    <xf numFmtId="0" fontId="34" fillId="0" borderId="19" xfId="0" applyFont="1" applyBorder="1" applyAlignment="1">
      <alignment horizontal="left" vertical="top" wrapText="1"/>
    </xf>
    <xf numFmtId="192" fontId="57" fillId="0" borderId="19" xfId="0" applyNumberFormat="1" applyFont="1" applyBorder="1" applyAlignment="1">
      <alignment horizontal="left" vertical="center" wrapText="1"/>
    </xf>
    <xf numFmtId="192" fontId="57" fillId="0" borderId="35" xfId="0" applyNumberFormat="1" applyFont="1" applyBorder="1" applyAlignment="1">
      <alignment horizontal="left" vertical="center" wrapText="1"/>
    </xf>
    <xf numFmtId="192" fontId="57" fillId="0" borderId="38" xfId="0" applyNumberFormat="1" applyFont="1" applyBorder="1" applyAlignment="1">
      <alignment horizontal="left" vertical="center" wrapText="1"/>
    </xf>
    <xf numFmtId="0" fontId="57" fillId="0" borderId="35" xfId="0" applyFont="1" applyBorder="1" applyAlignment="1">
      <alignment horizontal="left" vertical="top" wrapText="1"/>
    </xf>
    <xf numFmtId="0" fontId="57" fillId="0" borderId="20" xfId="0" applyFont="1" applyBorder="1" applyAlignment="1">
      <alignment horizontal="left" vertical="top" wrapText="1"/>
    </xf>
    <xf numFmtId="0" fontId="57" fillId="0" borderId="38" xfId="0" applyFont="1" applyBorder="1" applyAlignment="1">
      <alignment horizontal="left" vertical="top" wrapText="1"/>
    </xf>
    <xf numFmtId="0" fontId="34" fillId="0" borderId="0" xfId="0" applyFont="1" applyAlignment="1">
      <alignment horizontal="left" wrapText="1"/>
    </xf>
    <xf numFmtId="0" fontId="71" fillId="0" borderId="21"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33" xfId="0" applyFont="1" applyBorder="1" applyAlignment="1">
      <alignment horizontal="center" vertical="center" wrapText="1"/>
    </xf>
    <xf numFmtId="0" fontId="12" fillId="0" borderId="0" xfId="0" applyFont="1" applyAlignment="1">
      <alignment horizontal="left" wrapText="1"/>
    </xf>
    <xf numFmtId="0" fontId="71" fillId="0" borderId="19" xfId="0" applyFont="1" applyBorder="1" applyAlignment="1">
      <alignment horizontal="center" vertical="top" wrapText="1"/>
    </xf>
    <xf numFmtId="192" fontId="57" fillId="58" borderId="19" xfId="0" applyNumberFormat="1" applyFont="1" applyFill="1" applyBorder="1" applyAlignment="1">
      <alignment horizontal="left" vertical="center" wrapText="1"/>
    </xf>
    <xf numFmtId="192" fontId="57" fillId="58" borderId="35" xfId="0" applyNumberFormat="1" applyFont="1" applyFill="1" applyBorder="1" applyAlignment="1">
      <alignment horizontal="left" vertical="center" wrapText="1"/>
    </xf>
    <xf numFmtId="192" fontId="57" fillId="58" borderId="38" xfId="0" applyNumberFormat="1" applyFont="1" applyFill="1" applyBorder="1" applyAlignment="1">
      <alignment horizontal="left" vertical="center" wrapText="1"/>
    </xf>
    <xf numFmtId="0" fontId="71" fillId="0" borderId="35"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38" xfId="0" applyFont="1" applyBorder="1" applyAlignment="1">
      <alignment horizontal="center" vertical="center" wrapText="1"/>
    </xf>
    <xf numFmtId="49" fontId="39" fillId="0" borderId="0" xfId="0" applyNumberFormat="1" applyFont="1" applyAlignment="1">
      <alignment horizontal="center"/>
    </xf>
    <xf numFmtId="0" fontId="36" fillId="0" borderId="21" xfId="0" applyFont="1" applyBorder="1" applyAlignment="1">
      <alignment horizontal="center" vertical="center"/>
    </xf>
    <xf numFmtId="0" fontId="36" fillId="0" borderId="40" xfId="0" applyFont="1" applyBorder="1" applyAlignment="1">
      <alignment horizontal="center" vertical="center"/>
    </xf>
    <xf numFmtId="0" fontId="36" fillId="0" borderId="33" xfId="0" applyFont="1" applyBorder="1" applyAlignment="1">
      <alignment horizontal="center" vertical="center"/>
    </xf>
    <xf numFmtId="0" fontId="36" fillId="0" borderId="19" xfId="0" applyFont="1" applyBorder="1" applyAlignment="1">
      <alignment horizontal="center" vertical="center"/>
    </xf>
    <xf numFmtId="0" fontId="152" fillId="0" borderId="35" xfId="0" applyFont="1" applyBorder="1" applyAlignment="1">
      <alignment horizontal="center" vertical="center"/>
    </xf>
    <xf numFmtId="0" fontId="152" fillId="0" borderId="20" xfId="0" applyFont="1" applyBorder="1" applyAlignment="1">
      <alignment horizontal="center" vertical="center"/>
    </xf>
    <xf numFmtId="0" fontId="152" fillId="0" borderId="38" xfId="0" applyFont="1" applyBorder="1" applyAlignment="1">
      <alignment horizontal="center" vertical="center"/>
    </xf>
    <xf numFmtId="0" fontId="152" fillId="0" borderId="35" xfId="0" applyFont="1" applyBorder="1" applyAlignment="1">
      <alignment horizontal="center" vertical="center" wrapText="1"/>
    </xf>
    <xf numFmtId="0" fontId="152" fillId="0" borderId="38"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33" xfId="0" applyFont="1" applyBorder="1" applyAlignment="1">
      <alignment horizontal="center" vertical="center" wrapText="1"/>
    </xf>
    <xf numFmtId="0" fontId="152" fillId="0" borderId="19" xfId="0" applyFont="1" applyBorder="1" applyAlignment="1">
      <alignment horizontal="center" vertical="center" wrapText="1"/>
    </xf>
    <xf numFmtId="0" fontId="160" fillId="0" borderId="19" xfId="0" applyFont="1" applyBorder="1" applyAlignment="1">
      <alignment horizontal="center" vertical="center"/>
    </xf>
    <xf numFmtId="0" fontId="152" fillId="0" borderId="19" xfId="0" applyFont="1" applyBorder="1" applyAlignment="1">
      <alignment horizontal="center" vertical="center"/>
    </xf>
    <xf numFmtId="183" fontId="34" fillId="0" borderId="35" xfId="0" applyNumberFormat="1" applyFont="1" applyBorder="1" applyAlignment="1">
      <alignment horizontal="left" wrapText="1"/>
    </xf>
    <xf numFmtId="183" fontId="34" fillId="0" borderId="20" xfId="0" applyNumberFormat="1" applyFont="1" applyBorder="1" applyAlignment="1">
      <alignment horizontal="left" wrapText="1"/>
    </xf>
    <xf numFmtId="183" fontId="34" fillId="0" borderId="38" xfId="0" applyNumberFormat="1" applyFont="1" applyBorder="1" applyAlignment="1">
      <alignment horizontal="left" wrapText="1"/>
    </xf>
    <xf numFmtId="183" fontId="34" fillId="0" borderId="35" xfId="0" applyNumberFormat="1" applyFont="1" applyBorder="1" applyAlignment="1">
      <alignment horizontal="left" vertical="top" wrapText="1"/>
    </xf>
    <xf numFmtId="183" fontId="34" fillId="0" borderId="20" xfId="0" applyNumberFormat="1" applyFont="1" applyBorder="1" applyAlignment="1">
      <alignment horizontal="left" vertical="top" wrapText="1"/>
    </xf>
    <xf numFmtId="183" fontId="34" fillId="0" borderId="38" xfId="0" applyNumberFormat="1" applyFont="1" applyBorder="1" applyAlignment="1">
      <alignment horizontal="left" vertical="top" wrapText="1"/>
    </xf>
    <xf numFmtId="181" fontId="71" fillId="0" borderId="21" xfId="1152" applyNumberFormat="1" applyFont="1" applyFill="1" applyBorder="1" applyAlignment="1">
      <alignment horizontal="center" vertical="center"/>
    </xf>
    <xf numFmtId="181" fontId="71" fillId="0" borderId="33" xfId="1152" applyNumberFormat="1" applyFont="1" applyFill="1" applyBorder="1" applyAlignment="1">
      <alignment horizontal="center" vertical="center"/>
    </xf>
    <xf numFmtId="180" fontId="39" fillId="0" borderId="35" xfId="1152" applyNumberFormat="1" applyFont="1" applyBorder="1" applyAlignment="1">
      <alignment horizontal="center" vertical="center" wrapText="1"/>
    </xf>
    <xf numFmtId="180" fontId="39" fillId="0" borderId="38" xfId="1152" applyNumberFormat="1" applyFont="1" applyBorder="1" applyAlignment="1">
      <alignment horizontal="center" vertical="center" wrapText="1"/>
    </xf>
    <xf numFmtId="0" fontId="39" fillId="0" borderId="19" xfId="0" applyFont="1" applyBorder="1" applyAlignment="1">
      <alignment horizontal="center" wrapText="1"/>
    </xf>
    <xf numFmtId="0" fontId="71" fillId="0" borderId="19" xfId="0" applyFont="1" applyBorder="1" applyAlignment="1">
      <alignment horizontal="center"/>
    </xf>
    <xf numFmtId="0" fontId="39" fillId="0" borderId="19" xfId="0" applyFont="1" applyBorder="1" applyAlignment="1">
      <alignment horizontal="center"/>
    </xf>
    <xf numFmtId="180" fontId="39" fillId="0" borderId="35" xfId="1152" applyNumberFormat="1" applyFont="1" applyFill="1" applyBorder="1" applyAlignment="1">
      <alignment horizontal="center" vertical="center" wrapText="1"/>
    </xf>
    <xf numFmtId="180" fontId="39" fillId="0" borderId="38" xfId="1152" applyNumberFormat="1" applyFont="1" applyFill="1" applyBorder="1" applyAlignment="1">
      <alignment horizontal="center" vertical="center" wrapText="1"/>
    </xf>
    <xf numFmtId="0" fontId="12" fillId="0" borderId="0" xfId="1225" applyFont="1" applyAlignment="1">
      <alignment vertical="top" wrapText="1"/>
    </xf>
    <xf numFmtId="0" fontId="57" fillId="0" borderId="0" xfId="1225" applyFont="1" applyAlignment="1">
      <alignment vertical="top" wrapText="1"/>
    </xf>
    <xf numFmtId="0" fontId="12" fillId="0" borderId="0" xfId="1225" applyFont="1" applyAlignment="1">
      <alignment horizontal="left" vertical="center"/>
    </xf>
    <xf numFmtId="0" fontId="57" fillId="0" borderId="0" xfId="1225" applyFont="1" applyAlignment="1">
      <alignment vertical="top"/>
    </xf>
    <xf numFmtId="0" fontId="34" fillId="0" borderId="0" xfId="0" applyFont="1" applyAlignment="1">
      <alignment horizontal="center"/>
    </xf>
    <xf numFmtId="0" fontId="65" fillId="0" borderId="0" xfId="1232" applyFont="1" applyAlignment="1" applyProtection="1">
      <alignment horizontal="right" vertical="top" wrapText="1" readingOrder="1"/>
      <protection locked="0"/>
    </xf>
    <xf numFmtId="0" fontId="12" fillId="0" borderId="0" xfId="1232" applyAlignment="1">
      <alignment wrapText="1"/>
    </xf>
    <xf numFmtId="0" fontId="34" fillId="0" borderId="34" xfId="0" applyFont="1" applyBorder="1" applyAlignment="1">
      <alignment horizontal="left" vertical="top" wrapText="1"/>
    </xf>
    <xf numFmtId="0" fontId="65" fillId="0" borderId="0" xfId="0" applyFont="1" applyAlignment="1" applyProtection="1">
      <alignment horizontal="right" vertical="top" wrapText="1" readingOrder="1"/>
      <protection locked="0"/>
    </xf>
    <xf numFmtId="0" fontId="0" fillId="0" borderId="0" xfId="0" applyAlignment="1">
      <alignment wrapText="1"/>
    </xf>
    <xf numFmtId="0" fontId="57" fillId="58" borderId="35" xfId="0" applyFont="1" applyFill="1" applyBorder="1" applyAlignment="1">
      <alignment horizontal="left" vertical="center" wrapText="1"/>
    </xf>
    <xf numFmtId="0" fontId="57" fillId="58" borderId="20" xfId="0" applyFont="1" applyFill="1" applyBorder="1" applyAlignment="1">
      <alignment horizontal="left" vertical="center" wrapText="1"/>
    </xf>
    <xf numFmtId="0" fontId="57" fillId="58" borderId="38" xfId="0" applyFont="1" applyFill="1" applyBorder="1" applyAlignment="1">
      <alignment horizontal="left" vertical="center" wrapText="1"/>
    </xf>
    <xf numFmtId="3" fontId="57" fillId="58" borderId="35" xfId="0" applyNumberFormat="1" applyFont="1" applyFill="1" applyBorder="1" applyAlignment="1">
      <alignment horizontal="left" vertical="center" wrapText="1"/>
    </xf>
    <xf numFmtId="3" fontId="57" fillId="58" borderId="20" xfId="0" applyNumberFormat="1" applyFont="1" applyFill="1" applyBorder="1" applyAlignment="1">
      <alignment horizontal="left" vertical="center" wrapText="1"/>
    </xf>
    <xf numFmtId="3" fontId="57" fillId="58" borderId="38" xfId="0" applyNumberFormat="1" applyFont="1" applyFill="1" applyBorder="1" applyAlignment="1">
      <alignment horizontal="left" vertical="center" wrapText="1"/>
    </xf>
    <xf numFmtId="0" fontId="34" fillId="0" borderId="0" xfId="0" applyFont="1" applyAlignment="1">
      <alignment vertical="center"/>
    </xf>
    <xf numFmtId="0" fontId="12" fillId="0" borderId="0" xfId="0" applyFont="1" applyAlignment="1">
      <alignment horizontal="left" vertical="center" wrapText="1"/>
    </xf>
    <xf numFmtId="0" fontId="12" fillId="0" borderId="21" xfId="0" applyFont="1" applyBorder="1" applyAlignment="1">
      <alignment horizontal="center" vertical="center"/>
    </xf>
    <xf numFmtId="0" fontId="12" fillId="0" borderId="33" xfId="0" applyFont="1" applyBorder="1" applyAlignment="1">
      <alignment horizontal="center" vertical="center"/>
    </xf>
    <xf numFmtId="3" fontId="12" fillId="0" borderId="19" xfId="1252" applyNumberFormat="1" applyBorder="1" applyAlignment="1">
      <alignment horizontal="center"/>
    </xf>
    <xf numFmtId="0" fontId="12" fillId="0" borderId="19" xfId="0" applyFont="1" applyBorder="1" applyAlignment="1">
      <alignment horizontal="center" vertical="center" wrapText="1"/>
    </xf>
    <xf numFmtId="0" fontId="12" fillId="0" borderId="0" xfId="0" applyFont="1" applyAlignment="1">
      <alignment horizontal="center" vertical="center"/>
    </xf>
    <xf numFmtId="0" fontId="39" fillId="0" borderId="19" xfId="0" applyFont="1" applyBorder="1" applyAlignment="1">
      <alignment horizontal="left" vertical="center" wrapText="1"/>
    </xf>
    <xf numFmtId="0" fontId="70" fillId="0" borderId="0" xfId="0" applyFont="1" applyAlignment="1">
      <alignment horizontal="left" vertical="center" wrapText="1"/>
    </xf>
    <xf numFmtId="0" fontId="34" fillId="0" borderId="0" xfId="0" applyFont="1" applyAlignment="1">
      <alignment horizontal="center" vertical="center" wrapText="1"/>
    </xf>
    <xf numFmtId="0" fontId="70" fillId="0" borderId="0" xfId="0" applyFont="1" applyAlignment="1">
      <alignment horizontal="left" vertical="center"/>
    </xf>
    <xf numFmtId="0" fontId="0" fillId="0" borderId="19" xfId="0" applyBorder="1" applyAlignment="1">
      <alignment horizontal="center"/>
    </xf>
    <xf numFmtId="0" fontId="34" fillId="0" borderId="34" xfId="0" applyFont="1" applyBorder="1" applyAlignment="1">
      <alignment horizontal="left" vertical="center" wrapText="1"/>
    </xf>
    <xf numFmtId="0" fontId="220" fillId="0" borderId="19" xfId="0" applyFont="1" applyBorder="1" applyAlignment="1">
      <alignment horizontal="center" vertical="center" wrapText="1"/>
    </xf>
    <xf numFmtId="0" fontId="220" fillId="0" borderId="19" xfId="0" applyFont="1" applyBorder="1" applyAlignment="1">
      <alignment horizontal="center" vertical="center"/>
    </xf>
    <xf numFmtId="0" fontId="207" fillId="0" borderId="0" xfId="0" applyFont="1" applyAlignment="1">
      <alignment horizontal="left" vertical="center" wrapText="1"/>
    </xf>
    <xf numFmtId="0" fontId="207" fillId="0" borderId="19" xfId="0" applyFont="1" applyBorder="1" applyAlignment="1">
      <alignment horizontal="left" vertical="center" wrapText="1"/>
    </xf>
    <xf numFmtId="172" fontId="220" fillId="0" borderId="0" xfId="0" applyNumberFormat="1" applyFont="1" applyAlignment="1">
      <alignment horizontal="center"/>
    </xf>
    <xf numFmtId="172" fontId="39" fillId="0" borderId="0" xfId="0" applyNumberFormat="1" applyFont="1" applyAlignment="1">
      <alignment horizontal="center" vertical="center"/>
    </xf>
    <xf numFmtId="0" fontId="166" fillId="0" borderId="0" xfId="0" applyFont="1" applyAlignment="1">
      <alignment horizontal="left" vertical="center" wrapText="1"/>
    </xf>
    <xf numFmtId="0" fontId="39" fillId="0" borderId="19" xfId="0" applyFont="1" applyBorder="1" applyAlignment="1">
      <alignment horizontal="left" vertical="center"/>
    </xf>
    <xf numFmtId="0" fontId="34" fillId="0" borderId="35" xfId="0" applyFont="1" applyBorder="1" applyAlignment="1">
      <alignment horizontal="left" wrapText="1"/>
    </xf>
    <xf numFmtId="0" fontId="34" fillId="0" borderId="20" xfId="0" applyFont="1" applyBorder="1" applyAlignment="1">
      <alignment horizontal="left" wrapText="1"/>
    </xf>
    <xf numFmtId="0" fontId="34" fillId="0" borderId="38" xfId="0" applyFont="1" applyBorder="1" applyAlignment="1">
      <alignment horizontal="left" wrapText="1"/>
    </xf>
    <xf numFmtId="0" fontId="12" fillId="0" borderId="0" xfId="1225" applyFont="1" applyAlignment="1">
      <alignment horizontal="left" vertical="center" wrapText="1"/>
    </xf>
    <xf numFmtId="0" fontId="57" fillId="0" borderId="0" xfId="1225" applyFont="1" applyAlignment="1">
      <alignment vertical="center"/>
    </xf>
    <xf numFmtId="0" fontId="57" fillId="0" borderId="0" xfId="1225" applyFont="1" applyAlignment="1">
      <alignment horizontal="left" vertical="top" wrapText="1"/>
    </xf>
    <xf numFmtId="0" fontId="57" fillId="0" borderId="0" xfId="1225" applyFont="1" applyAlignment="1">
      <alignment horizontal="left" vertical="top"/>
    </xf>
    <xf numFmtId="0" fontId="12" fillId="0" borderId="0" xfId="1225" applyFont="1" applyAlignment="1">
      <alignment horizontal="left" vertical="top" wrapText="1"/>
    </xf>
    <xf numFmtId="0" fontId="57" fillId="0" borderId="0" xfId="1225" applyFont="1" applyAlignment="1">
      <alignment vertical="center" wrapText="1"/>
    </xf>
    <xf numFmtId="0" fontId="76" fillId="0" borderId="0" xfId="1238" applyFont="1" applyAlignment="1" applyProtection="1">
      <alignment horizontal="center" vertical="top" wrapText="1" readingOrder="1"/>
      <protection locked="0"/>
    </xf>
    <xf numFmtId="0" fontId="12" fillId="0" borderId="0" xfId="1238" applyAlignment="1">
      <alignment wrapText="1"/>
    </xf>
    <xf numFmtId="0" fontId="77" fillId="0" borderId="29" xfId="1238" applyFont="1" applyBorder="1" applyAlignment="1" applyProtection="1">
      <alignment horizontal="left" vertical="center" wrapText="1" readingOrder="1"/>
      <protection locked="0"/>
    </xf>
    <xf numFmtId="0" fontId="12" fillId="0" borderId="29" xfId="1238" applyBorder="1" applyAlignment="1">
      <alignment wrapText="1"/>
    </xf>
    <xf numFmtId="0" fontId="65" fillId="0" borderId="29" xfId="1238" applyFont="1" applyBorder="1" applyAlignment="1" applyProtection="1">
      <alignment horizontal="right" vertical="top" wrapText="1" readingOrder="1"/>
      <protection locked="0"/>
    </xf>
    <xf numFmtId="0" fontId="12" fillId="0" borderId="29" xfId="1238" applyBorder="1" applyAlignment="1">
      <alignment vertical="top" wrapText="1"/>
    </xf>
    <xf numFmtId="0" fontId="76" fillId="0" borderId="0" xfId="1238" applyFont="1" applyAlignment="1" applyProtection="1">
      <alignment horizontal="right" vertical="top" wrapText="1" readingOrder="1"/>
      <protection locked="0"/>
    </xf>
    <xf numFmtId="0" fontId="79" fillId="0" borderId="44" xfId="1238" applyFont="1" applyBorder="1" applyAlignment="1" applyProtection="1">
      <alignment horizontal="center" wrapText="1" readingOrder="2"/>
      <protection locked="0"/>
    </xf>
    <xf numFmtId="0" fontId="12" fillId="0" borderId="44" xfId="1238" applyBorder="1" applyAlignment="1">
      <alignment wrapText="1"/>
    </xf>
    <xf numFmtId="0" fontId="65" fillId="0" borderId="0" xfId="1238" applyFont="1" applyAlignment="1" applyProtection="1">
      <alignment horizontal="left" vertical="top" wrapText="1" readingOrder="1"/>
      <protection locked="0"/>
    </xf>
    <xf numFmtId="0" fontId="65" fillId="0" borderId="0" xfId="1238" applyFont="1" applyAlignment="1" applyProtection="1">
      <alignment horizontal="right" vertical="top" wrapText="1" readingOrder="1"/>
      <protection locked="0"/>
    </xf>
    <xf numFmtId="0" fontId="79" fillId="0" borderId="31" xfId="1238" applyFont="1" applyBorder="1" applyAlignment="1" applyProtection="1">
      <alignment horizontal="right" vertical="top" wrapText="1" readingOrder="1"/>
      <protection locked="0"/>
    </xf>
    <xf numFmtId="0" fontId="12" fillId="0" borderId="31" xfId="1238" applyBorder="1" applyAlignment="1">
      <alignment vertical="top" wrapText="1"/>
    </xf>
    <xf numFmtId="0" fontId="34" fillId="0" borderId="19" xfId="0" applyFont="1" applyBorder="1" applyAlignment="1">
      <alignment vertical="center" wrapText="1"/>
    </xf>
    <xf numFmtId="0" fontId="12" fillId="0" borderId="0" xfId="1238" applyAlignment="1">
      <alignment vertical="top" wrapText="1"/>
    </xf>
    <xf numFmtId="0" fontId="34" fillId="58" borderId="19" xfId="0" applyFont="1" applyFill="1" applyBorder="1" applyAlignment="1">
      <alignment horizontal="left"/>
    </xf>
    <xf numFmtId="0" fontId="57" fillId="0" borderId="19" xfId="0" applyFont="1" applyBorder="1" applyAlignment="1">
      <alignment horizontal="left" vertical="center" wrapText="1"/>
    </xf>
    <xf numFmtId="173" fontId="57" fillId="58" borderId="19" xfId="0" applyNumberFormat="1" applyFont="1" applyFill="1" applyBorder="1" applyAlignment="1">
      <alignment horizontal="left"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0" xfId="0" applyFont="1" applyBorder="1" applyAlignment="1">
      <alignment horizontal="left" vertical="center" wrapText="1"/>
    </xf>
    <xf numFmtId="3" fontId="12" fillId="0" borderId="35" xfId="0" applyNumberFormat="1" applyFont="1" applyBorder="1" applyAlignment="1">
      <alignment horizontal="center" vertical="center" wrapText="1"/>
    </xf>
    <xf numFmtId="3" fontId="12" fillId="0" borderId="38" xfId="0" applyNumberFormat="1" applyFont="1" applyBorder="1" applyAlignment="1">
      <alignment horizontal="center" vertical="center" wrapText="1"/>
    </xf>
    <xf numFmtId="0" fontId="12" fillId="0" borderId="35"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9" xfId="0" applyFont="1" applyBorder="1" applyAlignment="1">
      <alignment vertical="center" wrapText="1"/>
    </xf>
    <xf numFmtId="0" fontId="12" fillId="0" borderId="35" xfId="0" applyFont="1" applyBorder="1" applyAlignment="1">
      <alignment vertical="center" wrapText="1"/>
    </xf>
    <xf numFmtId="0" fontId="12" fillId="0" borderId="19" xfId="0" applyFont="1" applyBorder="1" applyAlignment="1">
      <alignment vertical="center"/>
    </xf>
    <xf numFmtId="0" fontId="12" fillId="0" borderId="35" xfId="0" applyFont="1" applyBorder="1" applyAlignment="1">
      <alignment vertical="center"/>
    </xf>
    <xf numFmtId="0" fontId="70" fillId="0" borderId="0" xfId="0" applyFont="1" applyAlignment="1">
      <alignment horizontal="left" wrapText="1"/>
    </xf>
    <xf numFmtId="0" fontId="70" fillId="0" borderId="35" xfId="0" applyFont="1" applyBorder="1" applyAlignment="1">
      <alignment horizontal="left" vertical="center" wrapText="1"/>
    </xf>
    <xf numFmtId="0" fontId="70" fillId="0" borderId="20" xfId="0" applyFont="1" applyBorder="1" applyAlignment="1">
      <alignment horizontal="left" vertical="center" wrapText="1"/>
    </xf>
    <xf numFmtId="0" fontId="70" fillId="0" borderId="38" xfId="0" applyFont="1" applyBorder="1" applyAlignment="1">
      <alignment horizontal="left" vertical="center" wrapText="1"/>
    </xf>
    <xf numFmtId="0" fontId="12" fillId="0" borderId="20" xfId="0" applyFont="1" applyBorder="1" applyAlignment="1">
      <alignment horizontal="left" vertical="center"/>
    </xf>
    <xf numFmtId="0" fontId="39" fillId="5" borderId="0" xfId="0" applyFont="1" applyFill="1" applyAlignment="1">
      <alignment horizontal="center" vertical="top"/>
    </xf>
    <xf numFmtId="0" fontId="39" fillId="58" borderId="19" xfId="0" applyFont="1" applyFill="1" applyBorder="1" applyAlignment="1">
      <alignment horizontal="center" vertical="center" wrapText="1"/>
    </xf>
    <xf numFmtId="0" fontId="39" fillId="0" borderId="35" xfId="0" applyFont="1" applyBorder="1" applyAlignment="1">
      <alignment horizontal="center" vertical="center"/>
    </xf>
    <xf numFmtId="0" fontId="39" fillId="0" borderId="20" xfId="0" applyFont="1" applyBorder="1" applyAlignment="1">
      <alignment horizontal="center" vertical="center"/>
    </xf>
    <xf numFmtId="0" fontId="39" fillId="0" borderId="38" xfId="0" applyFont="1" applyBorder="1" applyAlignment="1">
      <alignment horizontal="center" vertical="center"/>
    </xf>
    <xf numFmtId="0" fontId="34" fillId="0" borderId="33" xfId="0" applyFont="1" applyBorder="1" applyAlignment="1">
      <alignment horizontal="left" vertical="center" wrapText="1"/>
    </xf>
    <xf numFmtId="0" fontId="39" fillId="58" borderId="35" xfId="0" applyFont="1" applyFill="1" applyBorder="1" applyAlignment="1">
      <alignment horizontal="center" vertical="center" wrapText="1"/>
    </xf>
    <xf numFmtId="0" fontId="39" fillId="58" borderId="38" xfId="0" applyFont="1" applyFill="1" applyBorder="1" applyAlignment="1">
      <alignment horizontal="center" vertical="center" wrapText="1"/>
    </xf>
    <xf numFmtId="2" fontId="34" fillId="0" borderId="35" xfId="0" applyNumberFormat="1" applyFont="1" applyBorder="1" applyAlignment="1">
      <alignment horizontal="left" vertical="top" wrapText="1"/>
    </xf>
    <xf numFmtId="2" fontId="34" fillId="0" borderId="20" xfId="0" applyNumberFormat="1" applyFont="1" applyBorder="1" applyAlignment="1">
      <alignment horizontal="left" vertical="top" wrapText="1"/>
    </xf>
    <xf numFmtId="2" fontId="34" fillId="0" borderId="38" xfId="0" applyNumberFormat="1" applyFont="1" applyBorder="1" applyAlignment="1">
      <alignment horizontal="left" vertical="top" wrapText="1"/>
    </xf>
    <xf numFmtId="14" fontId="34" fillId="0" borderId="19" xfId="0" applyNumberFormat="1" applyFont="1" applyBorder="1" applyAlignment="1">
      <alignment horizontal="left" vertical="center"/>
    </xf>
  </cellXfs>
  <cellStyles count="3064">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1 6" xfId="2081" xr:uid="{C285199B-5579-4B9F-8072-3822B10E1395}"/>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2 5" xfId="2034" xr:uid="{3ADCAD36-1083-415B-9A51-7E78919E4D2F}"/>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3 6" xfId="2038" xr:uid="{70AB471D-919C-400B-A137-086CA4C5041B}"/>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4 6" xfId="2043" xr:uid="{69138EDB-0B98-4EFC-B219-DD1060765DC6}"/>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5 5" xfId="2045" xr:uid="{A294EA21-A408-453B-BCB6-6CD5ACC04946}"/>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20% - Énfasis6 5" xfId="2049" xr:uid="{2C2950B8-AA73-4410-889C-359CCB909C68}"/>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1 5" xfId="2031" xr:uid="{980A22D0-E4A7-4FB4-BE0D-0F3FEB9B5A37}"/>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2 5" xfId="2035" xr:uid="{5AEA8196-9D18-4DE8-B629-5958F64AD5FF}"/>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3 5" xfId="2039" xr:uid="{27C041AC-5BEC-4802-A82C-F59AEA4A2FA1}"/>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4 5" xfId="2044" xr:uid="{5FA4686D-9A07-40A6-999B-35678F1DAF4C}"/>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5 5" xfId="2046" xr:uid="{84E767B0-B698-4B10-A567-4D02E9583A4B}"/>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40% - Énfasis6 5" xfId="2059" xr:uid="{FE4A084E-5C6C-4428-B505-2AE25323371F}"/>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1 5" xfId="2082" xr:uid="{6B459D74-C4B4-4947-A948-77B0B1B560E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2 5" xfId="2036" xr:uid="{DE7F9189-693C-4970-AD5D-A0CA3B7AD7E7}"/>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3 5" xfId="2041" xr:uid="{3988A7F0-60E3-417A-88C1-B1620874BC0C}"/>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4 5" xfId="2083" xr:uid="{CF3A498A-326E-46EB-BA59-909B70F99B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5 5" xfId="2048" xr:uid="{2D63A923-FC00-459E-9F44-5BB1D62B899D}"/>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60% - Énfasis6 5" xfId="2087" xr:uid="{FEFABF46-64DB-45D8-B237-1368CB2F7D1D}"/>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Bueno 2" xfId="2019" xr:uid="{EBF9BF30-8C40-4957-BA31-429CE1D2E4E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álculo 5" xfId="2024" xr:uid="{EA4F9511-4541-4A75-A47B-391224999E2C}"/>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de comprobación 5" xfId="2026" xr:uid="{2E6E6D6E-D90F-4121-9A23-CBF21514FBD7}"/>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elda vinculada 5" xfId="2025" xr:uid="{ED8FEDE6-822D-40F3-89A3-A985040A22D5}"/>
    <cellStyle name="Currency 2" xfId="292" xr:uid="{00000000-0005-0000-0000-000027010000}"/>
    <cellStyle name="Currency 2 10" xfId="293" xr:uid="{00000000-0005-0000-0000-000028010000}"/>
    <cellStyle name="Currency 2 10 2" xfId="294" xr:uid="{00000000-0005-0000-0000-000029010000}"/>
    <cellStyle name="Currency 2 10 3" xfId="2064" xr:uid="{EFB75D6D-9273-4CC7-A451-05ED1387C946}"/>
    <cellStyle name="Currency 2 11" xfId="295" xr:uid="{00000000-0005-0000-0000-00002A010000}"/>
    <cellStyle name="Currency 2 11 2" xfId="296" xr:uid="{00000000-0005-0000-0000-00002B010000}"/>
    <cellStyle name="Currency 2 11 3" xfId="2063" xr:uid="{6A3FFBF9-709A-45BE-9B8F-275B32EACF11}"/>
    <cellStyle name="Currency 2 12" xfId="297" xr:uid="{00000000-0005-0000-0000-00002C010000}"/>
    <cellStyle name="Currency 2 12 2" xfId="298" xr:uid="{00000000-0005-0000-0000-00002D010000}"/>
    <cellStyle name="Currency 2 13" xfId="299" xr:uid="{00000000-0005-0000-0000-00002E010000}"/>
    <cellStyle name="Currency 2 14" xfId="2010" xr:uid="{8FC3D4FA-67E9-4B64-9601-BC46F7067022}"/>
    <cellStyle name="Currency 2 15" xfId="2004" xr:uid="{BD0779FC-F20F-428F-BFC8-E172C10BE68A}"/>
    <cellStyle name="Currency 2 16" xfId="3039" xr:uid="{4A3B8194-6309-43DA-A49F-527FC98CB0F6}"/>
    <cellStyle name="Currency 2 2" xfId="300" xr:uid="{00000000-0005-0000-0000-00002F010000}"/>
    <cellStyle name="Currency 2 2 10" xfId="301" xr:uid="{00000000-0005-0000-0000-000030010000}"/>
    <cellStyle name="Currency 2 2 10 2" xfId="302" xr:uid="{00000000-0005-0000-0000-000031010000}"/>
    <cellStyle name="Currency 2 2 10 3" xfId="2065" xr:uid="{0B5446F6-18F3-4539-9650-98DD29C426FD}"/>
    <cellStyle name="Currency 2 2 11" xfId="303" xr:uid="{00000000-0005-0000-0000-000032010000}"/>
    <cellStyle name="Currency 2 2 11 2" xfId="304" xr:uid="{00000000-0005-0000-0000-000033010000}"/>
    <cellStyle name="Currency 2 2 12" xfId="305" xr:uid="{00000000-0005-0000-0000-000034010000}"/>
    <cellStyle name="Currency 2 2 13" xfId="2011" xr:uid="{D0D5FF74-60A3-42EA-A257-7BCDA2C0E7EC}"/>
    <cellStyle name="Currency 2 2 14" xfId="2005" xr:uid="{01B95506-2FD4-439C-B106-224382D566B0}"/>
    <cellStyle name="Currency 2 2 15" xfId="3040" xr:uid="{123B0053-A941-41E3-B99F-B90520F9E2D6}"/>
    <cellStyle name="Currency 2 2 2" xfId="306" xr:uid="{00000000-0005-0000-0000-000035010000}"/>
    <cellStyle name="Currency 2 2 2 10" xfId="307" xr:uid="{00000000-0005-0000-0000-000036010000}"/>
    <cellStyle name="Currency 2 2 2 11" xfId="2012" xr:uid="{6DC49A6F-9264-467E-80A4-62704A870422}"/>
    <cellStyle name="Currency 2 2 2 12" xfId="2006" xr:uid="{F839DAC3-6EC9-4475-A06D-A1640A22C108}"/>
    <cellStyle name="Currency 2 2 2 13" xfId="3041" xr:uid="{C2B55988-6531-45D1-A817-3D4CFDCA345A}"/>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2 3" xfId="2072" xr:uid="{0896C994-BFD6-436B-836B-D29EF96570CF}"/>
    <cellStyle name="Currency 2 2 2 2 2 2 2 2 3" xfId="315" xr:uid="{00000000-0005-0000-0000-00003E010000}"/>
    <cellStyle name="Currency 2 2 2 2 2 2 2 2 4" xfId="2071" xr:uid="{3A4E2ADC-231B-4507-AA26-373475B95DFB}"/>
    <cellStyle name="Currency 2 2 2 2 2 2 2 3" xfId="316" xr:uid="{00000000-0005-0000-0000-00003F010000}"/>
    <cellStyle name="Currency 2 2 2 2 2 2 2 3 2" xfId="317" xr:uid="{00000000-0005-0000-0000-000040010000}"/>
    <cellStyle name="Currency 2 2 2 2 2 2 2 3 3" xfId="2073" xr:uid="{5D3513B4-D938-4FD9-BE2D-9C2783FCCE35}"/>
    <cellStyle name="Currency 2 2 2 2 2 2 2 4" xfId="318" xr:uid="{00000000-0005-0000-0000-000041010000}"/>
    <cellStyle name="Currency 2 2 2 2 2 2 2 5" xfId="2070" xr:uid="{A759677F-D5AB-459D-AA49-13468ECECFEC}"/>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2 3" xfId="2075" xr:uid="{72FAE960-DEBD-492D-A63D-1C7A88DF52C1}"/>
    <cellStyle name="Currency 2 2 2 2 2 2 3 3" xfId="322" xr:uid="{00000000-0005-0000-0000-000045010000}"/>
    <cellStyle name="Currency 2 2 2 2 2 2 3 4" xfId="2074" xr:uid="{97427268-5224-45C1-AE58-CB73C0E7F01B}"/>
    <cellStyle name="Currency 2 2 2 2 2 2 4" xfId="323" xr:uid="{00000000-0005-0000-0000-000046010000}"/>
    <cellStyle name="Currency 2 2 2 2 2 2 4 2" xfId="324" xr:uid="{00000000-0005-0000-0000-000047010000}"/>
    <cellStyle name="Currency 2 2 2 2 2 2 4 3" xfId="2076" xr:uid="{DF1D6AD5-A869-4E8E-920C-587B83D9108A}"/>
    <cellStyle name="Currency 2 2 2 2 2 2 5" xfId="325" xr:uid="{00000000-0005-0000-0000-000048010000}"/>
    <cellStyle name="Currency 2 2 2 2 2 2 6" xfId="2069" xr:uid="{633F02A3-2982-46FF-AC20-55FEEFB4C524}"/>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2 3" xfId="2079" xr:uid="{FA8B8EBF-2A79-4E2B-B7C1-44C6EA1026C0}"/>
    <cellStyle name="Currency 2 2 2 2 2 3 2 3" xfId="330" xr:uid="{00000000-0005-0000-0000-00004D010000}"/>
    <cellStyle name="Currency 2 2 2 2 2 3 2 4" xfId="2078" xr:uid="{26C99B5F-06F8-42C7-9233-C85AAEA2331C}"/>
    <cellStyle name="Currency 2 2 2 2 2 3 3" xfId="331" xr:uid="{00000000-0005-0000-0000-00004E010000}"/>
    <cellStyle name="Currency 2 2 2 2 2 3 3 2" xfId="332" xr:uid="{00000000-0005-0000-0000-00004F010000}"/>
    <cellStyle name="Currency 2 2 2 2 2 3 3 3" xfId="2095" xr:uid="{1AA7F314-91B7-4B9F-9444-05838226C8A2}"/>
    <cellStyle name="Currency 2 2 2 2 2 3 4" xfId="333" xr:uid="{00000000-0005-0000-0000-000050010000}"/>
    <cellStyle name="Currency 2 2 2 2 2 3 5" xfId="2077" xr:uid="{447FECCC-AC1B-41F5-B6E4-AD8CE15FEF4D}"/>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2 3" xfId="2097" xr:uid="{A586983F-B892-4649-8EE5-73419FB677B9}"/>
    <cellStyle name="Currency 2 2 2 2 2 4 3" xfId="337" xr:uid="{00000000-0005-0000-0000-000054010000}"/>
    <cellStyle name="Currency 2 2 2 2 2 4 4" xfId="2096" xr:uid="{1A1CC7E5-8191-43F8-8640-9FDC9EF02855}"/>
    <cellStyle name="Currency 2 2 2 2 2 5" xfId="338" xr:uid="{00000000-0005-0000-0000-000055010000}"/>
    <cellStyle name="Currency 2 2 2 2 2 5 2" xfId="339" xr:uid="{00000000-0005-0000-0000-000056010000}"/>
    <cellStyle name="Currency 2 2 2 2 2 5 3" xfId="2098" xr:uid="{6D18BDBE-975B-43AE-88EC-D535E4DB410D}"/>
    <cellStyle name="Currency 2 2 2 2 2 6" xfId="340" xr:uid="{00000000-0005-0000-0000-000057010000}"/>
    <cellStyle name="Currency 2 2 2 2 2 7" xfId="2068" xr:uid="{70B5C551-8C6A-4AD2-B993-69F6C3A03F7D}"/>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2 3" xfId="2102" xr:uid="{B8069708-6AF3-45CD-8CCF-ED69CF5BCEA8}"/>
    <cellStyle name="Currency 2 2 2 2 3 2 2 3" xfId="346" xr:uid="{00000000-0005-0000-0000-00005D010000}"/>
    <cellStyle name="Currency 2 2 2 2 3 2 2 4" xfId="2101" xr:uid="{B97584D8-1C84-48A8-9FBF-6946284CD69C}"/>
    <cellStyle name="Currency 2 2 2 2 3 2 3" xfId="347" xr:uid="{00000000-0005-0000-0000-00005E010000}"/>
    <cellStyle name="Currency 2 2 2 2 3 2 3 2" xfId="348" xr:uid="{00000000-0005-0000-0000-00005F010000}"/>
    <cellStyle name="Currency 2 2 2 2 3 2 3 3" xfId="2103" xr:uid="{78A2196D-B1FF-4516-BE3A-F23DBD99694A}"/>
    <cellStyle name="Currency 2 2 2 2 3 2 4" xfId="349" xr:uid="{00000000-0005-0000-0000-000060010000}"/>
    <cellStyle name="Currency 2 2 2 2 3 2 5" xfId="2100" xr:uid="{5B7CF567-829B-432F-8FE6-80668E15E983}"/>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2 3" xfId="2105" xr:uid="{D74F161A-266A-4058-A528-92F9165E6861}"/>
    <cellStyle name="Currency 2 2 2 2 3 3 3" xfId="353" xr:uid="{00000000-0005-0000-0000-000064010000}"/>
    <cellStyle name="Currency 2 2 2 2 3 3 4" xfId="2104" xr:uid="{3AD4E33F-5A6A-47EB-B009-CE990E6CE8AA}"/>
    <cellStyle name="Currency 2 2 2 2 3 4" xfId="354" xr:uid="{00000000-0005-0000-0000-000065010000}"/>
    <cellStyle name="Currency 2 2 2 2 3 4 2" xfId="355" xr:uid="{00000000-0005-0000-0000-000066010000}"/>
    <cellStyle name="Currency 2 2 2 2 3 4 3" xfId="2106" xr:uid="{2E6E48A7-603D-4EDA-96C9-81D257ABCAC5}"/>
    <cellStyle name="Currency 2 2 2 2 3 5" xfId="356" xr:uid="{00000000-0005-0000-0000-000067010000}"/>
    <cellStyle name="Currency 2 2 2 2 3 6" xfId="2099" xr:uid="{0D7026FF-9583-4E30-93E7-77CEC5EB781E}"/>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2 3" xfId="2109" xr:uid="{7F79C241-C6FC-41D2-9AB9-C54B54E0BA92}"/>
    <cellStyle name="Currency 2 2 2 2 4 2 3" xfId="361" xr:uid="{00000000-0005-0000-0000-00006C010000}"/>
    <cellStyle name="Currency 2 2 2 2 4 2 4" xfId="2108" xr:uid="{3074B197-44D6-4D58-8913-F50BE62AA9AF}"/>
    <cellStyle name="Currency 2 2 2 2 4 3" xfId="362" xr:uid="{00000000-0005-0000-0000-00006D010000}"/>
    <cellStyle name="Currency 2 2 2 2 4 3 2" xfId="363" xr:uid="{00000000-0005-0000-0000-00006E010000}"/>
    <cellStyle name="Currency 2 2 2 2 4 3 3" xfId="2110" xr:uid="{C58042E0-40B0-4B97-A0BB-0C7147CA8DAB}"/>
    <cellStyle name="Currency 2 2 2 2 4 4" xfId="364" xr:uid="{00000000-0005-0000-0000-00006F010000}"/>
    <cellStyle name="Currency 2 2 2 2 4 5" xfId="2107" xr:uid="{9F6A6D1E-4348-485B-8F0B-5DF302C745B4}"/>
    <cellStyle name="Currency 2 2 2 2 5" xfId="365" xr:uid="{00000000-0005-0000-0000-000070010000}"/>
    <cellStyle name="Currency 2 2 2 2 5 2" xfId="366" xr:uid="{00000000-0005-0000-0000-000071010000}"/>
    <cellStyle name="Currency 2 2 2 2 5 2 2" xfId="367" xr:uid="{00000000-0005-0000-0000-000072010000}"/>
    <cellStyle name="Currency 2 2 2 2 5 2 3" xfId="2112" xr:uid="{A78BFEBB-AAEA-4703-B33A-FBB7760B75F0}"/>
    <cellStyle name="Currency 2 2 2 2 5 3" xfId="368" xr:uid="{00000000-0005-0000-0000-000073010000}"/>
    <cellStyle name="Currency 2 2 2 2 5 4" xfId="2111" xr:uid="{3AC2ECB3-7F97-48ED-9CAC-BA2410834E6D}"/>
    <cellStyle name="Currency 2 2 2 2 6" xfId="369" xr:uid="{00000000-0005-0000-0000-000074010000}"/>
    <cellStyle name="Currency 2 2 2 2 6 2" xfId="370" xr:uid="{00000000-0005-0000-0000-000075010000}"/>
    <cellStyle name="Currency 2 2 2 2 6 3" xfId="2113" xr:uid="{3C03A903-C7B2-4AE6-83A2-35754717AB16}"/>
    <cellStyle name="Currency 2 2 2 2 7" xfId="371" xr:uid="{00000000-0005-0000-0000-000076010000}"/>
    <cellStyle name="Currency 2 2 2 2 8" xfId="2067" xr:uid="{2892E11D-9396-40F8-B4FF-3515CF9A41CF}"/>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2 3" xfId="2118" xr:uid="{EFAAD666-4632-4165-97B9-0877AE5FC370}"/>
    <cellStyle name="Currency 2 2 2 3 2 2 2 3" xfId="378" xr:uid="{00000000-0005-0000-0000-00007D010000}"/>
    <cellStyle name="Currency 2 2 2 3 2 2 2 4" xfId="2117" xr:uid="{05FEDDA7-02C6-4ABA-932C-C3317BBEBD2E}"/>
    <cellStyle name="Currency 2 2 2 3 2 2 3" xfId="379" xr:uid="{00000000-0005-0000-0000-00007E010000}"/>
    <cellStyle name="Currency 2 2 2 3 2 2 3 2" xfId="380" xr:uid="{00000000-0005-0000-0000-00007F010000}"/>
    <cellStyle name="Currency 2 2 2 3 2 2 3 3" xfId="2119" xr:uid="{B4CA1ACC-F04A-4BDA-A8E9-E00BC475B4B0}"/>
    <cellStyle name="Currency 2 2 2 3 2 2 4" xfId="381" xr:uid="{00000000-0005-0000-0000-000080010000}"/>
    <cellStyle name="Currency 2 2 2 3 2 2 5" xfId="2116" xr:uid="{022F231F-2824-462B-847E-F9338154F7C6}"/>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2 3" xfId="2121" xr:uid="{1387C16F-687A-4CF2-B906-43BA018806A4}"/>
    <cellStyle name="Currency 2 2 2 3 2 3 3" xfId="385" xr:uid="{00000000-0005-0000-0000-000084010000}"/>
    <cellStyle name="Currency 2 2 2 3 2 3 4" xfId="2120" xr:uid="{E2020E57-9B0F-48C3-94C2-095D2313F16F}"/>
    <cellStyle name="Currency 2 2 2 3 2 4" xfId="386" xr:uid="{00000000-0005-0000-0000-000085010000}"/>
    <cellStyle name="Currency 2 2 2 3 2 4 2" xfId="387" xr:uid="{00000000-0005-0000-0000-000086010000}"/>
    <cellStyle name="Currency 2 2 2 3 2 4 3" xfId="2122" xr:uid="{A73B764D-1147-454E-B487-6445A1320CA4}"/>
    <cellStyle name="Currency 2 2 2 3 2 5" xfId="388" xr:uid="{00000000-0005-0000-0000-000087010000}"/>
    <cellStyle name="Currency 2 2 2 3 2 6" xfId="2115" xr:uid="{67827766-5E10-44BF-ABFA-23A5CA92C542}"/>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2 3" xfId="2125" xr:uid="{E769B9CD-CFE0-4D8A-A816-E98757DE4BEF}"/>
    <cellStyle name="Currency 2 2 2 3 3 2 3" xfId="393" xr:uid="{00000000-0005-0000-0000-00008C010000}"/>
    <cellStyle name="Currency 2 2 2 3 3 2 4" xfId="2124" xr:uid="{BD440A59-82A9-4631-8FD7-9F68D26169D8}"/>
    <cellStyle name="Currency 2 2 2 3 3 3" xfId="394" xr:uid="{00000000-0005-0000-0000-00008D010000}"/>
    <cellStyle name="Currency 2 2 2 3 3 3 2" xfId="395" xr:uid="{00000000-0005-0000-0000-00008E010000}"/>
    <cellStyle name="Currency 2 2 2 3 3 3 3" xfId="2126" xr:uid="{BC5DBA35-49A3-4A8E-A784-DC3714690ECC}"/>
    <cellStyle name="Currency 2 2 2 3 3 4" xfId="396" xr:uid="{00000000-0005-0000-0000-00008F010000}"/>
    <cellStyle name="Currency 2 2 2 3 3 5" xfId="2123" xr:uid="{73B85286-86EC-4F29-8A2C-C3BBF6AC92E3}"/>
    <cellStyle name="Currency 2 2 2 3 4" xfId="397" xr:uid="{00000000-0005-0000-0000-000090010000}"/>
    <cellStyle name="Currency 2 2 2 3 4 2" xfId="398" xr:uid="{00000000-0005-0000-0000-000091010000}"/>
    <cellStyle name="Currency 2 2 2 3 4 2 2" xfId="399" xr:uid="{00000000-0005-0000-0000-000092010000}"/>
    <cellStyle name="Currency 2 2 2 3 4 2 3" xfId="2128" xr:uid="{474812A4-AFC2-46FF-BC94-ABD88AF50AC3}"/>
    <cellStyle name="Currency 2 2 2 3 4 3" xfId="400" xr:uid="{00000000-0005-0000-0000-000093010000}"/>
    <cellStyle name="Currency 2 2 2 3 4 4" xfId="2127" xr:uid="{9CA58FE1-C78D-4C59-988A-B1545714FB88}"/>
    <cellStyle name="Currency 2 2 2 3 5" xfId="401" xr:uid="{00000000-0005-0000-0000-000094010000}"/>
    <cellStyle name="Currency 2 2 2 3 5 2" xfId="402" xr:uid="{00000000-0005-0000-0000-000095010000}"/>
    <cellStyle name="Currency 2 2 2 3 5 3" xfId="2129" xr:uid="{35632B86-B0D2-4BC8-88B3-CB3DD9EA5D2B}"/>
    <cellStyle name="Currency 2 2 2 3 6" xfId="403" xr:uid="{00000000-0005-0000-0000-000096010000}"/>
    <cellStyle name="Currency 2 2 2 3 7" xfId="2114" xr:uid="{2C0210A2-705C-4335-A853-AA54250662A2}"/>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2 3" xfId="2133" xr:uid="{3BC90DAD-32C7-4229-9756-FE3C3D0A63C7}"/>
    <cellStyle name="Currency 2 2 2 4 2 2 3" xfId="409" xr:uid="{00000000-0005-0000-0000-00009C010000}"/>
    <cellStyle name="Currency 2 2 2 4 2 2 4" xfId="2132" xr:uid="{61DF412C-44B3-4619-B63A-4963599DEDCF}"/>
    <cellStyle name="Currency 2 2 2 4 2 3" xfId="410" xr:uid="{00000000-0005-0000-0000-00009D010000}"/>
    <cellStyle name="Currency 2 2 2 4 2 3 2" xfId="411" xr:uid="{00000000-0005-0000-0000-00009E010000}"/>
    <cellStyle name="Currency 2 2 2 4 2 3 3" xfId="2134" xr:uid="{31DF27C2-E870-4E2F-A1A9-BA14A68A2EFC}"/>
    <cellStyle name="Currency 2 2 2 4 2 4" xfId="412" xr:uid="{00000000-0005-0000-0000-00009F010000}"/>
    <cellStyle name="Currency 2 2 2 4 2 5" xfId="2131" xr:uid="{A5F2E0AB-DA1B-4FD8-A95A-2B059A2C207B}"/>
    <cellStyle name="Currency 2 2 2 4 3" xfId="413" xr:uid="{00000000-0005-0000-0000-0000A0010000}"/>
    <cellStyle name="Currency 2 2 2 4 3 2" xfId="414" xr:uid="{00000000-0005-0000-0000-0000A1010000}"/>
    <cellStyle name="Currency 2 2 2 4 3 2 2" xfId="415" xr:uid="{00000000-0005-0000-0000-0000A2010000}"/>
    <cellStyle name="Currency 2 2 2 4 3 2 3" xfId="2136" xr:uid="{276B40F9-1403-4A70-9F9C-7AA61745CABE}"/>
    <cellStyle name="Currency 2 2 2 4 3 3" xfId="416" xr:uid="{00000000-0005-0000-0000-0000A3010000}"/>
    <cellStyle name="Currency 2 2 2 4 3 4" xfId="2135" xr:uid="{15819DAC-A9F5-424A-B3F2-A23D7727EEE7}"/>
    <cellStyle name="Currency 2 2 2 4 4" xfId="417" xr:uid="{00000000-0005-0000-0000-0000A4010000}"/>
    <cellStyle name="Currency 2 2 2 4 4 2" xfId="418" xr:uid="{00000000-0005-0000-0000-0000A5010000}"/>
    <cellStyle name="Currency 2 2 2 4 4 3" xfId="2137" xr:uid="{7B0DB4A3-32CA-444D-8B19-EA3F2028006E}"/>
    <cellStyle name="Currency 2 2 2 4 5" xfId="419" xr:uid="{00000000-0005-0000-0000-0000A6010000}"/>
    <cellStyle name="Currency 2 2 2 4 6" xfId="2130" xr:uid="{1E3D1BA8-0D46-4160-831A-F67F4D7FD627}"/>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2 3" xfId="2140" xr:uid="{788D5EAE-DC89-41B0-9C83-988EE6169A83}"/>
    <cellStyle name="Currency 2 2 2 5 2 3" xfId="424" xr:uid="{00000000-0005-0000-0000-0000AB010000}"/>
    <cellStyle name="Currency 2 2 2 5 2 4" xfId="2139" xr:uid="{1141B129-3DEE-4A5E-96A3-C61017814FA3}"/>
    <cellStyle name="Currency 2 2 2 5 3" xfId="425" xr:uid="{00000000-0005-0000-0000-0000AC010000}"/>
    <cellStyle name="Currency 2 2 2 5 3 2" xfId="426" xr:uid="{00000000-0005-0000-0000-0000AD010000}"/>
    <cellStyle name="Currency 2 2 2 5 3 3" xfId="2141" xr:uid="{99F6BA53-2C76-4AC4-B2B7-F862A63A661E}"/>
    <cellStyle name="Currency 2 2 2 5 4" xfId="427" xr:uid="{00000000-0005-0000-0000-0000AE010000}"/>
    <cellStyle name="Currency 2 2 2 5 5" xfId="2138" xr:uid="{BD4E48A2-2F90-4AE3-B406-60E0C33C0A43}"/>
    <cellStyle name="Currency 2 2 2 6" xfId="428" xr:uid="{00000000-0005-0000-0000-0000AF010000}"/>
    <cellStyle name="Currency 2 2 2 6 2" xfId="429" xr:uid="{00000000-0005-0000-0000-0000B0010000}"/>
    <cellStyle name="Currency 2 2 2 6 2 2" xfId="430" xr:uid="{00000000-0005-0000-0000-0000B1010000}"/>
    <cellStyle name="Currency 2 2 2 6 2 3" xfId="2143" xr:uid="{91BC1981-E3CA-449B-90B6-79EB7E21850D}"/>
    <cellStyle name="Currency 2 2 2 6 3" xfId="431" xr:uid="{00000000-0005-0000-0000-0000B2010000}"/>
    <cellStyle name="Currency 2 2 2 6 4" xfId="2142" xr:uid="{BC60036F-EDC7-43D5-9713-5A8E9574043E}"/>
    <cellStyle name="Currency 2 2 2 7" xfId="432" xr:uid="{00000000-0005-0000-0000-0000B3010000}"/>
    <cellStyle name="Currency 2 2 2 7 2" xfId="433" xr:uid="{00000000-0005-0000-0000-0000B4010000}"/>
    <cellStyle name="Currency 2 2 2 7 3" xfId="2144" xr:uid="{04EDAC99-9F2D-4A03-B856-5140BE1A5051}"/>
    <cellStyle name="Currency 2 2 2 8" xfId="434" xr:uid="{00000000-0005-0000-0000-0000B5010000}"/>
    <cellStyle name="Currency 2 2 2 8 2" xfId="435" xr:uid="{00000000-0005-0000-0000-0000B6010000}"/>
    <cellStyle name="Currency 2 2 2 8 3" xfId="2066" xr:uid="{CB7978E1-B0B6-4758-A7E4-666B28D49293}"/>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11" xfId="2013" xr:uid="{4F5A2A75-80F7-4808-BC3C-20AAEA36CD85}"/>
    <cellStyle name="Currency 2 2 3 12" xfId="2007" xr:uid="{F66AF7DD-C99D-46ED-90A0-998F38741CBB}"/>
    <cellStyle name="Currency 2 2 3 13" xfId="3042" xr:uid="{6415592B-CF92-4897-9BBE-E0F052A75839}"/>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2 3" xfId="2151" xr:uid="{FD576321-D4E1-4E85-9297-2FB394D534BD}"/>
    <cellStyle name="Currency 2 2 3 2 2 2 2 2 3" xfId="447" xr:uid="{00000000-0005-0000-0000-0000C2010000}"/>
    <cellStyle name="Currency 2 2 3 2 2 2 2 2 4" xfId="2150" xr:uid="{11DDA7CC-BDC2-47A5-A93E-1CED7C916F6F}"/>
    <cellStyle name="Currency 2 2 3 2 2 2 2 3" xfId="448" xr:uid="{00000000-0005-0000-0000-0000C3010000}"/>
    <cellStyle name="Currency 2 2 3 2 2 2 2 3 2" xfId="449" xr:uid="{00000000-0005-0000-0000-0000C4010000}"/>
    <cellStyle name="Currency 2 2 3 2 2 2 2 3 3" xfId="2152" xr:uid="{2F42F481-6AD0-47C3-817C-84AF85023AB7}"/>
    <cellStyle name="Currency 2 2 3 2 2 2 2 4" xfId="450" xr:uid="{00000000-0005-0000-0000-0000C5010000}"/>
    <cellStyle name="Currency 2 2 3 2 2 2 2 5" xfId="2149" xr:uid="{227411C7-5B6F-45E0-B2E1-F7A3FE7F1C58}"/>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2 3" xfId="2154" xr:uid="{E2C33E2A-4466-4BE9-90C3-FB45AD8CB314}"/>
    <cellStyle name="Currency 2 2 3 2 2 2 3 3" xfId="454" xr:uid="{00000000-0005-0000-0000-0000C9010000}"/>
    <cellStyle name="Currency 2 2 3 2 2 2 3 4" xfId="2153" xr:uid="{B5502B19-6E9D-48A5-9B54-4750C5CD5FCD}"/>
    <cellStyle name="Currency 2 2 3 2 2 2 4" xfId="455" xr:uid="{00000000-0005-0000-0000-0000CA010000}"/>
    <cellStyle name="Currency 2 2 3 2 2 2 4 2" xfId="456" xr:uid="{00000000-0005-0000-0000-0000CB010000}"/>
    <cellStyle name="Currency 2 2 3 2 2 2 4 3" xfId="2155" xr:uid="{313029B8-571F-4178-AC45-85DFE22EC884}"/>
    <cellStyle name="Currency 2 2 3 2 2 2 5" xfId="457" xr:uid="{00000000-0005-0000-0000-0000CC010000}"/>
    <cellStyle name="Currency 2 2 3 2 2 2 6" xfId="2148" xr:uid="{AE98E57F-D530-4D84-B2DA-B37EE2F70BD6}"/>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2 3" xfId="2158" xr:uid="{550E4947-7077-481B-826E-63458874FA90}"/>
    <cellStyle name="Currency 2 2 3 2 2 3 2 3" xfId="462" xr:uid="{00000000-0005-0000-0000-0000D1010000}"/>
    <cellStyle name="Currency 2 2 3 2 2 3 2 4" xfId="2157" xr:uid="{62537A5F-78B2-4EAA-B5C5-2154C366FE6C}"/>
    <cellStyle name="Currency 2 2 3 2 2 3 3" xfId="463" xr:uid="{00000000-0005-0000-0000-0000D2010000}"/>
    <cellStyle name="Currency 2 2 3 2 2 3 3 2" xfId="464" xr:uid="{00000000-0005-0000-0000-0000D3010000}"/>
    <cellStyle name="Currency 2 2 3 2 2 3 3 3" xfId="2159" xr:uid="{DF710948-5579-4CDC-9C5F-9DCB2C61B4CE}"/>
    <cellStyle name="Currency 2 2 3 2 2 3 4" xfId="465" xr:uid="{00000000-0005-0000-0000-0000D4010000}"/>
    <cellStyle name="Currency 2 2 3 2 2 3 5" xfId="2156" xr:uid="{5A82441C-4451-4E38-9AF2-75FD3991DEF3}"/>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2 3" xfId="2161" xr:uid="{321C6169-0A8B-48EF-9324-19898DFF7BB4}"/>
    <cellStyle name="Currency 2 2 3 2 2 4 3" xfId="469" xr:uid="{00000000-0005-0000-0000-0000D8010000}"/>
    <cellStyle name="Currency 2 2 3 2 2 4 4" xfId="2160" xr:uid="{3D41B466-EFE1-4C20-9070-38B778CAA490}"/>
    <cellStyle name="Currency 2 2 3 2 2 5" xfId="470" xr:uid="{00000000-0005-0000-0000-0000D9010000}"/>
    <cellStyle name="Currency 2 2 3 2 2 5 2" xfId="471" xr:uid="{00000000-0005-0000-0000-0000DA010000}"/>
    <cellStyle name="Currency 2 2 3 2 2 5 3" xfId="2162" xr:uid="{499ABA68-5FA3-44EA-8D8D-569AAB49617B}"/>
    <cellStyle name="Currency 2 2 3 2 2 6" xfId="472" xr:uid="{00000000-0005-0000-0000-0000DB010000}"/>
    <cellStyle name="Currency 2 2 3 2 2 7" xfId="2147" xr:uid="{6C3540E6-20C7-4CD3-B371-417A5855CFF5}"/>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2 3" xfId="2166" xr:uid="{A669A7F2-27D7-4C9F-9A9C-9BF67E9674A3}"/>
    <cellStyle name="Currency 2 2 3 2 3 2 2 3" xfId="478" xr:uid="{00000000-0005-0000-0000-0000E1010000}"/>
    <cellStyle name="Currency 2 2 3 2 3 2 2 4" xfId="2165" xr:uid="{547C2312-FB24-4EAD-B2A3-BBB910AA6DBD}"/>
    <cellStyle name="Currency 2 2 3 2 3 2 3" xfId="479" xr:uid="{00000000-0005-0000-0000-0000E2010000}"/>
    <cellStyle name="Currency 2 2 3 2 3 2 3 2" xfId="480" xr:uid="{00000000-0005-0000-0000-0000E3010000}"/>
    <cellStyle name="Currency 2 2 3 2 3 2 3 3" xfId="2167" xr:uid="{275F2054-7C0F-45A0-93F8-99BF860F42DF}"/>
    <cellStyle name="Currency 2 2 3 2 3 2 4" xfId="481" xr:uid="{00000000-0005-0000-0000-0000E4010000}"/>
    <cellStyle name="Currency 2 2 3 2 3 2 5" xfId="2164" xr:uid="{A48D73BD-EC1A-4FCB-8D13-F85FA1C76AC8}"/>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2 3" xfId="2169" xr:uid="{745DD3E4-E4E9-4B34-A571-5489475578A4}"/>
    <cellStyle name="Currency 2 2 3 2 3 3 3" xfId="485" xr:uid="{00000000-0005-0000-0000-0000E8010000}"/>
    <cellStyle name="Currency 2 2 3 2 3 3 4" xfId="2168" xr:uid="{53879CFE-9CF5-4C95-901D-1181B23B0BF5}"/>
    <cellStyle name="Currency 2 2 3 2 3 4" xfId="486" xr:uid="{00000000-0005-0000-0000-0000E9010000}"/>
    <cellStyle name="Currency 2 2 3 2 3 4 2" xfId="487" xr:uid="{00000000-0005-0000-0000-0000EA010000}"/>
    <cellStyle name="Currency 2 2 3 2 3 4 3" xfId="2170" xr:uid="{FDE5934D-D4AA-42A6-B3F9-75129C03948E}"/>
    <cellStyle name="Currency 2 2 3 2 3 5" xfId="488" xr:uid="{00000000-0005-0000-0000-0000EB010000}"/>
    <cellStyle name="Currency 2 2 3 2 3 6" xfId="2163" xr:uid="{5F8FD0C5-C338-4573-A620-F7CD1668AD6A}"/>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2 3" xfId="2173" xr:uid="{D33A683F-CBCD-4186-A31E-5F243DDD33BA}"/>
    <cellStyle name="Currency 2 2 3 2 4 2 3" xfId="493" xr:uid="{00000000-0005-0000-0000-0000F0010000}"/>
    <cellStyle name="Currency 2 2 3 2 4 2 4" xfId="2172" xr:uid="{E58ED319-916E-474E-8143-FCA724743570}"/>
    <cellStyle name="Currency 2 2 3 2 4 3" xfId="494" xr:uid="{00000000-0005-0000-0000-0000F1010000}"/>
    <cellStyle name="Currency 2 2 3 2 4 3 2" xfId="495" xr:uid="{00000000-0005-0000-0000-0000F2010000}"/>
    <cellStyle name="Currency 2 2 3 2 4 3 3" xfId="2174" xr:uid="{B56B0464-FE59-4D81-9536-5686A5321E4E}"/>
    <cellStyle name="Currency 2 2 3 2 4 4" xfId="496" xr:uid="{00000000-0005-0000-0000-0000F3010000}"/>
    <cellStyle name="Currency 2 2 3 2 4 5" xfId="2171" xr:uid="{33666C45-D59B-4C95-8784-15EFFF972566}"/>
    <cellStyle name="Currency 2 2 3 2 5" xfId="497" xr:uid="{00000000-0005-0000-0000-0000F4010000}"/>
    <cellStyle name="Currency 2 2 3 2 5 2" xfId="498" xr:uid="{00000000-0005-0000-0000-0000F5010000}"/>
    <cellStyle name="Currency 2 2 3 2 5 2 2" xfId="499" xr:uid="{00000000-0005-0000-0000-0000F6010000}"/>
    <cellStyle name="Currency 2 2 3 2 5 2 3" xfId="2176" xr:uid="{CC9A850E-E4A7-4CCA-A1A3-8CDE6C8374E2}"/>
    <cellStyle name="Currency 2 2 3 2 5 3" xfId="500" xr:uid="{00000000-0005-0000-0000-0000F7010000}"/>
    <cellStyle name="Currency 2 2 3 2 5 4" xfId="2175" xr:uid="{B1B4E5BB-F22D-4A89-91D7-631B18F2809E}"/>
    <cellStyle name="Currency 2 2 3 2 6" xfId="501" xr:uid="{00000000-0005-0000-0000-0000F8010000}"/>
    <cellStyle name="Currency 2 2 3 2 6 2" xfId="502" xr:uid="{00000000-0005-0000-0000-0000F9010000}"/>
    <cellStyle name="Currency 2 2 3 2 6 3" xfId="2177" xr:uid="{A2CA6B59-67EC-453F-A09F-FD9E0B2F001B}"/>
    <cellStyle name="Currency 2 2 3 2 7" xfId="503" xr:uid="{00000000-0005-0000-0000-0000FA010000}"/>
    <cellStyle name="Currency 2 2 3 2 8" xfId="2146" xr:uid="{7A71DE0D-39E0-48A2-9182-BA602645709D}"/>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2 3" xfId="2182" xr:uid="{D079A925-624F-47F0-B0AC-C34A9AF745FF}"/>
    <cellStyle name="Currency 2 2 3 3 2 2 2 3" xfId="510" xr:uid="{00000000-0005-0000-0000-000001020000}"/>
    <cellStyle name="Currency 2 2 3 3 2 2 2 4" xfId="2181" xr:uid="{D7AAAF96-7235-40F4-92DF-FC7834E94C04}"/>
    <cellStyle name="Currency 2 2 3 3 2 2 3" xfId="511" xr:uid="{00000000-0005-0000-0000-000002020000}"/>
    <cellStyle name="Currency 2 2 3 3 2 2 3 2" xfId="512" xr:uid="{00000000-0005-0000-0000-000003020000}"/>
    <cellStyle name="Currency 2 2 3 3 2 2 3 3" xfId="2183" xr:uid="{D97B514D-2EED-4160-B36B-016FB61AD48F}"/>
    <cellStyle name="Currency 2 2 3 3 2 2 4" xfId="513" xr:uid="{00000000-0005-0000-0000-000004020000}"/>
    <cellStyle name="Currency 2 2 3 3 2 2 5" xfId="2180" xr:uid="{9B066E09-A0F2-4A9D-9882-72E920563F12}"/>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2 3" xfId="2185" xr:uid="{AC528E33-85B9-476B-8C31-7739866112B9}"/>
    <cellStyle name="Currency 2 2 3 3 2 3 3" xfId="517" xr:uid="{00000000-0005-0000-0000-000008020000}"/>
    <cellStyle name="Currency 2 2 3 3 2 3 4" xfId="2184" xr:uid="{672AB626-200E-4C94-8816-F15D13201AD6}"/>
    <cellStyle name="Currency 2 2 3 3 2 4" xfId="518" xr:uid="{00000000-0005-0000-0000-000009020000}"/>
    <cellStyle name="Currency 2 2 3 3 2 4 2" xfId="519" xr:uid="{00000000-0005-0000-0000-00000A020000}"/>
    <cellStyle name="Currency 2 2 3 3 2 4 3" xfId="2186" xr:uid="{819F713B-5BCB-4ACA-B7A5-E33B728FB13A}"/>
    <cellStyle name="Currency 2 2 3 3 2 5" xfId="520" xr:uid="{00000000-0005-0000-0000-00000B020000}"/>
    <cellStyle name="Currency 2 2 3 3 2 6" xfId="2179" xr:uid="{2949A3FC-B15E-43A8-8F91-63F1C8B207EA}"/>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2 3" xfId="2189" xr:uid="{A58FB644-A13A-49A4-B63F-5DAE16AC20DE}"/>
    <cellStyle name="Currency 2 2 3 3 3 2 3" xfId="525" xr:uid="{00000000-0005-0000-0000-000010020000}"/>
    <cellStyle name="Currency 2 2 3 3 3 2 4" xfId="2188" xr:uid="{1910C361-A053-467B-A771-F808EC9C5AC2}"/>
    <cellStyle name="Currency 2 2 3 3 3 3" xfId="526" xr:uid="{00000000-0005-0000-0000-000011020000}"/>
    <cellStyle name="Currency 2 2 3 3 3 3 2" xfId="527" xr:uid="{00000000-0005-0000-0000-000012020000}"/>
    <cellStyle name="Currency 2 2 3 3 3 3 3" xfId="2190" xr:uid="{B692DD9E-6278-45FE-AFF8-2DD173794D72}"/>
    <cellStyle name="Currency 2 2 3 3 3 4" xfId="528" xr:uid="{00000000-0005-0000-0000-000013020000}"/>
    <cellStyle name="Currency 2 2 3 3 3 5" xfId="2187" xr:uid="{68E63B6D-BC03-41E4-88AD-194DEACF287C}"/>
    <cellStyle name="Currency 2 2 3 3 4" xfId="529" xr:uid="{00000000-0005-0000-0000-000014020000}"/>
    <cellStyle name="Currency 2 2 3 3 4 2" xfId="530" xr:uid="{00000000-0005-0000-0000-000015020000}"/>
    <cellStyle name="Currency 2 2 3 3 4 2 2" xfId="531" xr:uid="{00000000-0005-0000-0000-000016020000}"/>
    <cellStyle name="Currency 2 2 3 3 4 2 3" xfId="2192" xr:uid="{930FFB5D-56DE-4264-A8D8-8301CA7C2D7F}"/>
    <cellStyle name="Currency 2 2 3 3 4 3" xfId="532" xr:uid="{00000000-0005-0000-0000-000017020000}"/>
    <cellStyle name="Currency 2 2 3 3 4 4" xfId="2191" xr:uid="{B5F7FBBE-457C-429D-839D-E9384DA98D61}"/>
    <cellStyle name="Currency 2 2 3 3 5" xfId="533" xr:uid="{00000000-0005-0000-0000-000018020000}"/>
    <cellStyle name="Currency 2 2 3 3 5 2" xfId="534" xr:uid="{00000000-0005-0000-0000-000019020000}"/>
    <cellStyle name="Currency 2 2 3 3 5 3" xfId="2193" xr:uid="{60C5636C-3D48-4A71-BF64-7ADF59BB89DB}"/>
    <cellStyle name="Currency 2 2 3 3 6" xfId="535" xr:uid="{00000000-0005-0000-0000-00001A020000}"/>
    <cellStyle name="Currency 2 2 3 3 7" xfId="2178" xr:uid="{52D02F5F-B0CC-456A-AB1D-5F1BA5FEF331}"/>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2 3" xfId="2197" xr:uid="{6798B99B-CE9D-49D7-97A4-A6A7AC3C02F7}"/>
    <cellStyle name="Currency 2 2 3 4 2 2 3" xfId="541" xr:uid="{00000000-0005-0000-0000-000020020000}"/>
    <cellStyle name="Currency 2 2 3 4 2 2 4" xfId="2196" xr:uid="{D69C9855-FDB3-48DA-9821-F3E6859E743C}"/>
    <cellStyle name="Currency 2 2 3 4 2 3" xfId="542" xr:uid="{00000000-0005-0000-0000-000021020000}"/>
    <cellStyle name="Currency 2 2 3 4 2 3 2" xfId="543" xr:uid="{00000000-0005-0000-0000-000022020000}"/>
    <cellStyle name="Currency 2 2 3 4 2 3 3" xfId="2198" xr:uid="{47232D8D-C2F1-4109-93BE-761CBF7593F5}"/>
    <cellStyle name="Currency 2 2 3 4 2 4" xfId="544" xr:uid="{00000000-0005-0000-0000-000023020000}"/>
    <cellStyle name="Currency 2 2 3 4 2 5" xfId="2195" xr:uid="{A1B3C1B8-4932-46ED-9EAD-8A7A946DFACA}"/>
    <cellStyle name="Currency 2 2 3 4 3" xfId="545" xr:uid="{00000000-0005-0000-0000-000024020000}"/>
    <cellStyle name="Currency 2 2 3 4 3 2" xfId="546" xr:uid="{00000000-0005-0000-0000-000025020000}"/>
    <cellStyle name="Currency 2 2 3 4 3 2 2" xfId="547" xr:uid="{00000000-0005-0000-0000-000026020000}"/>
    <cellStyle name="Currency 2 2 3 4 3 2 3" xfId="2200" xr:uid="{20D1A7C9-191D-43AF-A2C1-0929008ADF07}"/>
    <cellStyle name="Currency 2 2 3 4 3 3" xfId="548" xr:uid="{00000000-0005-0000-0000-000027020000}"/>
    <cellStyle name="Currency 2 2 3 4 3 4" xfId="2199" xr:uid="{07455179-E1F5-4AD5-B52B-3AE5CA1AEDCB}"/>
    <cellStyle name="Currency 2 2 3 4 4" xfId="549" xr:uid="{00000000-0005-0000-0000-000028020000}"/>
    <cellStyle name="Currency 2 2 3 4 4 2" xfId="550" xr:uid="{00000000-0005-0000-0000-000029020000}"/>
    <cellStyle name="Currency 2 2 3 4 4 3" xfId="2201" xr:uid="{13085C48-A8F0-4946-BB2A-D3B1C1632710}"/>
    <cellStyle name="Currency 2 2 3 4 5" xfId="551" xr:uid="{00000000-0005-0000-0000-00002A020000}"/>
    <cellStyle name="Currency 2 2 3 4 6" xfId="2194" xr:uid="{CB6E4EC9-0A23-4950-BACC-C1C783527DAB}"/>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2 3" xfId="2204" xr:uid="{20017CCD-80FA-4F24-898B-7237236DBDB4}"/>
    <cellStyle name="Currency 2 2 3 5 2 3" xfId="556" xr:uid="{00000000-0005-0000-0000-00002F020000}"/>
    <cellStyle name="Currency 2 2 3 5 2 4" xfId="2203" xr:uid="{A42063A3-4168-4630-8BD3-249B87DC61C0}"/>
    <cellStyle name="Currency 2 2 3 5 3" xfId="557" xr:uid="{00000000-0005-0000-0000-000030020000}"/>
    <cellStyle name="Currency 2 2 3 5 3 2" xfId="558" xr:uid="{00000000-0005-0000-0000-000031020000}"/>
    <cellStyle name="Currency 2 2 3 5 3 3" xfId="2205" xr:uid="{A670A47B-A046-401B-ABA3-6078183DAF01}"/>
    <cellStyle name="Currency 2 2 3 5 4" xfId="559" xr:uid="{00000000-0005-0000-0000-000032020000}"/>
    <cellStyle name="Currency 2 2 3 5 5" xfId="2202" xr:uid="{B9796CEE-DC48-4971-9E08-1ABFB654FE23}"/>
    <cellStyle name="Currency 2 2 3 6" xfId="560" xr:uid="{00000000-0005-0000-0000-000033020000}"/>
    <cellStyle name="Currency 2 2 3 6 2" xfId="561" xr:uid="{00000000-0005-0000-0000-000034020000}"/>
    <cellStyle name="Currency 2 2 3 6 2 2" xfId="562" xr:uid="{00000000-0005-0000-0000-000035020000}"/>
    <cellStyle name="Currency 2 2 3 6 2 3" xfId="2207" xr:uid="{AEEECE3C-FA31-4F91-889B-6450C505644F}"/>
    <cellStyle name="Currency 2 2 3 6 3" xfId="563" xr:uid="{00000000-0005-0000-0000-000036020000}"/>
    <cellStyle name="Currency 2 2 3 6 4" xfId="2206" xr:uid="{F533D305-B1DF-40EB-BC1E-B6126967DA93}"/>
    <cellStyle name="Currency 2 2 3 7" xfId="564" xr:uid="{00000000-0005-0000-0000-000037020000}"/>
    <cellStyle name="Currency 2 2 3 7 2" xfId="565" xr:uid="{00000000-0005-0000-0000-000038020000}"/>
    <cellStyle name="Currency 2 2 3 7 3" xfId="2208" xr:uid="{2107F1B7-1288-4AC6-B6F0-9B24475DF81B}"/>
    <cellStyle name="Currency 2 2 3 8" xfId="566" xr:uid="{00000000-0005-0000-0000-000039020000}"/>
    <cellStyle name="Currency 2 2 3 8 2" xfId="567" xr:uid="{00000000-0005-0000-0000-00003A020000}"/>
    <cellStyle name="Currency 2 2 3 8 3" xfId="2145" xr:uid="{846963F7-8A25-4ACD-B3D0-95F78129C2EC}"/>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2 3" xfId="2214" xr:uid="{B549CA82-98C5-4102-AEFD-A3272DD93C2A}"/>
    <cellStyle name="Currency 2 2 4 2 2 2 2 3" xfId="577" xr:uid="{00000000-0005-0000-0000-000044020000}"/>
    <cellStyle name="Currency 2 2 4 2 2 2 2 4" xfId="2213" xr:uid="{5869120D-01C3-4BDF-B1B8-D4A11D15108F}"/>
    <cellStyle name="Currency 2 2 4 2 2 2 3" xfId="578" xr:uid="{00000000-0005-0000-0000-000045020000}"/>
    <cellStyle name="Currency 2 2 4 2 2 2 3 2" xfId="579" xr:uid="{00000000-0005-0000-0000-000046020000}"/>
    <cellStyle name="Currency 2 2 4 2 2 2 3 3" xfId="2215" xr:uid="{8AF76DC6-123C-426F-9045-FC68354CB40A}"/>
    <cellStyle name="Currency 2 2 4 2 2 2 4" xfId="580" xr:uid="{00000000-0005-0000-0000-000047020000}"/>
    <cellStyle name="Currency 2 2 4 2 2 2 5" xfId="2212" xr:uid="{884BA6FA-965E-44A8-A053-E6257CA71C5C}"/>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2 3" xfId="2217" xr:uid="{4BDD44CE-F231-4F74-8604-E08A06C7389D}"/>
    <cellStyle name="Currency 2 2 4 2 2 3 3" xfId="584" xr:uid="{00000000-0005-0000-0000-00004B020000}"/>
    <cellStyle name="Currency 2 2 4 2 2 3 4" xfId="2216" xr:uid="{325BACF2-4E48-41CE-A689-CC6AEA706987}"/>
    <cellStyle name="Currency 2 2 4 2 2 4" xfId="585" xr:uid="{00000000-0005-0000-0000-00004C020000}"/>
    <cellStyle name="Currency 2 2 4 2 2 4 2" xfId="586" xr:uid="{00000000-0005-0000-0000-00004D020000}"/>
    <cellStyle name="Currency 2 2 4 2 2 4 3" xfId="2218" xr:uid="{D010DC59-8DD6-4C44-A67A-9A9F5CA1F88C}"/>
    <cellStyle name="Currency 2 2 4 2 2 5" xfId="587" xr:uid="{00000000-0005-0000-0000-00004E020000}"/>
    <cellStyle name="Currency 2 2 4 2 2 6" xfId="2211" xr:uid="{A90E82EF-BAAF-416F-83AB-4B211730AFE9}"/>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2 3" xfId="2221" xr:uid="{720BDDF2-51A4-42B5-BAC0-B20F24FF1C87}"/>
    <cellStyle name="Currency 2 2 4 2 3 2 3" xfId="592" xr:uid="{00000000-0005-0000-0000-000053020000}"/>
    <cellStyle name="Currency 2 2 4 2 3 2 4" xfId="2220" xr:uid="{3041D35E-FA7D-4466-AF16-77252DA27D51}"/>
    <cellStyle name="Currency 2 2 4 2 3 3" xfId="593" xr:uid="{00000000-0005-0000-0000-000054020000}"/>
    <cellStyle name="Currency 2 2 4 2 3 3 2" xfId="594" xr:uid="{00000000-0005-0000-0000-000055020000}"/>
    <cellStyle name="Currency 2 2 4 2 3 3 3" xfId="2222" xr:uid="{EB2CFB05-273A-4133-915B-BF5DD167081C}"/>
    <cellStyle name="Currency 2 2 4 2 3 4" xfId="595" xr:uid="{00000000-0005-0000-0000-000056020000}"/>
    <cellStyle name="Currency 2 2 4 2 3 5" xfId="2219" xr:uid="{0C7CBE68-55F6-4724-BC7C-59499A8A1BC1}"/>
    <cellStyle name="Currency 2 2 4 2 4" xfId="596" xr:uid="{00000000-0005-0000-0000-000057020000}"/>
    <cellStyle name="Currency 2 2 4 2 4 2" xfId="597" xr:uid="{00000000-0005-0000-0000-000058020000}"/>
    <cellStyle name="Currency 2 2 4 2 4 2 2" xfId="598" xr:uid="{00000000-0005-0000-0000-000059020000}"/>
    <cellStyle name="Currency 2 2 4 2 4 2 3" xfId="2224" xr:uid="{79619A30-F389-428A-A628-EF733F0F9840}"/>
    <cellStyle name="Currency 2 2 4 2 4 3" xfId="599" xr:uid="{00000000-0005-0000-0000-00005A020000}"/>
    <cellStyle name="Currency 2 2 4 2 4 4" xfId="2223" xr:uid="{D2AD8788-3AC5-4DF0-AE7A-E41F8E8D8E74}"/>
    <cellStyle name="Currency 2 2 4 2 5" xfId="600" xr:uid="{00000000-0005-0000-0000-00005B020000}"/>
    <cellStyle name="Currency 2 2 4 2 5 2" xfId="601" xr:uid="{00000000-0005-0000-0000-00005C020000}"/>
    <cellStyle name="Currency 2 2 4 2 5 3" xfId="2225" xr:uid="{ABF27274-9DDF-4240-B9B1-3AA915FE44D0}"/>
    <cellStyle name="Currency 2 2 4 2 6" xfId="602" xr:uid="{00000000-0005-0000-0000-00005D020000}"/>
    <cellStyle name="Currency 2 2 4 2 7" xfId="2210" xr:uid="{9160D0A5-2D09-4F69-B201-C062161951BD}"/>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2 3" xfId="2229" xr:uid="{061D2892-E140-4A1B-B5BC-29A52E448873}"/>
    <cellStyle name="Currency 2 2 4 3 2 2 3" xfId="608" xr:uid="{00000000-0005-0000-0000-000063020000}"/>
    <cellStyle name="Currency 2 2 4 3 2 2 4" xfId="2228" xr:uid="{B6EE267B-D5C4-4961-84CD-D1074D3BB421}"/>
    <cellStyle name="Currency 2 2 4 3 2 3" xfId="609" xr:uid="{00000000-0005-0000-0000-000064020000}"/>
    <cellStyle name="Currency 2 2 4 3 2 3 2" xfId="610" xr:uid="{00000000-0005-0000-0000-000065020000}"/>
    <cellStyle name="Currency 2 2 4 3 2 3 3" xfId="2230" xr:uid="{0B8447EF-FEB7-4465-ACA8-474B83EE7EB7}"/>
    <cellStyle name="Currency 2 2 4 3 2 4" xfId="611" xr:uid="{00000000-0005-0000-0000-000066020000}"/>
    <cellStyle name="Currency 2 2 4 3 2 5" xfId="2227" xr:uid="{5F874D2E-F7E5-421A-8B68-9854CD024C55}"/>
    <cellStyle name="Currency 2 2 4 3 3" xfId="612" xr:uid="{00000000-0005-0000-0000-000067020000}"/>
    <cellStyle name="Currency 2 2 4 3 3 2" xfId="613" xr:uid="{00000000-0005-0000-0000-000068020000}"/>
    <cellStyle name="Currency 2 2 4 3 3 2 2" xfId="614" xr:uid="{00000000-0005-0000-0000-000069020000}"/>
    <cellStyle name="Currency 2 2 4 3 3 2 3" xfId="2232" xr:uid="{93CF1A77-4A64-4501-8E4D-2A754D0355B4}"/>
    <cellStyle name="Currency 2 2 4 3 3 3" xfId="615" xr:uid="{00000000-0005-0000-0000-00006A020000}"/>
    <cellStyle name="Currency 2 2 4 3 3 4" xfId="2231" xr:uid="{9E05BA88-6D34-4F2B-8EE0-5EA1969D7C2D}"/>
    <cellStyle name="Currency 2 2 4 3 4" xfId="616" xr:uid="{00000000-0005-0000-0000-00006B020000}"/>
    <cellStyle name="Currency 2 2 4 3 4 2" xfId="617" xr:uid="{00000000-0005-0000-0000-00006C020000}"/>
    <cellStyle name="Currency 2 2 4 3 4 3" xfId="2233" xr:uid="{ED360E79-00E3-4727-9E85-636BD0763357}"/>
    <cellStyle name="Currency 2 2 4 3 5" xfId="618" xr:uid="{00000000-0005-0000-0000-00006D020000}"/>
    <cellStyle name="Currency 2 2 4 3 6" xfId="2226" xr:uid="{BDA174FF-7A6A-46B6-87E6-654E585C827C}"/>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2 3" xfId="2236" xr:uid="{7D4EE4FA-49D7-4D3D-9C47-79221EF9E47A}"/>
    <cellStyle name="Currency 2 2 4 4 2 3" xfId="623" xr:uid="{00000000-0005-0000-0000-000072020000}"/>
    <cellStyle name="Currency 2 2 4 4 2 4" xfId="2235" xr:uid="{2777DA70-38B5-4169-9497-F3F6DC735647}"/>
    <cellStyle name="Currency 2 2 4 4 3" xfId="624" xr:uid="{00000000-0005-0000-0000-000073020000}"/>
    <cellStyle name="Currency 2 2 4 4 3 2" xfId="625" xr:uid="{00000000-0005-0000-0000-000074020000}"/>
    <cellStyle name="Currency 2 2 4 4 3 3" xfId="2237" xr:uid="{6C9FAA00-1B81-4D1D-B046-090F3DD01C44}"/>
    <cellStyle name="Currency 2 2 4 4 4" xfId="626" xr:uid="{00000000-0005-0000-0000-000075020000}"/>
    <cellStyle name="Currency 2 2 4 4 5" xfId="2234" xr:uid="{5653C0CF-65F1-4CDB-82F3-1102CA9E358A}"/>
    <cellStyle name="Currency 2 2 4 5" xfId="627" xr:uid="{00000000-0005-0000-0000-000076020000}"/>
    <cellStyle name="Currency 2 2 4 5 2" xfId="628" xr:uid="{00000000-0005-0000-0000-000077020000}"/>
    <cellStyle name="Currency 2 2 4 5 2 2" xfId="629" xr:uid="{00000000-0005-0000-0000-000078020000}"/>
    <cellStyle name="Currency 2 2 4 5 2 3" xfId="2239" xr:uid="{9260BE5E-4F0E-4586-A806-C06CE65F3E34}"/>
    <cellStyle name="Currency 2 2 4 5 3" xfId="630" xr:uid="{00000000-0005-0000-0000-000079020000}"/>
    <cellStyle name="Currency 2 2 4 5 4" xfId="2238" xr:uid="{4DA394BC-94DB-468F-9130-C8678E1802EF}"/>
    <cellStyle name="Currency 2 2 4 6" xfId="631" xr:uid="{00000000-0005-0000-0000-00007A020000}"/>
    <cellStyle name="Currency 2 2 4 6 2" xfId="632" xr:uid="{00000000-0005-0000-0000-00007B020000}"/>
    <cellStyle name="Currency 2 2 4 6 3" xfId="2240" xr:uid="{0CAE5831-B43E-404C-8B3C-16ABA761EBBB}"/>
    <cellStyle name="Currency 2 2 4 7" xfId="633" xr:uid="{00000000-0005-0000-0000-00007C020000}"/>
    <cellStyle name="Currency 2 2 4 8" xfId="2209" xr:uid="{9B457207-18A3-4ACF-881C-E1E5F9223ED8}"/>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2 3" xfId="2245" xr:uid="{8A0B9810-0F41-4592-BECA-2BEE4E8BB4FC}"/>
    <cellStyle name="Currency 2 2 5 2 2 2 3" xfId="640" xr:uid="{00000000-0005-0000-0000-000083020000}"/>
    <cellStyle name="Currency 2 2 5 2 2 2 4" xfId="2244" xr:uid="{18EEF391-5742-4C99-80B8-787B5DB4052C}"/>
    <cellStyle name="Currency 2 2 5 2 2 3" xfId="641" xr:uid="{00000000-0005-0000-0000-000084020000}"/>
    <cellStyle name="Currency 2 2 5 2 2 3 2" xfId="642" xr:uid="{00000000-0005-0000-0000-000085020000}"/>
    <cellStyle name="Currency 2 2 5 2 2 3 3" xfId="2246" xr:uid="{5BFA7237-7110-45F3-875D-2D47C9EFE51C}"/>
    <cellStyle name="Currency 2 2 5 2 2 4" xfId="643" xr:uid="{00000000-0005-0000-0000-000086020000}"/>
    <cellStyle name="Currency 2 2 5 2 2 5" xfId="2243" xr:uid="{332C5A3F-6A1B-48D0-AF0D-0433B98B6A6C}"/>
    <cellStyle name="Currency 2 2 5 2 3" xfId="644" xr:uid="{00000000-0005-0000-0000-000087020000}"/>
    <cellStyle name="Currency 2 2 5 2 3 2" xfId="645" xr:uid="{00000000-0005-0000-0000-000088020000}"/>
    <cellStyle name="Currency 2 2 5 2 3 2 2" xfId="646" xr:uid="{00000000-0005-0000-0000-000089020000}"/>
    <cellStyle name="Currency 2 2 5 2 3 2 3" xfId="2248" xr:uid="{C92D8AFA-3C59-48D8-A912-EAEA2843456E}"/>
    <cellStyle name="Currency 2 2 5 2 3 3" xfId="647" xr:uid="{00000000-0005-0000-0000-00008A020000}"/>
    <cellStyle name="Currency 2 2 5 2 3 4" xfId="2247" xr:uid="{A0E21C62-2E3A-49E1-A978-0A5A00257E33}"/>
    <cellStyle name="Currency 2 2 5 2 4" xfId="648" xr:uid="{00000000-0005-0000-0000-00008B020000}"/>
    <cellStyle name="Currency 2 2 5 2 4 2" xfId="649" xr:uid="{00000000-0005-0000-0000-00008C020000}"/>
    <cellStyle name="Currency 2 2 5 2 4 3" xfId="2249" xr:uid="{9FFC6AE0-A2CC-45A3-932A-E4CF9F41AC8D}"/>
    <cellStyle name="Currency 2 2 5 2 5" xfId="650" xr:uid="{00000000-0005-0000-0000-00008D020000}"/>
    <cellStyle name="Currency 2 2 5 2 6" xfId="2242" xr:uid="{D8CEDFFA-9B2F-43C7-920A-F22D47EDC40C}"/>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2 3" xfId="2252" xr:uid="{0F477C62-D133-432B-8A96-E42AB1524FAF}"/>
    <cellStyle name="Currency 2 2 5 3 2 3" xfId="655" xr:uid="{00000000-0005-0000-0000-000092020000}"/>
    <cellStyle name="Currency 2 2 5 3 2 4" xfId="2251" xr:uid="{92E03247-7800-45A1-B52E-62B98A2BB301}"/>
    <cellStyle name="Currency 2 2 5 3 3" xfId="656" xr:uid="{00000000-0005-0000-0000-000093020000}"/>
    <cellStyle name="Currency 2 2 5 3 3 2" xfId="657" xr:uid="{00000000-0005-0000-0000-000094020000}"/>
    <cellStyle name="Currency 2 2 5 3 3 3" xfId="2253" xr:uid="{6E2473D9-43BF-41AB-807C-43B83381F899}"/>
    <cellStyle name="Currency 2 2 5 3 4" xfId="658" xr:uid="{00000000-0005-0000-0000-000095020000}"/>
    <cellStyle name="Currency 2 2 5 3 5" xfId="2250" xr:uid="{BAC265F2-022A-404D-A62B-0EDEB67C984B}"/>
    <cellStyle name="Currency 2 2 5 4" xfId="659" xr:uid="{00000000-0005-0000-0000-000096020000}"/>
    <cellStyle name="Currency 2 2 5 4 2" xfId="660" xr:uid="{00000000-0005-0000-0000-000097020000}"/>
    <cellStyle name="Currency 2 2 5 4 2 2" xfId="661" xr:uid="{00000000-0005-0000-0000-000098020000}"/>
    <cellStyle name="Currency 2 2 5 4 2 3" xfId="2255" xr:uid="{3814C2AE-6954-42C4-BB43-2A21AEBB9C08}"/>
    <cellStyle name="Currency 2 2 5 4 3" xfId="662" xr:uid="{00000000-0005-0000-0000-000099020000}"/>
    <cellStyle name="Currency 2 2 5 4 4" xfId="2254" xr:uid="{B7CC7C6A-75C4-4F85-9D7A-259BEAC2E331}"/>
    <cellStyle name="Currency 2 2 5 5" xfId="663" xr:uid="{00000000-0005-0000-0000-00009A020000}"/>
    <cellStyle name="Currency 2 2 5 5 2" xfId="664" xr:uid="{00000000-0005-0000-0000-00009B020000}"/>
    <cellStyle name="Currency 2 2 5 5 3" xfId="2256" xr:uid="{5E8E65B8-C52D-49FF-A896-23E0895E51FB}"/>
    <cellStyle name="Currency 2 2 5 6" xfId="665" xr:uid="{00000000-0005-0000-0000-00009C020000}"/>
    <cellStyle name="Currency 2 2 5 7" xfId="2241" xr:uid="{9B5E6DD6-1A62-4E1B-9DB1-89BF246B9CD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2 3" xfId="2260" xr:uid="{A5AD3FCF-4768-4457-BEFF-1FBD22DE567B}"/>
    <cellStyle name="Currency 2 2 6 2 2 3" xfId="671" xr:uid="{00000000-0005-0000-0000-0000A2020000}"/>
    <cellStyle name="Currency 2 2 6 2 2 4" xfId="2259" xr:uid="{64302AA3-AA04-4377-88B8-9BA32C19BDCF}"/>
    <cellStyle name="Currency 2 2 6 2 3" xfId="672" xr:uid="{00000000-0005-0000-0000-0000A3020000}"/>
    <cellStyle name="Currency 2 2 6 2 3 2" xfId="673" xr:uid="{00000000-0005-0000-0000-0000A4020000}"/>
    <cellStyle name="Currency 2 2 6 2 3 3" xfId="2261" xr:uid="{D7E61E45-5979-4AEE-BA22-AD78A4B27A61}"/>
    <cellStyle name="Currency 2 2 6 2 4" xfId="674" xr:uid="{00000000-0005-0000-0000-0000A5020000}"/>
    <cellStyle name="Currency 2 2 6 2 5" xfId="2258" xr:uid="{21A0F9B4-A936-465C-95F3-0155DCE113B5}"/>
    <cellStyle name="Currency 2 2 6 3" xfId="675" xr:uid="{00000000-0005-0000-0000-0000A6020000}"/>
    <cellStyle name="Currency 2 2 6 3 2" xfId="676" xr:uid="{00000000-0005-0000-0000-0000A7020000}"/>
    <cellStyle name="Currency 2 2 6 3 2 2" xfId="677" xr:uid="{00000000-0005-0000-0000-0000A8020000}"/>
    <cellStyle name="Currency 2 2 6 3 2 3" xfId="2263" xr:uid="{B17D12DA-11AA-4DDE-B65B-F818B0B5258C}"/>
    <cellStyle name="Currency 2 2 6 3 3" xfId="678" xr:uid="{00000000-0005-0000-0000-0000A9020000}"/>
    <cellStyle name="Currency 2 2 6 3 4" xfId="2262" xr:uid="{C2B0B80C-C0EE-4D65-B69B-D77DDFC9D46E}"/>
    <cellStyle name="Currency 2 2 6 4" xfId="679" xr:uid="{00000000-0005-0000-0000-0000AA020000}"/>
    <cellStyle name="Currency 2 2 6 4 2" xfId="680" xr:uid="{00000000-0005-0000-0000-0000AB020000}"/>
    <cellStyle name="Currency 2 2 6 4 3" xfId="2264" xr:uid="{D577B17A-2C31-4FD0-8C64-8C9D2C4F7AB3}"/>
    <cellStyle name="Currency 2 2 6 5" xfId="681" xr:uid="{00000000-0005-0000-0000-0000AC020000}"/>
    <cellStyle name="Currency 2 2 6 6" xfId="2257" xr:uid="{C7049865-8269-48AB-9725-8514BF5D98D2}"/>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2 3" xfId="2267" xr:uid="{EA895ACA-55AD-4BC3-9C40-248D9C6F1F60}"/>
    <cellStyle name="Currency 2 2 7 2 3" xfId="686" xr:uid="{00000000-0005-0000-0000-0000B1020000}"/>
    <cellStyle name="Currency 2 2 7 2 4" xfId="2266" xr:uid="{F8E9F076-D8C1-43DB-8DF9-F2E628D44CCD}"/>
    <cellStyle name="Currency 2 2 7 3" xfId="687" xr:uid="{00000000-0005-0000-0000-0000B2020000}"/>
    <cellStyle name="Currency 2 2 7 3 2" xfId="688" xr:uid="{00000000-0005-0000-0000-0000B3020000}"/>
    <cellStyle name="Currency 2 2 7 3 3" xfId="2268" xr:uid="{8ED79ADF-EFC7-4341-A2C4-B8BA30354939}"/>
    <cellStyle name="Currency 2 2 7 4" xfId="689" xr:uid="{00000000-0005-0000-0000-0000B4020000}"/>
    <cellStyle name="Currency 2 2 7 5" xfId="2265" xr:uid="{DEB4FF22-2918-4391-857B-2049CD69468E}"/>
    <cellStyle name="Currency 2 2 8" xfId="690" xr:uid="{00000000-0005-0000-0000-0000B5020000}"/>
    <cellStyle name="Currency 2 2 8 2" xfId="691" xr:uid="{00000000-0005-0000-0000-0000B6020000}"/>
    <cellStyle name="Currency 2 2 8 2 2" xfId="692" xr:uid="{00000000-0005-0000-0000-0000B7020000}"/>
    <cellStyle name="Currency 2 2 8 2 3" xfId="2270" xr:uid="{E44AA62D-A8FC-4C46-A997-F0735FDDD4B2}"/>
    <cellStyle name="Currency 2 2 8 3" xfId="693" xr:uid="{00000000-0005-0000-0000-0000B8020000}"/>
    <cellStyle name="Currency 2 2 8 4" xfId="2269" xr:uid="{9A393DA6-1560-4319-B272-87DA4EE1FA2C}"/>
    <cellStyle name="Currency 2 2 9" xfId="694" xr:uid="{00000000-0005-0000-0000-0000B9020000}"/>
    <cellStyle name="Currency 2 2 9 2" xfId="695" xr:uid="{00000000-0005-0000-0000-0000BA020000}"/>
    <cellStyle name="Currency 2 2 9 3" xfId="2271" xr:uid="{4AF19001-B6E4-4655-B6EC-98D707FAD14E}"/>
    <cellStyle name="Currency 2 3" xfId="696" xr:uid="{00000000-0005-0000-0000-0000BB020000}"/>
    <cellStyle name="Currency 2 3 10" xfId="697" xr:uid="{00000000-0005-0000-0000-0000BC020000}"/>
    <cellStyle name="Currency 2 3 11" xfId="2014" xr:uid="{20D4FD38-7A5B-4A12-AE52-91AF9BFABA4D}"/>
    <cellStyle name="Currency 2 3 12" xfId="2008" xr:uid="{F06632A4-7BC1-49E8-8FFD-1ECC544CB643}"/>
    <cellStyle name="Currency 2 3 13" xfId="3043" xr:uid="{2CB06329-96B7-4552-BC1A-0FC5B2911192}"/>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2 3" xfId="2278" xr:uid="{C2DF77DE-FBCF-47A8-9A38-590006C1EDFB}"/>
    <cellStyle name="Currency 2 3 2 2 2 2 2 3" xfId="705" xr:uid="{00000000-0005-0000-0000-0000C4020000}"/>
    <cellStyle name="Currency 2 3 2 2 2 2 2 4" xfId="2277" xr:uid="{2AFDD188-1BC7-4A56-A6EC-8DEE072156B1}"/>
    <cellStyle name="Currency 2 3 2 2 2 2 3" xfId="706" xr:uid="{00000000-0005-0000-0000-0000C5020000}"/>
    <cellStyle name="Currency 2 3 2 2 2 2 3 2" xfId="707" xr:uid="{00000000-0005-0000-0000-0000C6020000}"/>
    <cellStyle name="Currency 2 3 2 2 2 2 3 3" xfId="2279" xr:uid="{72FEE175-BB99-4630-B60D-73EC4500CAE9}"/>
    <cellStyle name="Currency 2 3 2 2 2 2 4" xfId="708" xr:uid="{00000000-0005-0000-0000-0000C7020000}"/>
    <cellStyle name="Currency 2 3 2 2 2 2 5" xfId="2276" xr:uid="{7B2B9663-6D54-46D2-91F2-F0A2B9CEBFA9}"/>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2 3" xfId="2281" xr:uid="{78ED8BBD-EE6B-4E59-898E-F2B56CB54EC3}"/>
    <cellStyle name="Currency 2 3 2 2 2 3 3" xfId="712" xr:uid="{00000000-0005-0000-0000-0000CB020000}"/>
    <cellStyle name="Currency 2 3 2 2 2 3 4" xfId="2280" xr:uid="{68EF30AF-A819-4A91-B22E-55F1EDF7CE02}"/>
    <cellStyle name="Currency 2 3 2 2 2 4" xfId="713" xr:uid="{00000000-0005-0000-0000-0000CC020000}"/>
    <cellStyle name="Currency 2 3 2 2 2 4 2" xfId="714" xr:uid="{00000000-0005-0000-0000-0000CD020000}"/>
    <cellStyle name="Currency 2 3 2 2 2 4 3" xfId="2282" xr:uid="{17FE8079-9484-47C4-93D2-FF7A8F4DE230}"/>
    <cellStyle name="Currency 2 3 2 2 2 5" xfId="715" xr:uid="{00000000-0005-0000-0000-0000CE020000}"/>
    <cellStyle name="Currency 2 3 2 2 2 6" xfId="2275" xr:uid="{8D9C0EE8-A237-4CE6-86F3-9E8616BA56F9}"/>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2 3" xfId="2285" xr:uid="{58BC3D93-3DB0-4E69-A523-BB949FD402C2}"/>
    <cellStyle name="Currency 2 3 2 2 3 2 3" xfId="720" xr:uid="{00000000-0005-0000-0000-0000D3020000}"/>
    <cellStyle name="Currency 2 3 2 2 3 2 4" xfId="2284" xr:uid="{EFD72992-10C2-4D61-8E20-5E4F530D0170}"/>
    <cellStyle name="Currency 2 3 2 2 3 3" xfId="721" xr:uid="{00000000-0005-0000-0000-0000D4020000}"/>
    <cellStyle name="Currency 2 3 2 2 3 3 2" xfId="722" xr:uid="{00000000-0005-0000-0000-0000D5020000}"/>
    <cellStyle name="Currency 2 3 2 2 3 3 3" xfId="2286" xr:uid="{6195D077-1C06-4ACD-9E06-59FF2C925069}"/>
    <cellStyle name="Currency 2 3 2 2 3 4" xfId="723" xr:uid="{00000000-0005-0000-0000-0000D6020000}"/>
    <cellStyle name="Currency 2 3 2 2 3 5" xfId="2283" xr:uid="{2233FBCC-D6B2-4BD2-9065-82C2C4C16F49}"/>
    <cellStyle name="Currency 2 3 2 2 4" xfId="724" xr:uid="{00000000-0005-0000-0000-0000D7020000}"/>
    <cellStyle name="Currency 2 3 2 2 4 2" xfId="725" xr:uid="{00000000-0005-0000-0000-0000D8020000}"/>
    <cellStyle name="Currency 2 3 2 2 4 2 2" xfId="726" xr:uid="{00000000-0005-0000-0000-0000D9020000}"/>
    <cellStyle name="Currency 2 3 2 2 4 2 3" xfId="2288" xr:uid="{72DA0462-7D79-411E-B6D4-D056E81FB1E7}"/>
    <cellStyle name="Currency 2 3 2 2 4 3" xfId="727" xr:uid="{00000000-0005-0000-0000-0000DA020000}"/>
    <cellStyle name="Currency 2 3 2 2 4 4" xfId="2287" xr:uid="{30921E19-382A-43B3-A46B-29DD2CB8E279}"/>
    <cellStyle name="Currency 2 3 2 2 5" xfId="728" xr:uid="{00000000-0005-0000-0000-0000DB020000}"/>
    <cellStyle name="Currency 2 3 2 2 5 2" xfId="729" xr:uid="{00000000-0005-0000-0000-0000DC020000}"/>
    <cellStyle name="Currency 2 3 2 2 5 3" xfId="2289" xr:uid="{F32A8E49-5F91-4BC3-8ABC-9C8C852F7A00}"/>
    <cellStyle name="Currency 2 3 2 2 6" xfId="730" xr:uid="{00000000-0005-0000-0000-0000DD020000}"/>
    <cellStyle name="Currency 2 3 2 2 7" xfId="2274" xr:uid="{F279BFCC-B5D2-4978-BCB9-7DCEEDB91999}"/>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2 3" xfId="2293" xr:uid="{858181BC-BD89-46D0-90BC-E9E842382527}"/>
    <cellStyle name="Currency 2 3 2 3 2 2 3" xfId="736" xr:uid="{00000000-0005-0000-0000-0000E3020000}"/>
    <cellStyle name="Currency 2 3 2 3 2 2 4" xfId="2292" xr:uid="{4F057E25-FC83-4280-A2AF-08BF96107ED2}"/>
    <cellStyle name="Currency 2 3 2 3 2 3" xfId="737" xr:uid="{00000000-0005-0000-0000-0000E4020000}"/>
    <cellStyle name="Currency 2 3 2 3 2 3 2" xfId="738" xr:uid="{00000000-0005-0000-0000-0000E5020000}"/>
    <cellStyle name="Currency 2 3 2 3 2 3 3" xfId="2294" xr:uid="{1BB575E8-C6F8-4DC6-8B11-7857CFDBD332}"/>
    <cellStyle name="Currency 2 3 2 3 2 4" xfId="739" xr:uid="{00000000-0005-0000-0000-0000E6020000}"/>
    <cellStyle name="Currency 2 3 2 3 2 5" xfId="2291" xr:uid="{E29A70ED-B782-4E0F-BDB2-6F958B460C44}"/>
    <cellStyle name="Currency 2 3 2 3 3" xfId="740" xr:uid="{00000000-0005-0000-0000-0000E7020000}"/>
    <cellStyle name="Currency 2 3 2 3 3 2" xfId="741" xr:uid="{00000000-0005-0000-0000-0000E8020000}"/>
    <cellStyle name="Currency 2 3 2 3 3 2 2" xfId="742" xr:uid="{00000000-0005-0000-0000-0000E9020000}"/>
    <cellStyle name="Currency 2 3 2 3 3 2 3" xfId="2296" xr:uid="{6A6FDB6B-C5B5-43ED-B76A-EA83897E6F38}"/>
    <cellStyle name="Currency 2 3 2 3 3 3" xfId="743" xr:uid="{00000000-0005-0000-0000-0000EA020000}"/>
    <cellStyle name="Currency 2 3 2 3 3 4" xfId="2295" xr:uid="{735513B6-80EA-4262-8F03-D881D2D9A6BB}"/>
    <cellStyle name="Currency 2 3 2 3 4" xfId="744" xr:uid="{00000000-0005-0000-0000-0000EB020000}"/>
    <cellStyle name="Currency 2 3 2 3 4 2" xfId="745" xr:uid="{00000000-0005-0000-0000-0000EC020000}"/>
    <cellStyle name="Currency 2 3 2 3 4 3" xfId="2297" xr:uid="{797E4A9D-F6AC-4447-AF2D-114E56843705}"/>
    <cellStyle name="Currency 2 3 2 3 5" xfId="746" xr:uid="{00000000-0005-0000-0000-0000ED020000}"/>
    <cellStyle name="Currency 2 3 2 3 6" xfId="2290" xr:uid="{41784B60-C2AE-4984-B762-CED47FD4720C}"/>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2 3" xfId="2300" xr:uid="{A8D68004-3FE3-4CDB-B54A-F9B62E82C440}"/>
    <cellStyle name="Currency 2 3 2 4 2 3" xfId="751" xr:uid="{00000000-0005-0000-0000-0000F2020000}"/>
    <cellStyle name="Currency 2 3 2 4 2 4" xfId="2299" xr:uid="{271257F3-71D5-4D46-8F36-DAEC62FD5B4A}"/>
    <cellStyle name="Currency 2 3 2 4 3" xfId="752" xr:uid="{00000000-0005-0000-0000-0000F3020000}"/>
    <cellStyle name="Currency 2 3 2 4 3 2" xfId="753" xr:uid="{00000000-0005-0000-0000-0000F4020000}"/>
    <cellStyle name="Currency 2 3 2 4 3 3" xfId="2301" xr:uid="{E893710D-7570-4D01-8152-2D50306E7A6A}"/>
    <cellStyle name="Currency 2 3 2 4 4" xfId="754" xr:uid="{00000000-0005-0000-0000-0000F5020000}"/>
    <cellStyle name="Currency 2 3 2 4 5" xfId="2298" xr:uid="{3E4B21EE-F65C-4AE8-9174-F06EC76AE67B}"/>
    <cellStyle name="Currency 2 3 2 5" xfId="755" xr:uid="{00000000-0005-0000-0000-0000F6020000}"/>
    <cellStyle name="Currency 2 3 2 5 2" xfId="756" xr:uid="{00000000-0005-0000-0000-0000F7020000}"/>
    <cellStyle name="Currency 2 3 2 5 2 2" xfId="757" xr:uid="{00000000-0005-0000-0000-0000F8020000}"/>
    <cellStyle name="Currency 2 3 2 5 2 3" xfId="2303" xr:uid="{FD9A55C0-28D6-4E12-B968-D3D829C8B27F}"/>
    <cellStyle name="Currency 2 3 2 5 3" xfId="758" xr:uid="{00000000-0005-0000-0000-0000F9020000}"/>
    <cellStyle name="Currency 2 3 2 5 4" xfId="2302" xr:uid="{1542D36D-F78C-4EBE-9D43-1BA81624151F}"/>
    <cellStyle name="Currency 2 3 2 6" xfId="759" xr:uid="{00000000-0005-0000-0000-0000FA020000}"/>
    <cellStyle name="Currency 2 3 2 6 2" xfId="760" xr:uid="{00000000-0005-0000-0000-0000FB020000}"/>
    <cellStyle name="Currency 2 3 2 6 3" xfId="2304" xr:uid="{9BF08BF9-A9DC-4C9E-BF5E-FB92FE0F91DE}"/>
    <cellStyle name="Currency 2 3 2 7" xfId="761" xr:uid="{00000000-0005-0000-0000-0000FC020000}"/>
    <cellStyle name="Currency 2 3 2 8" xfId="2273" xr:uid="{434D26F3-A0A1-40C2-8A66-1379351DB581}"/>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2 3" xfId="2309" xr:uid="{F4567382-5C07-46A4-8C5C-198152CBCD0D}"/>
    <cellStyle name="Currency 2 3 3 2 2 2 3" xfId="768" xr:uid="{00000000-0005-0000-0000-000003030000}"/>
    <cellStyle name="Currency 2 3 3 2 2 2 4" xfId="2308" xr:uid="{998E1F4F-A199-40E7-94CB-D7CF0FB2ECCE}"/>
    <cellStyle name="Currency 2 3 3 2 2 3" xfId="769" xr:uid="{00000000-0005-0000-0000-000004030000}"/>
    <cellStyle name="Currency 2 3 3 2 2 3 2" xfId="770" xr:uid="{00000000-0005-0000-0000-000005030000}"/>
    <cellStyle name="Currency 2 3 3 2 2 3 3" xfId="2310" xr:uid="{B638177E-66DA-4042-862F-0EB9B554E083}"/>
    <cellStyle name="Currency 2 3 3 2 2 4" xfId="771" xr:uid="{00000000-0005-0000-0000-000006030000}"/>
    <cellStyle name="Currency 2 3 3 2 2 5" xfId="2307" xr:uid="{F763DA9C-5C98-4AAC-AAA3-F54DD36EA06B}"/>
    <cellStyle name="Currency 2 3 3 2 3" xfId="772" xr:uid="{00000000-0005-0000-0000-000007030000}"/>
    <cellStyle name="Currency 2 3 3 2 3 2" xfId="773" xr:uid="{00000000-0005-0000-0000-000008030000}"/>
    <cellStyle name="Currency 2 3 3 2 3 2 2" xfId="774" xr:uid="{00000000-0005-0000-0000-000009030000}"/>
    <cellStyle name="Currency 2 3 3 2 3 2 3" xfId="2312" xr:uid="{E7A25BE1-BB64-4BD9-B2C6-CFCDBCF8EA32}"/>
    <cellStyle name="Currency 2 3 3 2 3 3" xfId="775" xr:uid="{00000000-0005-0000-0000-00000A030000}"/>
    <cellStyle name="Currency 2 3 3 2 3 4" xfId="2311" xr:uid="{217D5C8D-6793-47CD-93B9-A80232D370DA}"/>
    <cellStyle name="Currency 2 3 3 2 4" xfId="776" xr:uid="{00000000-0005-0000-0000-00000B030000}"/>
    <cellStyle name="Currency 2 3 3 2 4 2" xfId="777" xr:uid="{00000000-0005-0000-0000-00000C030000}"/>
    <cellStyle name="Currency 2 3 3 2 4 3" xfId="2313" xr:uid="{4942D637-BD98-46A8-8614-1D92EB40F427}"/>
    <cellStyle name="Currency 2 3 3 2 5" xfId="778" xr:uid="{00000000-0005-0000-0000-00000D030000}"/>
    <cellStyle name="Currency 2 3 3 2 6" xfId="2306" xr:uid="{6CE51437-F508-4E5A-9818-63829D655E42}"/>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2 3" xfId="2316" xr:uid="{C6467113-3BA9-4F47-8093-50E109B82108}"/>
    <cellStyle name="Currency 2 3 3 3 2 3" xfId="783" xr:uid="{00000000-0005-0000-0000-000012030000}"/>
    <cellStyle name="Currency 2 3 3 3 2 4" xfId="2315" xr:uid="{A666112C-7898-4DC1-9689-A3869BA40657}"/>
    <cellStyle name="Currency 2 3 3 3 3" xfId="784" xr:uid="{00000000-0005-0000-0000-000013030000}"/>
    <cellStyle name="Currency 2 3 3 3 3 2" xfId="785" xr:uid="{00000000-0005-0000-0000-000014030000}"/>
    <cellStyle name="Currency 2 3 3 3 3 3" xfId="2317" xr:uid="{AFF0416C-14FD-4CEC-91AE-4689D1C9D1AF}"/>
    <cellStyle name="Currency 2 3 3 3 4" xfId="786" xr:uid="{00000000-0005-0000-0000-000015030000}"/>
    <cellStyle name="Currency 2 3 3 3 5" xfId="2314" xr:uid="{B0D15B94-5C41-4D1F-A63C-45F0656A3BCC}"/>
    <cellStyle name="Currency 2 3 3 4" xfId="787" xr:uid="{00000000-0005-0000-0000-000016030000}"/>
    <cellStyle name="Currency 2 3 3 4 2" xfId="788" xr:uid="{00000000-0005-0000-0000-000017030000}"/>
    <cellStyle name="Currency 2 3 3 4 2 2" xfId="789" xr:uid="{00000000-0005-0000-0000-000018030000}"/>
    <cellStyle name="Currency 2 3 3 4 2 3" xfId="2319" xr:uid="{E2004FE3-A7D1-485A-A45C-E6E8067FC1E5}"/>
    <cellStyle name="Currency 2 3 3 4 3" xfId="790" xr:uid="{00000000-0005-0000-0000-000019030000}"/>
    <cellStyle name="Currency 2 3 3 4 4" xfId="2318" xr:uid="{8A3EEACD-DFF6-49BD-B1DB-2EDD2E86F690}"/>
    <cellStyle name="Currency 2 3 3 5" xfId="791" xr:uid="{00000000-0005-0000-0000-00001A030000}"/>
    <cellStyle name="Currency 2 3 3 5 2" xfId="792" xr:uid="{00000000-0005-0000-0000-00001B030000}"/>
    <cellStyle name="Currency 2 3 3 5 3" xfId="2320" xr:uid="{263EDEB5-CA8D-40AA-95D3-FE5F1BC5F3B0}"/>
    <cellStyle name="Currency 2 3 3 6" xfId="793" xr:uid="{00000000-0005-0000-0000-00001C030000}"/>
    <cellStyle name="Currency 2 3 3 7" xfId="2305" xr:uid="{6BAB82ED-68FD-440A-9ABE-79B1F8A1D309}"/>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2 3" xfId="2324" xr:uid="{BAA79234-896A-4F3B-9359-34DE12ECEDFA}"/>
    <cellStyle name="Currency 2 3 4 2 2 3" xfId="799" xr:uid="{00000000-0005-0000-0000-000022030000}"/>
    <cellStyle name="Currency 2 3 4 2 2 4" xfId="2323" xr:uid="{2EBF742F-1BB9-4489-8701-3F606BCA7F8C}"/>
    <cellStyle name="Currency 2 3 4 2 3" xfId="800" xr:uid="{00000000-0005-0000-0000-000023030000}"/>
    <cellStyle name="Currency 2 3 4 2 3 2" xfId="801" xr:uid="{00000000-0005-0000-0000-000024030000}"/>
    <cellStyle name="Currency 2 3 4 2 3 3" xfId="2325" xr:uid="{31C281B8-36A6-404A-AFA5-8D30430C83F6}"/>
    <cellStyle name="Currency 2 3 4 2 4" xfId="802" xr:uid="{00000000-0005-0000-0000-000025030000}"/>
    <cellStyle name="Currency 2 3 4 2 5" xfId="2322" xr:uid="{BDD7420F-C294-47B6-9BEE-E6F3039E9EE2}"/>
    <cellStyle name="Currency 2 3 4 3" xfId="803" xr:uid="{00000000-0005-0000-0000-000026030000}"/>
    <cellStyle name="Currency 2 3 4 3 2" xfId="804" xr:uid="{00000000-0005-0000-0000-000027030000}"/>
    <cellStyle name="Currency 2 3 4 3 2 2" xfId="805" xr:uid="{00000000-0005-0000-0000-000028030000}"/>
    <cellStyle name="Currency 2 3 4 3 2 3" xfId="2327" xr:uid="{7FA5CBE1-5CD0-45A1-9C7A-7A12A34D498A}"/>
    <cellStyle name="Currency 2 3 4 3 3" xfId="806" xr:uid="{00000000-0005-0000-0000-000029030000}"/>
    <cellStyle name="Currency 2 3 4 3 4" xfId="2326" xr:uid="{8B65B841-5BE2-4965-B34F-2D565D24D7CE}"/>
    <cellStyle name="Currency 2 3 4 4" xfId="807" xr:uid="{00000000-0005-0000-0000-00002A030000}"/>
    <cellStyle name="Currency 2 3 4 4 2" xfId="808" xr:uid="{00000000-0005-0000-0000-00002B030000}"/>
    <cellStyle name="Currency 2 3 4 4 3" xfId="2328" xr:uid="{2F6241F0-405D-4DE7-B63B-0438C027EF38}"/>
    <cellStyle name="Currency 2 3 4 5" xfId="809" xr:uid="{00000000-0005-0000-0000-00002C030000}"/>
    <cellStyle name="Currency 2 3 4 6" xfId="2321" xr:uid="{BA5EC4AF-F1F4-46EA-85C8-A0E29CE86EB8}"/>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2 3" xfId="2331" xr:uid="{4B6CBE77-FC9F-4493-9755-1F03169FED1E}"/>
    <cellStyle name="Currency 2 3 5 2 3" xfId="814" xr:uid="{00000000-0005-0000-0000-000031030000}"/>
    <cellStyle name="Currency 2 3 5 2 4" xfId="2330" xr:uid="{7E414031-4384-43FE-BBED-DA778230D1FF}"/>
    <cellStyle name="Currency 2 3 5 3" xfId="815" xr:uid="{00000000-0005-0000-0000-000032030000}"/>
    <cellStyle name="Currency 2 3 5 3 2" xfId="816" xr:uid="{00000000-0005-0000-0000-000033030000}"/>
    <cellStyle name="Currency 2 3 5 3 3" xfId="2332" xr:uid="{08F1DD60-07B1-49C3-8C2E-9116232D5468}"/>
    <cellStyle name="Currency 2 3 5 4" xfId="817" xr:uid="{00000000-0005-0000-0000-000034030000}"/>
    <cellStyle name="Currency 2 3 5 5" xfId="2329" xr:uid="{36C19E02-9F81-4F1C-95D7-E07C5133D1BF}"/>
    <cellStyle name="Currency 2 3 6" xfId="818" xr:uid="{00000000-0005-0000-0000-000035030000}"/>
    <cellStyle name="Currency 2 3 6 2" xfId="819" xr:uid="{00000000-0005-0000-0000-000036030000}"/>
    <cellStyle name="Currency 2 3 6 2 2" xfId="820" xr:uid="{00000000-0005-0000-0000-000037030000}"/>
    <cellStyle name="Currency 2 3 6 2 3" xfId="2334" xr:uid="{92CE3F2F-A580-49D0-8E82-A801BA92943D}"/>
    <cellStyle name="Currency 2 3 6 3" xfId="821" xr:uid="{00000000-0005-0000-0000-000038030000}"/>
    <cellStyle name="Currency 2 3 6 4" xfId="2333" xr:uid="{B60A3C24-10CD-4275-92ED-ABEA4DA96DC9}"/>
    <cellStyle name="Currency 2 3 7" xfId="822" xr:uid="{00000000-0005-0000-0000-000039030000}"/>
    <cellStyle name="Currency 2 3 7 2" xfId="823" xr:uid="{00000000-0005-0000-0000-00003A030000}"/>
    <cellStyle name="Currency 2 3 7 3" xfId="2335" xr:uid="{4D5D1063-B172-4A5F-A661-B7E672A7A256}"/>
    <cellStyle name="Currency 2 3 8" xfId="824" xr:uid="{00000000-0005-0000-0000-00003B030000}"/>
    <cellStyle name="Currency 2 3 8 2" xfId="825" xr:uid="{00000000-0005-0000-0000-00003C030000}"/>
    <cellStyle name="Currency 2 3 8 3" xfId="2272" xr:uid="{08F3D119-A3CD-49BB-A413-0B51122ECFAE}"/>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11" xfId="2015" xr:uid="{9A41038A-7FD4-4EB6-99B3-CE3EE99F311B}"/>
    <cellStyle name="Currency 2 4 12" xfId="2009" xr:uid="{E5297B1E-5466-4546-AC82-BEFBB11B83A4}"/>
    <cellStyle name="Currency 2 4 13" xfId="3044" xr:uid="{8338E01E-0AB6-4ECA-A92E-DBD9C540B338}"/>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2 3" xfId="2342" xr:uid="{8EBFDB2A-3567-47AE-AFE6-90FEB0FA8413}"/>
    <cellStyle name="Currency 2 4 2 2 2 2 2 3" xfId="837" xr:uid="{00000000-0005-0000-0000-000048030000}"/>
    <cellStyle name="Currency 2 4 2 2 2 2 2 4" xfId="2341" xr:uid="{CAE98391-53B4-446F-89EF-817B831A71E7}"/>
    <cellStyle name="Currency 2 4 2 2 2 2 3" xfId="838" xr:uid="{00000000-0005-0000-0000-000049030000}"/>
    <cellStyle name="Currency 2 4 2 2 2 2 3 2" xfId="839" xr:uid="{00000000-0005-0000-0000-00004A030000}"/>
    <cellStyle name="Currency 2 4 2 2 2 2 3 3" xfId="2343" xr:uid="{549A1D16-ED0F-40C5-BBDF-28F5DDC1EBEB}"/>
    <cellStyle name="Currency 2 4 2 2 2 2 4" xfId="840" xr:uid="{00000000-0005-0000-0000-00004B030000}"/>
    <cellStyle name="Currency 2 4 2 2 2 2 5" xfId="2340" xr:uid="{5124FDC3-B6BA-4042-B0D6-AD80453BAC78}"/>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2 3" xfId="2345" xr:uid="{21D64057-B45F-4071-B46D-AF6698F1C05D}"/>
    <cellStyle name="Currency 2 4 2 2 2 3 3" xfId="844" xr:uid="{00000000-0005-0000-0000-00004F030000}"/>
    <cellStyle name="Currency 2 4 2 2 2 3 4" xfId="2344" xr:uid="{1C92BB9F-F96A-4403-9706-7D7B366936A5}"/>
    <cellStyle name="Currency 2 4 2 2 2 4" xfId="845" xr:uid="{00000000-0005-0000-0000-000050030000}"/>
    <cellStyle name="Currency 2 4 2 2 2 4 2" xfId="846" xr:uid="{00000000-0005-0000-0000-000051030000}"/>
    <cellStyle name="Currency 2 4 2 2 2 4 3" xfId="2346" xr:uid="{D5BB1197-056E-4373-9593-E4255AC5BB73}"/>
    <cellStyle name="Currency 2 4 2 2 2 5" xfId="847" xr:uid="{00000000-0005-0000-0000-000052030000}"/>
    <cellStyle name="Currency 2 4 2 2 2 6" xfId="2339" xr:uid="{FD36EDF0-9B08-4F25-A3AC-35685EB12178}"/>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2 3" xfId="2349" xr:uid="{940C8AA6-F823-4BAD-AB26-F5618952F346}"/>
    <cellStyle name="Currency 2 4 2 2 3 2 3" xfId="852" xr:uid="{00000000-0005-0000-0000-000057030000}"/>
    <cellStyle name="Currency 2 4 2 2 3 2 4" xfId="2348" xr:uid="{BEB09E46-99D9-4E72-B9E9-1897D7062BD4}"/>
    <cellStyle name="Currency 2 4 2 2 3 3" xfId="853" xr:uid="{00000000-0005-0000-0000-000058030000}"/>
    <cellStyle name="Currency 2 4 2 2 3 3 2" xfId="854" xr:uid="{00000000-0005-0000-0000-000059030000}"/>
    <cellStyle name="Currency 2 4 2 2 3 3 3" xfId="2350" xr:uid="{759FC827-82BA-46F6-9A8A-05B708EEE4BE}"/>
    <cellStyle name="Currency 2 4 2 2 3 4" xfId="855" xr:uid="{00000000-0005-0000-0000-00005A030000}"/>
    <cellStyle name="Currency 2 4 2 2 3 5" xfId="2347" xr:uid="{524F12C7-C6EC-4A7A-8DA8-0F367B3EEA61}"/>
    <cellStyle name="Currency 2 4 2 2 4" xfId="856" xr:uid="{00000000-0005-0000-0000-00005B030000}"/>
    <cellStyle name="Currency 2 4 2 2 4 2" xfId="857" xr:uid="{00000000-0005-0000-0000-00005C030000}"/>
    <cellStyle name="Currency 2 4 2 2 4 2 2" xfId="858" xr:uid="{00000000-0005-0000-0000-00005D030000}"/>
    <cellStyle name="Currency 2 4 2 2 4 2 3" xfId="2352" xr:uid="{6FB0AB01-DDAB-4019-A5B4-72A1A25C4830}"/>
    <cellStyle name="Currency 2 4 2 2 4 3" xfId="859" xr:uid="{00000000-0005-0000-0000-00005E030000}"/>
    <cellStyle name="Currency 2 4 2 2 4 4" xfId="2351" xr:uid="{B8825264-CDDA-4807-989A-29AA0A294A02}"/>
    <cellStyle name="Currency 2 4 2 2 5" xfId="860" xr:uid="{00000000-0005-0000-0000-00005F030000}"/>
    <cellStyle name="Currency 2 4 2 2 5 2" xfId="861" xr:uid="{00000000-0005-0000-0000-000060030000}"/>
    <cellStyle name="Currency 2 4 2 2 5 3" xfId="2353" xr:uid="{B7210F03-4387-4748-8F51-830ACD59623E}"/>
    <cellStyle name="Currency 2 4 2 2 6" xfId="862" xr:uid="{00000000-0005-0000-0000-000061030000}"/>
    <cellStyle name="Currency 2 4 2 2 7" xfId="2338" xr:uid="{E57A7BB1-8D4C-4E86-932F-BDD9E69E114A}"/>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2 3" xfId="2357" xr:uid="{78B4B8CA-1E4B-4D5C-B0E9-C466BCFA02E7}"/>
    <cellStyle name="Currency 2 4 2 3 2 2 3" xfId="868" xr:uid="{00000000-0005-0000-0000-000067030000}"/>
    <cellStyle name="Currency 2 4 2 3 2 2 4" xfId="2356" xr:uid="{58EE1A4C-7123-4B4C-80B4-AE8EF6A41A1A}"/>
    <cellStyle name="Currency 2 4 2 3 2 3" xfId="869" xr:uid="{00000000-0005-0000-0000-000068030000}"/>
    <cellStyle name="Currency 2 4 2 3 2 3 2" xfId="870" xr:uid="{00000000-0005-0000-0000-000069030000}"/>
    <cellStyle name="Currency 2 4 2 3 2 3 3" xfId="2358" xr:uid="{E9F83448-53E4-4F40-B0B8-119DAA4C4BA7}"/>
    <cellStyle name="Currency 2 4 2 3 2 4" xfId="871" xr:uid="{00000000-0005-0000-0000-00006A030000}"/>
    <cellStyle name="Currency 2 4 2 3 2 5" xfId="2355" xr:uid="{994DECC9-F9EB-42B0-A705-B4202965932C}"/>
    <cellStyle name="Currency 2 4 2 3 3" xfId="872" xr:uid="{00000000-0005-0000-0000-00006B030000}"/>
    <cellStyle name="Currency 2 4 2 3 3 2" xfId="873" xr:uid="{00000000-0005-0000-0000-00006C030000}"/>
    <cellStyle name="Currency 2 4 2 3 3 2 2" xfId="874" xr:uid="{00000000-0005-0000-0000-00006D030000}"/>
    <cellStyle name="Currency 2 4 2 3 3 2 3" xfId="2360" xr:uid="{D029DBCA-B3BD-47BF-A301-1B1E9F285B17}"/>
    <cellStyle name="Currency 2 4 2 3 3 3" xfId="875" xr:uid="{00000000-0005-0000-0000-00006E030000}"/>
    <cellStyle name="Currency 2 4 2 3 3 4" xfId="2359" xr:uid="{E4DB3CFD-EEAA-4FED-9FA3-9809E358D8AD}"/>
    <cellStyle name="Currency 2 4 2 3 4" xfId="876" xr:uid="{00000000-0005-0000-0000-00006F030000}"/>
    <cellStyle name="Currency 2 4 2 3 4 2" xfId="877" xr:uid="{00000000-0005-0000-0000-000070030000}"/>
    <cellStyle name="Currency 2 4 2 3 4 3" xfId="2361" xr:uid="{845281D3-333F-4C03-AD61-961423D937C7}"/>
    <cellStyle name="Currency 2 4 2 3 5" xfId="878" xr:uid="{00000000-0005-0000-0000-000071030000}"/>
    <cellStyle name="Currency 2 4 2 3 6" xfId="2354" xr:uid="{02AB1A89-14B3-4CF8-AD11-132A78BC724C}"/>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2 3" xfId="2364" xr:uid="{AC070F77-B63F-4E42-850F-ECA5AE427935}"/>
    <cellStyle name="Currency 2 4 2 4 2 3" xfId="883" xr:uid="{00000000-0005-0000-0000-000076030000}"/>
    <cellStyle name="Currency 2 4 2 4 2 4" xfId="2363" xr:uid="{03A69EC8-30AC-4673-938E-014D33AB949C}"/>
    <cellStyle name="Currency 2 4 2 4 3" xfId="884" xr:uid="{00000000-0005-0000-0000-000077030000}"/>
    <cellStyle name="Currency 2 4 2 4 3 2" xfId="885" xr:uid="{00000000-0005-0000-0000-000078030000}"/>
    <cellStyle name="Currency 2 4 2 4 3 3" xfId="2365" xr:uid="{AFC158B8-213F-4BA6-96C8-F318A7313BD8}"/>
    <cellStyle name="Currency 2 4 2 4 4" xfId="886" xr:uid="{00000000-0005-0000-0000-000079030000}"/>
    <cellStyle name="Currency 2 4 2 4 5" xfId="2362" xr:uid="{CF0D447C-3F47-49AB-B4EE-5B9664563A6A}"/>
    <cellStyle name="Currency 2 4 2 5" xfId="887" xr:uid="{00000000-0005-0000-0000-00007A030000}"/>
    <cellStyle name="Currency 2 4 2 5 2" xfId="888" xr:uid="{00000000-0005-0000-0000-00007B030000}"/>
    <cellStyle name="Currency 2 4 2 5 2 2" xfId="889" xr:uid="{00000000-0005-0000-0000-00007C030000}"/>
    <cellStyle name="Currency 2 4 2 5 2 3" xfId="2367" xr:uid="{B4257AF1-93E8-4A04-9061-3AE01486C93D}"/>
    <cellStyle name="Currency 2 4 2 5 3" xfId="890" xr:uid="{00000000-0005-0000-0000-00007D030000}"/>
    <cellStyle name="Currency 2 4 2 5 4" xfId="2366" xr:uid="{9B8E21F3-10C2-4345-9127-9CF5F55CDEFF}"/>
    <cellStyle name="Currency 2 4 2 6" xfId="891" xr:uid="{00000000-0005-0000-0000-00007E030000}"/>
    <cellStyle name="Currency 2 4 2 6 2" xfId="892" xr:uid="{00000000-0005-0000-0000-00007F030000}"/>
    <cellStyle name="Currency 2 4 2 6 3" xfId="2368" xr:uid="{6A266065-CE5B-4B89-A970-CCAC99BBE286}"/>
    <cellStyle name="Currency 2 4 2 7" xfId="893" xr:uid="{00000000-0005-0000-0000-000080030000}"/>
    <cellStyle name="Currency 2 4 2 8" xfId="2337" xr:uid="{1D7846A6-0630-4F2F-AB03-DA668F25DC3F}"/>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2 3" xfId="2373" xr:uid="{1C42DE77-D39B-49CF-A7BD-1011C6F9FF06}"/>
    <cellStyle name="Currency 2 4 3 2 2 2 3" xfId="900" xr:uid="{00000000-0005-0000-0000-000087030000}"/>
    <cellStyle name="Currency 2 4 3 2 2 2 4" xfId="2372" xr:uid="{CC6DACA2-5702-4734-B3C6-8F445DE095E1}"/>
    <cellStyle name="Currency 2 4 3 2 2 3" xfId="901" xr:uid="{00000000-0005-0000-0000-000088030000}"/>
    <cellStyle name="Currency 2 4 3 2 2 3 2" xfId="902" xr:uid="{00000000-0005-0000-0000-000089030000}"/>
    <cellStyle name="Currency 2 4 3 2 2 3 3" xfId="2374" xr:uid="{DBF3BE58-1CC5-4EAB-AC26-8070685F19D9}"/>
    <cellStyle name="Currency 2 4 3 2 2 4" xfId="903" xr:uid="{00000000-0005-0000-0000-00008A030000}"/>
    <cellStyle name="Currency 2 4 3 2 2 5" xfId="2371" xr:uid="{49B6BF3E-D56F-415B-B60C-4AF88B2B7722}"/>
    <cellStyle name="Currency 2 4 3 2 3" xfId="904" xr:uid="{00000000-0005-0000-0000-00008B030000}"/>
    <cellStyle name="Currency 2 4 3 2 3 2" xfId="905" xr:uid="{00000000-0005-0000-0000-00008C030000}"/>
    <cellStyle name="Currency 2 4 3 2 3 2 2" xfId="906" xr:uid="{00000000-0005-0000-0000-00008D030000}"/>
    <cellStyle name="Currency 2 4 3 2 3 2 3" xfId="2376" xr:uid="{71D1D152-AEBD-4678-A108-01DCE098CDD6}"/>
    <cellStyle name="Currency 2 4 3 2 3 3" xfId="907" xr:uid="{00000000-0005-0000-0000-00008E030000}"/>
    <cellStyle name="Currency 2 4 3 2 3 4" xfId="2375" xr:uid="{8ABE25BA-E54A-4BA0-B57D-C6F55BB04627}"/>
    <cellStyle name="Currency 2 4 3 2 4" xfId="908" xr:uid="{00000000-0005-0000-0000-00008F030000}"/>
    <cellStyle name="Currency 2 4 3 2 4 2" xfId="909" xr:uid="{00000000-0005-0000-0000-000090030000}"/>
    <cellStyle name="Currency 2 4 3 2 4 3" xfId="2377" xr:uid="{ACFD699E-5417-4C9D-9E0D-92B187A99EC5}"/>
    <cellStyle name="Currency 2 4 3 2 5" xfId="910" xr:uid="{00000000-0005-0000-0000-000091030000}"/>
    <cellStyle name="Currency 2 4 3 2 6" xfId="2370" xr:uid="{36FADD27-7571-4B94-A334-1ADD793022DB}"/>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2 3" xfId="2380" xr:uid="{C17DB9D9-E666-42C8-8D70-215318DCD3B1}"/>
    <cellStyle name="Currency 2 4 3 3 2 3" xfId="915" xr:uid="{00000000-0005-0000-0000-000096030000}"/>
    <cellStyle name="Currency 2 4 3 3 2 4" xfId="2379" xr:uid="{05B2304D-6101-4357-A3E2-90F5330F93C9}"/>
    <cellStyle name="Currency 2 4 3 3 3" xfId="916" xr:uid="{00000000-0005-0000-0000-000097030000}"/>
    <cellStyle name="Currency 2 4 3 3 3 2" xfId="917" xr:uid="{00000000-0005-0000-0000-000098030000}"/>
    <cellStyle name="Currency 2 4 3 3 3 3" xfId="2381" xr:uid="{47CC80B2-F7D8-4823-B66F-81D46B203C15}"/>
    <cellStyle name="Currency 2 4 3 3 4" xfId="918" xr:uid="{00000000-0005-0000-0000-000099030000}"/>
    <cellStyle name="Currency 2 4 3 3 5" xfId="2378" xr:uid="{338822C9-BDF3-4343-B811-1A2FC7A648DA}"/>
    <cellStyle name="Currency 2 4 3 4" xfId="919" xr:uid="{00000000-0005-0000-0000-00009A030000}"/>
    <cellStyle name="Currency 2 4 3 4 2" xfId="920" xr:uid="{00000000-0005-0000-0000-00009B030000}"/>
    <cellStyle name="Currency 2 4 3 4 2 2" xfId="921" xr:uid="{00000000-0005-0000-0000-00009C030000}"/>
    <cellStyle name="Currency 2 4 3 4 2 3" xfId="2383" xr:uid="{3B1CFA3D-F489-4141-8651-DA28C6A074F8}"/>
    <cellStyle name="Currency 2 4 3 4 3" xfId="922" xr:uid="{00000000-0005-0000-0000-00009D030000}"/>
    <cellStyle name="Currency 2 4 3 4 4" xfId="2382" xr:uid="{8DB833A4-F0C8-4236-B8D4-C69B24CD1ADC}"/>
    <cellStyle name="Currency 2 4 3 5" xfId="923" xr:uid="{00000000-0005-0000-0000-00009E030000}"/>
    <cellStyle name="Currency 2 4 3 5 2" xfId="924" xr:uid="{00000000-0005-0000-0000-00009F030000}"/>
    <cellStyle name="Currency 2 4 3 5 3" xfId="2384" xr:uid="{FE537276-7115-48C0-B408-FB631E899E17}"/>
    <cellStyle name="Currency 2 4 3 6" xfId="925" xr:uid="{00000000-0005-0000-0000-0000A0030000}"/>
    <cellStyle name="Currency 2 4 3 7" xfId="2369" xr:uid="{2738DAD5-BA8F-464C-92BB-C139B9B8C322}"/>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2 3" xfId="2388" xr:uid="{3F10B9A8-7895-416E-9D6A-0F986640DAC9}"/>
    <cellStyle name="Currency 2 4 4 2 2 3" xfId="931" xr:uid="{00000000-0005-0000-0000-0000A6030000}"/>
    <cellStyle name="Currency 2 4 4 2 2 4" xfId="2387" xr:uid="{3A1AA97E-7C10-4EAE-A8C9-25F0D8705BFD}"/>
    <cellStyle name="Currency 2 4 4 2 3" xfId="932" xr:uid="{00000000-0005-0000-0000-0000A7030000}"/>
    <cellStyle name="Currency 2 4 4 2 3 2" xfId="933" xr:uid="{00000000-0005-0000-0000-0000A8030000}"/>
    <cellStyle name="Currency 2 4 4 2 3 3" xfId="2389" xr:uid="{7DF73382-85F4-440D-8DA1-970BAFB3681A}"/>
    <cellStyle name="Currency 2 4 4 2 4" xfId="934" xr:uid="{00000000-0005-0000-0000-0000A9030000}"/>
    <cellStyle name="Currency 2 4 4 2 5" xfId="2386" xr:uid="{3593CB46-2CF3-46BB-8F0E-14F75695526C}"/>
    <cellStyle name="Currency 2 4 4 3" xfId="935" xr:uid="{00000000-0005-0000-0000-0000AA030000}"/>
    <cellStyle name="Currency 2 4 4 3 2" xfId="936" xr:uid="{00000000-0005-0000-0000-0000AB030000}"/>
    <cellStyle name="Currency 2 4 4 3 2 2" xfId="937" xr:uid="{00000000-0005-0000-0000-0000AC030000}"/>
    <cellStyle name="Currency 2 4 4 3 2 3" xfId="2391" xr:uid="{8B30E9BC-4B59-496B-A399-B81BB0D649ED}"/>
    <cellStyle name="Currency 2 4 4 3 3" xfId="938" xr:uid="{00000000-0005-0000-0000-0000AD030000}"/>
    <cellStyle name="Currency 2 4 4 3 4" xfId="2390" xr:uid="{BADC6F9D-FFCB-44F4-899A-7AE4AE78D83F}"/>
    <cellStyle name="Currency 2 4 4 4" xfId="939" xr:uid="{00000000-0005-0000-0000-0000AE030000}"/>
    <cellStyle name="Currency 2 4 4 4 2" xfId="940" xr:uid="{00000000-0005-0000-0000-0000AF030000}"/>
    <cellStyle name="Currency 2 4 4 4 3" xfId="2392" xr:uid="{765D2AF3-31FD-4AB2-AC5B-E6B7B947CD11}"/>
    <cellStyle name="Currency 2 4 4 5" xfId="941" xr:uid="{00000000-0005-0000-0000-0000B0030000}"/>
    <cellStyle name="Currency 2 4 4 6" xfId="2385" xr:uid="{AECB6440-E045-4D6A-8736-7FF643D67F33}"/>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2 3" xfId="2395" xr:uid="{9EF64853-AA41-441F-8630-2F0CFF1141EE}"/>
    <cellStyle name="Currency 2 4 5 2 3" xfId="946" xr:uid="{00000000-0005-0000-0000-0000B5030000}"/>
    <cellStyle name="Currency 2 4 5 2 4" xfId="2394" xr:uid="{55542E27-E04A-4D54-ABA1-B9F2815839EC}"/>
    <cellStyle name="Currency 2 4 5 3" xfId="947" xr:uid="{00000000-0005-0000-0000-0000B6030000}"/>
    <cellStyle name="Currency 2 4 5 3 2" xfId="948" xr:uid="{00000000-0005-0000-0000-0000B7030000}"/>
    <cellStyle name="Currency 2 4 5 3 3" xfId="2396" xr:uid="{F004FC1E-F396-4628-9F12-FEC6546B2385}"/>
    <cellStyle name="Currency 2 4 5 4" xfId="949" xr:uid="{00000000-0005-0000-0000-0000B8030000}"/>
    <cellStyle name="Currency 2 4 5 5" xfId="2393" xr:uid="{BBFD92EC-C71A-4AB2-8D52-14957A95572B}"/>
    <cellStyle name="Currency 2 4 6" xfId="950" xr:uid="{00000000-0005-0000-0000-0000B9030000}"/>
    <cellStyle name="Currency 2 4 6 2" xfId="951" xr:uid="{00000000-0005-0000-0000-0000BA030000}"/>
    <cellStyle name="Currency 2 4 6 2 2" xfId="952" xr:uid="{00000000-0005-0000-0000-0000BB030000}"/>
    <cellStyle name="Currency 2 4 6 2 3" xfId="2398" xr:uid="{1D235995-E1AD-463D-9264-9A6BAEC5D56F}"/>
    <cellStyle name="Currency 2 4 6 3" xfId="953" xr:uid="{00000000-0005-0000-0000-0000BC030000}"/>
    <cellStyle name="Currency 2 4 6 4" xfId="2397" xr:uid="{2375611B-F8BF-41F0-9D73-0C229C7C9C94}"/>
    <cellStyle name="Currency 2 4 7" xfId="954" xr:uid="{00000000-0005-0000-0000-0000BD030000}"/>
    <cellStyle name="Currency 2 4 7 2" xfId="955" xr:uid="{00000000-0005-0000-0000-0000BE030000}"/>
    <cellStyle name="Currency 2 4 7 3" xfId="2399" xr:uid="{19EA7B7D-8240-46CA-A3FD-9162142D667E}"/>
    <cellStyle name="Currency 2 4 8" xfId="956" xr:uid="{00000000-0005-0000-0000-0000BF030000}"/>
    <cellStyle name="Currency 2 4 8 2" xfId="957" xr:uid="{00000000-0005-0000-0000-0000C0030000}"/>
    <cellStyle name="Currency 2 4 8 3" xfId="2336" xr:uid="{77D12D70-FD9E-41F8-94BB-E0897E7B039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2 3" xfId="2405" xr:uid="{BAF59D54-AACD-4C4A-AB83-7DE5E97CF56D}"/>
    <cellStyle name="Currency 2 5 2 2 2 2 3" xfId="967" xr:uid="{00000000-0005-0000-0000-0000CA030000}"/>
    <cellStyle name="Currency 2 5 2 2 2 2 4" xfId="2404" xr:uid="{7ED1D4AE-E8A3-43DD-967C-2F1746B9BEC8}"/>
    <cellStyle name="Currency 2 5 2 2 2 3" xfId="968" xr:uid="{00000000-0005-0000-0000-0000CB030000}"/>
    <cellStyle name="Currency 2 5 2 2 2 3 2" xfId="969" xr:uid="{00000000-0005-0000-0000-0000CC030000}"/>
    <cellStyle name="Currency 2 5 2 2 2 3 3" xfId="2406" xr:uid="{B42AA295-7AF2-4A83-A4AC-970F8CB00D86}"/>
    <cellStyle name="Currency 2 5 2 2 2 4" xfId="970" xr:uid="{00000000-0005-0000-0000-0000CD030000}"/>
    <cellStyle name="Currency 2 5 2 2 2 5" xfId="2403" xr:uid="{9BB4CA87-1F6A-4367-9994-3CD6A08C4BAF}"/>
    <cellStyle name="Currency 2 5 2 2 3" xfId="971" xr:uid="{00000000-0005-0000-0000-0000CE030000}"/>
    <cellStyle name="Currency 2 5 2 2 3 2" xfId="972" xr:uid="{00000000-0005-0000-0000-0000CF030000}"/>
    <cellStyle name="Currency 2 5 2 2 3 2 2" xfId="973" xr:uid="{00000000-0005-0000-0000-0000D0030000}"/>
    <cellStyle name="Currency 2 5 2 2 3 2 3" xfId="2408" xr:uid="{97283EF2-1EE1-4B86-8A7A-92A33769BCBD}"/>
    <cellStyle name="Currency 2 5 2 2 3 3" xfId="974" xr:uid="{00000000-0005-0000-0000-0000D1030000}"/>
    <cellStyle name="Currency 2 5 2 2 3 4" xfId="2407" xr:uid="{892684AC-444C-4A49-B49A-0FBC361C1494}"/>
    <cellStyle name="Currency 2 5 2 2 4" xfId="975" xr:uid="{00000000-0005-0000-0000-0000D2030000}"/>
    <cellStyle name="Currency 2 5 2 2 4 2" xfId="976" xr:uid="{00000000-0005-0000-0000-0000D3030000}"/>
    <cellStyle name="Currency 2 5 2 2 4 3" xfId="2409" xr:uid="{D4E989BA-813C-4C8B-A273-903D93FCACB6}"/>
    <cellStyle name="Currency 2 5 2 2 5" xfId="977" xr:uid="{00000000-0005-0000-0000-0000D4030000}"/>
    <cellStyle name="Currency 2 5 2 2 6" xfId="2402" xr:uid="{537557E3-E075-41E1-A398-1DAF0B7983C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2 3" xfId="2412" xr:uid="{C2EA5669-8C94-4B8E-A16D-FA6D0239DB9C}"/>
    <cellStyle name="Currency 2 5 2 3 2 3" xfId="982" xr:uid="{00000000-0005-0000-0000-0000D9030000}"/>
    <cellStyle name="Currency 2 5 2 3 2 4" xfId="2411" xr:uid="{0AB2D633-3D7E-4D7C-B172-AE4BE6170961}"/>
    <cellStyle name="Currency 2 5 2 3 3" xfId="983" xr:uid="{00000000-0005-0000-0000-0000DA030000}"/>
    <cellStyle name="Currency 2 5 2 3 3 2" xfId="984" xr:uid="{00000000-0005-0000-0000-0000DB030000}"/>
    <cellStyle name="Currency 2 5 2 3 3 3" xfId="2413" xr:uid="{9ABB0429-C99F-43D3-AD77-36A528ABF1D6}"/>
    <cellStyle name="Currency 2 5 2 3 4" xfId="985" xr:uid="{00000000-0005-0000-0000-0000DC030000}"/>
    <cellStyle name="Currency 2 5 2 3 5" xfId="2410" xr:uid="{975E1C57-D86F-468B-88C3-A644BC82D12C}"/>
    <cellStyle name="Currency 2 5 2 4" xfId="986" xr:uid="{00000000-0005-0000-0000-0000DD030000}"/>
    <cellStyle name="Currency 2 5 2 4 2" xfId="987" xr:uid="{00000000-0005-0000-0000-0000DE030000}"/>
    <cellStyle name="Currency 2 5 2 4 2 2" xfId="988" xr:uid="{00000000-0005-0000-0000-0000DF030000}"/>
    <cellStyle name="Currency 2 5 2 4 2 3" xfId="2415" xr:uid="{E32CE8FE-F856-4001-8FAC-C33218450CD8}"/>
    <cellStyle name="Currency 2 5 2 4 3" xfId="989" xr:uid="{00000000-0005-0000-0000-0000E0030000}"/>
    <cellStyle name="Currency 2 5 2 4 4" xfId="2414" xr:uid="{406C5643-DFD4-43C6-A01F-98F3C604AADA}"/>
    <cellStyle name="Currency 2 5 2 5" xfId="990" xr:uid="{00000000-0005-0000-0000-0000E1030000}"/>
    <cellStyle name="Currency 2 5 2 5 2" xfId="991" xr:uid="{00000000-0005-0000-0000-0000E2030000}"/>
    <cellStyle name="Currency 2 5 2 5 3" xfId="2416" xr:uid="{38DE6F72-76CE-4E67-96E2-E1CCCC743304}"/>
    <cellStyle name="Currency 2 5 2 6" xfId="992" xr:uid="{00000000-0005-0000-0000-0000E3030000}"/>
    <cellStyle name="Currency 2 5 2 7" xfId="2401" xr:uid="{9822D30B-0FF7-41F1-8491-D4DE72C2857B}"/>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2 3" xfId="2420" xr:uid="{3136B7DD-FB2A-4CE2-BD25-A1754FB9E53C}"/>
    <cellStyle name="Currency 2 5 3 2 2 3" xfId="998" xr:uid="{00000000-0005-0000-0000-0000E9030000}"/>
    <cellStyle name="Currency 2 5 3 2 2 4" xfId="2419" xr:uid="{73913035-439D-4A7A-9AA5-F600DD00C011}"/>
    <cellStyle name="Currency 2 5 3 2 3" xfId="999" xr:uid="{00000000-0005-0000-0000-0000EA030000}"/>
    <cellStyle name="Currency 2 5 3 2 3 2" xfId="1000" xr:uid="{00000000-0005-0000-0000-0000EB030000}"/>
    <cellStyle name="Currency 2 5 3 2 3 3" xfId="2421" xr:uid="{2458DACC-4C61-4DDC-8ABB-44F8176068BA}"/>
    <cellStyle name="Currency 2 5 3 2 4" xfId="1001" xr:uid="{00000000-0005-0000-0000-0000EC030000}"/>
    <cellStyle name="Currency 2 5 3 2 5" xfId="2418" xr:uid="{F7E689B4-B31E-4117-AE2B-D481C13FB452}"/>
    <cellStyle name="Currency 2 5 3 3" xfId="1002" xr:uid="{00000000-0005-0000-0000-0000ED030000}"/>
    <cellStyle name="Currency 2 5 3 3 2" xfId="1003" xr:uid="{00000000-0005-0000-0000-0000EE030000}"/>
    <cellStyle name="Currency 2 5 3 3 2 2" xfId="1004" xr:uid="{00000000-0005-0000-0000-0000EF030000}"/>
    <cellStyle name="Currency 2 5 3 3 2 3" xfId="2423" xr:uid="{80136018-37F4-4A3A-AA7F-3E95C68AA609}"/>
    <cellStyle name="Currency 2 5 3 3 3" xfId="1005" xr:uid="{00000000-0005-0000-0000-0000F0030000}"/>
    <cellStyle name="Currency 2 5 3 3 4" xfId="2422" xr:uid="{FFBB3233-A8B9-4A6E-8645-3541A86B7366}"/>
    <cellStyle name="Currency 2 5 3 4" xfId="1006" xr:uid="{00000000-0005-0000-0000-0000F1030000}"/>
    <cellStyle name="Currency 2 5 3 4 2" xfId="1007" xr:uid="{00000000-0005-0000-0000-0000F2030000}"/>
    <cellStyle name="Currency 2 5 3 4 3" xfId="2424" xr:uid="{42050E9F-EDA1-4046-A71B-CDAAEEE81298}"/>
    <cellStyle name="Currency 2 5 3 5" xfId="1008" xr:uid="{00000000-0005-0000-0000-0000F3030000}"/>
    <cellStyle name="Currency 2 5 3 6" xfId="2417" xr:uid="{FA8D332F-D85B-41B9-B51C-5F3EC1A6743B}"/>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2 3" xfId="2427" xr:uid="{E1A1576A-D540-460A-8E29-8E4C2DA46956}"/>
    <cellStyle name="Currency 2 5 4 2 3" xfId="1013" xr:uid="{00000000-0005-0000-0000-0000F8030000}"/>
    <cellStyle name="Currency 2 5 4 2 4" xfId="2426" xr:uid="{6BF29628-6C29-497B-B8AC-4EBE3122660B}"/>
    <cellStyle name="Currency 2 5 4 3" xfId="1014" xr:uid="{00000000-0005-0000-0000-0000F9030000}"/>
    <cellStyle name="Currency 2 5 4 3 2" xfId="1015" xr:uid="{00000000-0005-0000-0000-0000FA030000}"/>
    <cellStyle name="Currency 2 5 4 3 3" xfId="2428" xr:uid="{702CABC3-1EB7-4776-A6D7-18F087436A2B}"/>
    <cellStyle name="Currency 2 5 4 4" xfId="1016" xr:uid="{00000000-0005-0000-0000-0000FB030000}"/>
    <cellStyle name="Currency 2 5 4 5" xfId="2425" xr:uid="{3AA39257-A8EF-41A1-B3C0-1F08985D400F}"/>
    <cellStyle name="Currency 2 5 5" xfId="1017" xr:uid="{00000000-0005-0000-0000-0000FC030000}"/>
    <cellStyle name="Currency 2 5 5 2" xfId="1018" xr:uid="{00000000-0005-0000-0000-0000FD030000}"/>
    <cellStyle name="Currency 2 5 5 2 2" xfId="1019" xr:uid="{00000000-0005-0000-0000-0000FE030000}"/>
    <cellStyle name="Currency 2 5 5 2 3" xfId="2430" xr:uid="{429D6DEF-8A7D-4A59-961D-0F6D6E02C747}"/>
    <cellStyle name="Currency 2 5 5 3" xfId="1020" xr:uid="{00000000-0005-0000-0000-0000FF030000}"/>
    <cellStyle name="Currency 2 5 5 4" xfId="2429" xr:uid="{0A2459A7-4468-4AE8-859E-1AA972FC9F77}"/>
    <cellStyle name="Currency 2 5 6" xfId="1021" xr:uid="{00000000-0005-0000-0000-000000040000}"/>
    <cellStyle name="Currency 2 5 6 2" xfId="1022" xr:uid="{00000000-0005-0000-0000-000001040000}"/>
    <cellStyle name="Currency 2 5 6 3" xfId="2431" xr:uid="{23EAA748-491A-436C-A117-2AA7F5588DFE}"/>
    <cellStyle name="Currency 2 5 7" xfId="1023" xr:uid="{00000000-0005-0000-0000-000002040000}"/>
    <cellStyle name="Currency 2 5 8" xfId="2400" xr:uid="{20F10D13-CBDB-4C06-9136-717A9D604482}"/>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2 3" xfId="2436" xr:uid="{8C79FE2C-05FD-4F9F-81C4-3FCEBCC5786E}"/>
    <cellStyle name="Currency 2 6 2 2 2 3" xfId="1030" xr:uid="{00000000-0005-0000-0000-000009040000}"/>
    <cellStyle name="Currency 2 6 2 2 2 4" xfId="2435" xr:uid="{03CECD1A-77BD-40FB-8A6C-42D60DAD4526}"/>
    <cellStyle name="Currency 2 6 2 2 3" xfId="1031" xr:uid="{00000000-0005-0000-0000-00000A040000}"/>
    <cellStyle name="Currency 2 6 2 2 3 2" xfId="1032" xr:uid="{00000000-0005-0000-0000-00000B040000}"/>
    <cellStyle name="Currency 2 6 2 2 3 3" xfId="2437" xr:uid="{A8BEDD31-DD50-469A-B84E-6004915623A5}"/>
    <cellStyle name="Currency 2 6 2 2 4" xfId="1033" xr:uid="{00000000-0005-0000-0000-00000C040000}"/>
    <cellStyle name="Currency 2 6 2 2 5" xfId="2434" xr:uid="{44F4F040-F6E5-46DA-AD6A-86C6CD9FFE28}"/>
    <cellStyle name="Currency 2 6 2 3" xfId="1034" xr:uid="{00000000-0005-0000-0000-00000D040000}"/>
    <cellStyle name="Currency 2 6 2 3 2" xfId="1035" xr:uid="{00000000-0005-0000-0000-00000E040000}"/>
    <cellStyle name="Currency 2 6 2 3 2 2" xfId="1036" xr:uid="{00000000-0005-0000-0000-00000F040000}"/>
    <cellStyle name="Currency 2 6 2 3 2 3" xfId="2439" xr:uid="{039138D7-FD17-4403-9B32-D6B64D5F3CFE}"/>
    <cellStyle name="Currency 2 6 2 3 3" xfId="1037" xr:uid="{00000000-0005-0000-0000-000010040000}"/>
    <cellStyle name="Currency 2 6 2 3 4" xfId="2438" xr:uid="{B459C92E-D002-42B2-BFC4-C1662A98D753}"/>
    <cellStyle name="Currency 2 6 2 4" xfId="1038" xr:uid="{00000000-0005-0000-0000-000011040000}"/>
    <cellStyle name="Currency 2 6 2 4 2" xfId="1039" xr:uid="{00000000-0005-0000-0000-000012040000}"/>
    <cellStyle name="Currency 2 6 2 4 3" xfId="2440" xr:uid="{136D590C-96EA-44BC-94C3-D5437C4E0A23}"/>
    <cellStyle name="Currency 2 6 2 5" xfId="1040" xr:uid="{00000000-0005-0000-0000-000013040000}"/>
    <cellStyle name="Currency 2 6 2 6" xfId="2433" xr:uid="{4EFCC412-A7D6-4589-8E5B-18315329AC7B}"/>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2 3" xfId="2443" xr:uid="{AB6DA677-7A35-4EE2-924B-13531E835CDC}"/>
    <cellStyle name="Currency 2 6 3 2 3" xfId="1045" xr:uid="{00000000-0005-0000-0000-000018040000}"/>
    <cellStyle name="Currency 2 6 3 2 4" xfId="2442" xr:uid="{9879444F-62AF-44BF-8BDA-FE09DFD1E641}"/>
    <cellStyle name="Currency 2 6 3 3" xfId="1046" xr:uid="{00000000-0005-0000-0000-000019040000}"/>
    <cellStyle name="Currency 2 6 3 3 2" xfId="1047" xr:uid="{00000000-0005-0000-0000-00001A040000}"/>
    <cellStyle name="Currency 2 6 3 3 3" xfId="2444" xr:uid="{E4A19DE5-16C3-4E53-9ED8-74F73F6CF8E8}"/>
    <cellStyle name="Currency 2 6 3 4" xfId="1048" xr:uid="{00000000-0005-0000-0000-00001B040000}"/>
    <cellStyle name="Currency 2 6 3 5" xfId="2441" xr:uid="{569C9152-B4FE-4FD7-8B94-B716034E4060}"/>
    <cellStyle name="Currency 2 6 4" xfId="1049" xr:uid="{00000000-0005-0000-0000-00001C040000}"/>
    <cellStyle name="Currency 2 6 4 2" xfId="1050" xr:uid="{00000000-0005-0000-0000-00001D040000}"/>
    <cellStyle name="Currency 2 6 4 2 2" xfId="1051" xr:uid="{00000000-0005-0000-0000-00001E040000}"/>
    <cellStyle name="Currency 2 6 4 2 3" xfId="2446" xr:uid="{C31B873D-4D69-4561-A582-6236D16F4E14}"/>
    <cellStyle name="Currency 2 6 4 3" xfId="1052" xr:uid="{00000000-0005-0000-0000-00001F040000}"/>
    <cellStyle name="Currency 2 6 4 4" xfId="2445" xr:uid="{C1C94250-0023-4066-8773-7B64D9F07158}"/>
    <cellStyle name="Currency 2 6 5" xfId="1053" xr:uid="{00000000-0005-0000-0000-000020040000}"/>
    <cellStyle name="Currency 2 6 5 2" xfId="1054" xr:uid="{00000000-0005-0000-0000-000021040000}"/>
    <cellStyle name="Currency 2 6 5 3" xfId="2447" xr:uid="{F4564DA6-45B2-4108-AFC3-8AC4DDC74CD3}"/>
    <cellStyle name="Currency 2 6 6" xfId="1055" xr:uid="{00000000-0005-0000-0000-000022040000}"/>
    <cellStyle name="Currency 2 6 7" xfId="2432" xr:uid="{91889B11-D749-423B-930A-01268BFEB6F4}"/>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2 3" xfId="2451" xr:uid="{DD4EA856-9A13-4886-AB54-8EDF369C92B6}"/>
    <cellStyle name="Currency 2 7 2 2 3" xfId="1061" xr:uid="{00000000-0005-0000-0000-000028040000}"/>
    <cellStyle name="Currency 2 7 2 2 4" xfId="2450" xr:uid="{809D6CDD-2DDC-4131-BC23-F6CFB49EF86D}"/>
    <cellStyle name="Currency 2 7 2 3" xfId="1062" xr:uid="{00000000-0005-0000-0000-000029040000}"/>
    <cellStyle name="Currency 2 7 2 3 2" xfId="1063" xr:uid="{00000000-0005-0000-0000-00002A040000}"/>
    <cellStyle name="Currency 2 7 2 3 3" xfId="2452" xr:uid="{83CD1E6E-821E-407C-9C39-39BA3FEDE5BA}"/>
    <cellStyle name="Currency 2 7 2 4" xfId="1064" xr:uid="{00000000-0005-0000-0000-00002B040000}"/>
    <cellStyle name="Currency 2 7 2 5" xfId="2449" xr:uid="{6AB57F87-4101-40EF-9DDB-754B112ADA03}"/>
    <cellStyle name="Currency 2 7 3" xfId="1065" xr:uid="{00000000-0005-0000-0000-00002C040000}"/>
    <cellStyle name="Currency 2 7 3 2" xfId="1066" xr:uid="{00000000-0005-0000-0000-00002D040000}"/>
    <cellStyle name="Currency 2 7 3 2 2" xfId="1067" xr:uid="{00000000-0005-0000-0000-00002E040000}"/>
    <cellStyle name="Currency 2 7 3 2 3" xfId="2454" xr:uid="{178E8C92-0B47-41A1-B199-E79A018F4452}"/>
    <cellStyle name="Currency 2 7 3 3" xfId="1068" xr:uid="{00000000-0005-0000-0000-00002F040000}"/>
    <cellStyle name="Currency 2 7 3 4" xfId="2453" xr:uid="{050E3E3F-180C-4413-9D5E-25527F733521}"/>
    <cellStyle name="Currency 2 7 4" xfId="1069" xr:uid="{00000000-0005-0000-0000-000030040000}"/>
    <cellStyle name="Currency 2 7 4 2" xfId="1070" xr:uid="{00000000-0005-0000-0000-000031040000}"/>
    <cellStyle name="Currency 2 7 4 3" xfId="2455" xr:uid="{9F451F6C-8919-4866-8824-F5361FA226A7}"/>
    <cellStyle name="Currency 2 7 5" xfId="1071" xr:uid="{00000000-0005-0000-0000-000032040000}"/>
    <cellStyle name="Currency 2 7 6" xfId="2448" xr:uid="{F077E5DD-2BCE-40D7-B6FB-FC8877D1DD42}"/>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2 3" xfId="2458" xr:uid="{5035DE8B-0C57-4B07-AFD2-BB04F4CF6ECB}"/>
    <cellStyle name="Currency 2 8 2 3" xfId="1076" xr:uid="{00000000-0005-0000-0000-000037040000}"/>
    <cellStyle name="Currency 2 8 2 4" xfId="2457" xr:uid="{0AA4DF23-CC11-443A-A0B6-BA3CCD8FD89F}"/>
    <cellStyle name="Currency 2 8 3" xfId="1077" xr:uid="{00000000-0005-0000-0000-000038040000}"/>
    <cellStyle name="Currency 2 8 3 2" xfId="1078" xr:uid="{00000000-0005-0000-0000-000039040000}"/>
    <cellStyle name="Currency 2 8 3 3" xfId="2459" xr:uid="{FA678061-69F1-4F2D-9074-23F217D71982}"/>
    <cellStyle name="Currency 2 8 4" xfId="1079" xr:uid="{00000000-0005-0000-0000-00003A040000}"/>
    <cellStyle name="Currency 2 8 5" xfId="2456" xr:uid="{0571B95D-3AA9-43F4-ABBF-D6960E1C09B7}"/>
    <cellStyle name="Currency 2 9" xfId="1080" xr:uid="{00000000-0005-0000-0000-00003B040000}"/>
    <cellStyle name="Currency 2 9 2" xfId="1081" xr:uid="{00000000-0005-0000-0000-00003C040000}"/>
    <cellStyle name="Currency 2 9 2 2" xfId="1082" xr:uid="{00000000-0005-0000-0000-00003D040000}"/>
    <cellStyle name="Currency 2 9 2 3" xfId="2461" xr:uid="{4C2B8EAC-0F35-4FB0-9793-879CBE863F24}"/>
    <cellStyle name="Currency 2 9 3" xfId="1083" xr:uid="{00000000-0005-0000-0000-00003E040000}"/>
    <cellStyle name="Currency 2 9 4" xfId="2460" xr:uid="{0A921E8E-762C-4E30-B973-2BBBCD170AC9}"/>
    <cellStyle name="Encabezado 1" xfId="1084" builtinId="16" customBuiltin="1"/>
    <cellStyle name="Encabezado 1 2" xfId="2016" xr:uid="{024D3912-343D-4774-A2FD-64930C586CDF}"/>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Encabezado 4 5" xfId="2091" xr:uid="{CCE8841B-0CE9-41C4-B03D-47D563CA90B6}"/>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1 5" xfId="2030" xr:uid="{3E807B52-98C8-4906-9A12-7F9CB20A2C9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2 5" xfId="2033" xr:uid="{7F20857B-DF6C-4E8A-BDF4-69D6A250F72B}"/>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3 5" xfId="2037" xr:uid="{A4040364-E066-4862-A998-FBB2D752DAE2}"/>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4 5" xfId="2042" xr:uid="{46C4C8BF-4B30-4A27-A517-FC822B551E5E}"/>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5 5" xfId="2094" xr:uid="{A4E8722E-3706-4094-8BFF-376DCA1219E6}"/>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Énfasis6 5" xfId="2085" xr:uid="{CB6BD943-EB6D-4FA3-9A67-F57E0ADE40FF}"/>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ntrada 5" xfId="2022" xr:uid="{2FDEAEAB-91B0-4BC0-8B83-A90B53BADB41}"/>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2 3" xfId="1999" xr:uid="{6C24B29C-03B3-4211-A563-B41D91B8EB1C}"/>
    <cellStyle name="Hipervínculo 3" xfId="1140" xr:uid="{00000000-0005-0000-0000-000072040000}"/>
    <cellStyle name="Hipervínculo 3 2" xfId="1141" xr:uid="{00000000-0005-0000-0000-000073040000}"/>
    <cellStyle name="Hipervínculo 3 3" xfId="1142" xr:uid="{00000000-0005-0000-0000-000074040000}"/>
    <cellStyle name="Hipervínculo 3 4" xfId="2032" xr:uid="{B87A1601-3233-4B79-92DA-1D976F1B0BBE}"/>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Incorrecto 5" xfId="2020" xr:uid="{678C0AB6-D386-4FA5-A67C-30F53362E5A5}"/>
    <cellStyle name="Millares" xfId="1152" builtinId="3"/>
    <cellStyle name="Millares [0]" xfId="1153" builtinId="6"/>
    <cellStyle name="Millares [0] 10" xfId="3036" xr:uid="{52774D35-84A3-4C35-9610-0A22C802D2EE}"/>
    <cellStyle name="Millares [0] 11" xfId="3038" xr:uid="{9ACA97AE-10D2-48F8-BA01-FA8819BC7156}"/>
    <cellStyle name="Millares [0] 12" xfId="3061" xr:uid="{5541D302-FD77-434D-8584-B19C493F777F}"/>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0] 7" xfId="2000" xr:uid="{35CA1447-7BD7-4FED-8291-761A73DA8798}"/>
    <cellStyle name="Millares [0] 8" xfId="2003" xr:uid="{EE465A13-B4D4-489E-AB38-DCFFC15C48C0}"/>
    <cellStyle name="Millares [0] 9" xfId="2088" xr:uid="{E4F1F1E7-5321-4026-9DE0-713626064895}"/>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27" xfId="2001" xr:uid="{304CFE35-E740-4107-AC96-D555DF4BBE53}"/>
    <cellStyle name="Millares 28" xfId="2084" xr:uid="{B9CBD574-A418-4DE1-A6B3-C2E95B7FC95A}"/>
    <cellStyle name="Millares 29" xfId="2093" xr:uid="{90ADDB99-3C6D-4826-A1D2-DCA2DD0A28BE}"/>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3 4" xfId="2040" xr:uid="{A2CED791-8656-426C-9515-A1281B8B2C7F}"/>
    <cellStyle name="Millares 3 5" xfId="3045" xr:uid="{27B7339C-89E2-4C74-9AB8-E9E9E84622EC}"/>
    <cellStyle name="Millares 30" xfId="2080" xr:uid="{F63131EF-C421-4A6D-9497-00618C0E4471}"/>
    <cellStyle name="Millares 31" xfId="2090" xr:uid="{C55A3916-15A2-48CC-B134-24D6FC4E88BD}"/>
    <cellStyle name="Millares 32" xfId="2089" xr:uid="{8BF13DB7-C699-491C-B0D6-DC95F343120E}"/>
    <cellStyle name="Millares 33" xfId="3029" xr:uid="{91B0ACF0-E5EA-4A4C-8FBE-A20ABFD3D274}"/>
    <cellStyle name="Millares 34" xfId="3058" xr:uid="{EC9EC162-774B-439E-886D-4B87B6558958}"/>
    <cellStyle name="Millares 35" xfId="3059" xr:uid="{35A1B8DE-11D7-48D7-B750-3E3BAB4F1A42}"/>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Moneda [0]" xfId="3063" builtinId="7"/>
    <cellStyle name="Neutral" xfId="1216" builtinId="28" customBuiltin="1"/>
    <cellStyle name="Neutral 2" xfId="1217" xr:uid="{00000000-0005-0000-0000-0000BE040000}"/>
    <cellStyle name="Neutral 2 2" xfId="1218" xr:uid="{00000000-0005-0000-0000-0000BF040000}"/>
    <cellStyle name="Neutral 2 3" xfId="1989" xr:uid="{F5F8A604-6DC4-4B55-9779-899A10A02F31}"/>
    <cellStyle name="Neutral 3" xfId="1219" xr:uid="{00000000-0005-0000-0000-0000C0040000}"/>
    <cellStyle name="Neutral 3 2" xfId="1220" xr:uid="{00000000-0005-0000-0000-0000C1040000}"/>
    <cellStyle name="Neutral 4" xfId="1221" xr:uid="{00000000-0005-0000-0000-0000C2040000}"/>
    <cellStyle name="Neutral 5" xfId="2021" xr:uid="{2DD267ED-BA13-4A80-9A05-4AD1D24EBED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0 5" xfId="3032" xr:uid="{339D8327-CD20-4522-8F0A-F3A52A511196}"/>
    <cellStyle name="Normal 11" xfId="1229" xr:uid="{00000000-0005-0000-0000-0000CA040000}"/>
    <cellStyle name="Normal 11 2" xfId="3033" xr:uid="{37BA7B13-4E74-4763-91DA-F2E14EC2ACF1}"/>
    <cellStyle name="Normal 12" xfId="1230" xr:uid="{00000000-0005-0000-0000-0000CB040000}"/>
    <cellStyle name="Normal 12 2" xfId="3034" xr:uid="{09B875B4-51B2-4F6B-B2EF-4E46586BA403}"/>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2 4" xfId="1990" xr:uid="{B2BD50CB-6101-4BD7-AAA3-55EB1E8AD776}"/>
    <cellStyle name="Normal 2 2 3" xfId="1250" xr:uid="{00000000-0005-0000-0000-0000DF040000}"/>
    <cellStyle name="Normal 2 2 4" xfId="2047" xr:uid="{18C5EBFD-093A-4991-976B-A0105092233F}"/>
    <cellStyle name="Normal 2 2 5" xfId="3046" xr:uid="{04D65303-7F53-4D07-9A0A-B70FDB15DF74}"/>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2 2 2" xfId="1993" xr:uid="{E5936FE9-057C-4645-938D-8F2B482F79C4}"/>
    <cellStyle name="Normal 3 2 2 3" xfId="1994" xr:uid="{631DFAB7-E520-4CA8-AAA4-F143148E9963}"/>
    <cellStyle name="Normal 3 2 2 4" xfId="1995" xr:uid="{065BFBE7-5137-4911-873B-EBE2446A17F7}"/>
    <cellStyle name="Normal 3 2 2 5" xfId="1996" xr:uid="{AD083736-BB9D-46DD-90F1-817B5DE84AB4}"/>
    <cellStyle name="Normal 3 2 2 6" xfId="1992" xr:uid="{A364A7C7-B9BC-4E9D-AD2C-E925F16BF2AE}"/>
    <cellStyle name="Normal 3 2 3" xfId="1281" xr:uid="{00000000-0005-0000-0000-0000FE040000}"/>
    <cellStyle name="Normal 3 2 4" xfId="1282" xr:uid="{00000000-0005-0000-0000-0000FF040000}"/>
    <cellStyle name="Normal 3 2 5" xfId="1991" xr:uid="{268DB4F5-72D8-41A3-B144-BBC1FD2A8BFF}"/>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30" xfId="1985" xr:uid="{2A475D4B-ED00-4F67-943C-74512CB32A82}"/>
    <cellStyle name="Normal 31" xfId="1986" xr:uid="{080C3A6D-22A1-4B0B-B264-36C581A0836C}"/>
    <cellStyle name="Normal 32" xfId="1987" xr:uid="{6CE7DE3B-FC54-48A4-AD18-8C4B4F3FFE4F}"/>
    <cellStyle name="Normal 33" xfId="1988" xr:uid="{65E5548C-A91D-48E6-BABD-3FC8000AD105}"/>
    <cellStyle name="Normal 34" xfId="1998" xr:uid="{ACF1078D-5166-4BD9-9E80-79A668884E7F}"/>
    <cellStyle name="Normal 35" xfId="2002" xr:uid="{5BAE54D3-A8DB-4A2C-A6F8-44C8E91FE46F}"/>
    <cellStyle name="Normal 36" xfId="3035" xr:uid="{BFDC3BC0-277F-470D-8F50-0E5F0CFC3CD0}"/>
    <cellStyle name="Normal 37" xfId="3037" xr:uid="{E0EBDCDA-4735-4391-96E6-8F8267A4403D}"/>
    <cellStyle name="Normal 38" xfId="3060" xr:uid="{38143CFF-CB55-4605-9FF9-1417B0F82F94}"/>
    <cellStyle name="Normal 39" xfId="3062" xr:uid="{7DABB5FB-D1B9-4429-9B45-0284E4444E3E}"/>
    <cellStyle name="Normal 4" xfId="1287" xr:uid="{00000000-0005-0000-0000-000004050000}"/>
    <cellStyle name="Normal 4 10" xfId="1288" xr:uid="{00000000-0005-0000-0000-000005050000}"/>
    <cellStyle name="Normal 4 10 2" xfId="2462" xr:uid="{928CB59B-51FC-439C-8367-963E14919371}"/>
    <cellStyle name="Normal 4 11" xfId="1289" xr:uid="{00000000-0005-0000-0000-000006050000}"/>
    <cellStyle name="Normal 4 12" xfId="1290" xr:uid="{00000000-0005-0000-0000-000007050000}"/>
    <cellStyle name="Normal 4 13" xfId="1291" xr:uid="{00000000-0005-0000-0000-000008050000}"/>
    <cellStyle name="Normal 4 14" xfId="2086" xr:uid="{ADD27A49-D45C-4768-9D38-FD61DCC541F7}"/>
    <cellStyle name="Normal 4 2" xfId="1292" xr:uid="{00000000-0005-0000-0000-000009050000}"/>
    <cellStyle name="Normal 4 2 10" xfId="1293" xr:uid="{00000000-0005-0000-0000-00000A050000}"/>
    <cellStyle name="Normal 4 2 11" xfId="2050" xr:uid="{7F52B102-237D-4556-9750-2A79F8004D6B}"/>
    <cellStyle name="Normal 4 2 12" xfId="3047" xr:uid="{CAC9F66A-7C3A-4A3E-B8BD-96195B90C6E8}"/>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2 2 2" xfId="2468" xr:uid="{CEE26DDE-C408-4012-BA10-FB9F8CD89B1E}"/>
    <cellStyle name="Normal 4 2 2 2 2 2 2 2 3" xfId="2467" xr:uid="{4186F549-6257-4311-9F14-50A2A8236A43}"/>
    <cellStyle name="Normal 4 2 2 2 2 2 2 3" xfId="1301" xr:uid="{00000000-0005-0000-0000-000012050000}"/>
    <cellStyle name="Normal 4 2 2 2 2 2 2 3 2" xfId="2469" xr:uid="{2B8A8A37-CDC5-4814-B14D-11E7801447F8}"/>
    <cellStyle name="Normal 4 2 2 2 2 2 2 4" xfId="2466" xr:uid="{A3B1F945-1F10-4D53-A1CB-3551A5637BBE}"/>
    <cellStyle name="Normal 4 2 2 2 2 2 3" xfId="1302" xr:uid="{00000000-0005-0000-0000-000013050000}"/>
    <cellStyle name="Normal 4 2 2 2 2 2 3 2" xfId="1303" xr:uid="{00000000-0005-0000-0000-000014050000}"/>
    <cellStyle name="Normal 4 2 2 2 2 2 3 2 2" xfId="2471" xr:uid="{AF20B950-1771-4708-AD1E-3CE1205D10D3}"/>
    <cellStyle name="Normal 4 2 2 2 2 2 3 3" xfId="2470" xr:uid="{CF9371B9-DE35-403C-8F5A-5167C0A4628C}"/>
    <cellStyle name="Normal 4 2 2 2 2 2 4" xfId="1304" xr:uid="{00000000-0005-0000-0000-000015050000}"/>
    <cellStyle name="Normal 4 2 2 2 2 2 4 2" xfId="2472" xr:uid="{D1E12149-5E54-4BF1-AA3A-1FE471CF896B}"/>
    <cellStyle name="Normal 4 2 2 2 2 2 5" xfId="2465" xr:uid="{3ADF17B2-B5F8-411E-A329-F53BB4E6DEF8}"/>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2 2 2" xfId="2475" xr:uid="{2B1180B9-CD59-4AE6-B5A5-AADBDFEDB10F}"/>
    <cellStyle name="Normal 4 2 2 2 2 3 2 3" xfId="2474" xr:uid="{B9C83C45-88F6-4B57-90F0-69A2A33AA9EB}"/>
    <cellStyle name="Normal 4 2 2 2 2 3 3" xfId="1308" xr:uid="{00000000-0005-0000-0000-000019050000}"/>
    <cellStyle name="Normal 4 2 2 2 2 3 3 2" xfId="2476" xr:uid="{0B4B4039-EC6E-4D69-B349-0C42272793B6}"/>
    <cellStyle name="Normal 4 2 2 2 2 3 4" xfId="2473" xr:uid="{EB3280F6-2701-475E-AEBB-E2FD70F2DDDA}"/>
    <cellStyle name="Normal 4 2 2 2 2 4" xfId="1309" xr:uid="{00000000-0005-0000-0000-00001A050000}"/>
    <cellStyle name="Normal 4 2 2 2 2 4 2" xfId="1310" xr:uid="{00000000-0005-0000-0000-00001B050000}"/>
    <cellStyle name="Normal 4 2 2 2 2 4 2 2" xfId="2478" xr:uid="{EFB60555-F91E-4020-8DFF-873B92172EF8}"/>
    <cellStyle name="Normal 4 2 2 2 2 4 3" xfId="2477" xr:uid="{DBE54BAC-AC3A-474E-8A88-E94A16B24264}"/>
    <cellStyle name="Normal 4 2 2 2 2 5" xfId="1311" xr:uid="{00000000-0005-0000-0000-00001C050000}"/>
    <cellStyle name="Normal 4 2 2 2 2 5 2" xfId="2479" xr:uid="{B06F93AC-C474-4B12-809B-49A467C6DDDE}"/>
    <cellStyle name="Normal 4 2 2 2 2 6" xfId="2464" xr:uid="{42D24060-7DDD-4B01-985E-7B7C085F5747}"/>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2 2 2" xfId="2483" xr:uid="{8F812044-61B2-4208-8B51-12D910552E80}"/>
    <cellStyle name="Normal 4 2 2 2 3 2 2 3" xfId="2482" xr:uid="{F402264B-EC42-40E5-A4CC-DB4CD6C75CCA}"/>
    <cellStyle name="Normal 4 2 2 2 3 2 3" xfId="1316" xr:uid="{00000000-0005-0000-0000-000021050000}"/>
    <cellStyle name="Normal 4 2 2 2 3 2 3 2" xfId="2484" xr:uid="{C2635394-57F3-4633-B29B-ADCA4E68CCEF}"/>
    <cellStyle name="Normal 4 2 2 2 3 2 4" xfId="2481" xr:uid="{FA29AA81-E2CA-4826-BDDE-5B490AD90B26}"/>
    <cellStyle name="Normal 4 2 2 2 3 3" xfId="1317" xr:uid="{00000000-0005-0000-0000-000022050000}"/>
    <cellStyle name="Normal 4 2 2 2 3 3 2" xfId="1318" xr:uid="{00000000-0005-0000-0000-000023050000}"/>
    <cellStyle name="Normal 4 2 2 2 3 3 2 2" xfId="2486" xr:uid="{AD3AC00C-2B00-4F34-86BD-7759BE3F9875}"/>
    <cellStyle name="Normal 4 2 2 2 3 3 3" xfId="2485" xr:uid="{927F6C36-8565-475F-8089-05105960B489}"/>
    <cellStyle name="Normal 4 2 2 2 3 4" xfId="1319" xr:uid="{00000000-0005-0000-0000-000024050000}"/>
    <cellStyle name="Normal 4 2 2 2 3 4 2" xfId="2487" xr:uid="{15976B85-0965-47D7-B442-231CF96C04B8}"/>
    <cellStyle name="Normal 4 2 2 2 3 5" xfId="2480" xr:uid="{14C30C7A-FD52-410C-878F-705DA72B047D}"/>
    <cellStyle name="Normal 4 2 2 2 4" xfId="1320" xr:uid="{00000000-0005-0000-0000-000025050000}"/>
    <cellStyle name="Normal 4 2 2 2 4 2" xfId="1321" xr:uid="{00000000-0005-0000-0000-000026050000}"/>
    <cellStyle name="Normal 4 2 2 2 4 2 2" xfId="1322" xr:uid="{00000000-0005-0000-0000-000027050000}"/>
    <cellStyle name="Normal 4 2 2 2 4 2 2 2" xfId="2490" xr:uid="{8C6AF6B2-1C60-472D-8FBC-A8A80FE9F578}"/>
    <cellStyle name="Normal 4 2 2 2 4 2 3" xfId="2489" xr:uid="{80AC8830-07BA-421C-89CC-5E7AC4F393AB}"/>
    <cellStyle name="Normal 4 2 2 2 4 3" xfId="1323" xr:uid="{00000000-0005-0000-0000-000028050000}"/>
    <cellStyle name="Normal 4 2 2 2 4 3 2" xfId="2491" xr:uid="{DE79B4B0-87D5-44FB-9387-9D718331BFE9}"/>
    <cellStyle name="Normal 4 2 2 2 4 4" xfId="2488" xr:uid="{EF502140-16C2-4218-A97D-7CEE3A44FB2A}"/>
    <cellStyle name="Normal 4 2 2 2 5" xfId="1324" xr:uid="{00000000-0005-0000-0000-000029050000}"/>
    <cellStyle name="Normal 4 2 2 2 5 2" xfId="1325" xr:uid="{00000000-0005-0000-0000-00002A050000}"/>
    <cellStyle name="Normal 4 2 2 2 5 2 2" xfId="2493" xr:uid="{25F3C07E-0A58-4911-BF6B-FF99CF2C9E0C}"/>
    <cellStyle name="Normal 4 2 2 2 5 3" xfId="2492" xr:uid="{D16150FB-C873-4E6D-9284-876ECD5DDF9E}"/>
    <cellStyle name="Normal 4 2 2 2 6" xfId="1326" xr:uid="{00000000-0005-0000-0000-00002B050000}"/>
    <cellStyle name="Normal 4 2 2 2 6 2" xfId="2494" xr:uid="{19522430-278D-4ED4-8391-860FB06CC8CE}"/>
    <cellStyle name="Normal 4 2 2 2 7" xfId="2463" xr:uid="{EE989A40-D518-4B5B-9286-21598C15BB79}"/>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2 2 2" xfId="2499" xr:uid="{AD613838-0351-4078-BD63-7D1A877CBB7D}"/>
    <cellStyle name="Normal 4 2 2 3 2 2 2 3" xfId="2498" xr:uid="{88938F2B-8379-4410-B401-380997AAF44D}"/>
    <cellStyle name="Normal 4 2 2 3 2 2 3" xfId="1332" xr:uid="{00000000-0005-0000-0000-000031050000}"/>
    <cellStyle name="Normal 4 2 2 3 2 2 3 2" xfId="2500" xr:uid="{D2C72F32-EE66-41D1-BF1D-53917B1504A6}"/>
    <cellStyle name="Normal 4 2 2 3 2 2 4" xfId="2497" xr:uid="{B450A7FD-089E-4B7D-86E1-0A0A30260F00}"/>
    <cellStyle name="Normal 4 2 2 3 2 3" xfId="1333" xr:uid="{00000000-0005-0000-0000-000032050000}"/>
    <cellStyle name="Normal 4 2 2 3 2 3 2" xfId="1334" xr:uid="{00000000-0005-0000-0000-000033050000}"/>
    <cellStyle name="Normal 4 2 2 3 2 3 2 2" xfId="2502" xr:uid="{C34DD2BD-98CF-4A8F-99D5-B1E90E3C5F10}"/>
    <cellStyle name="Normal 4 2 2 3 2 3 3" xfId="2501" xr:uid="{221E7CA9-AA6E-4414-BB4B-3E796505663B}"/>
    <cellStyle name="Normal 4 2 2 3 2 4" xfId="1335" xr:uid="{00000000-0005-0000-0000-000034050000}"/>
    <cellStyle name="Normal 4 2 2 3 2 4 2" xfId="2503" xr:uid="{CF01FBAA-FF54-4B95-8768-45CADC87A5E4}"/>
    <cellStyle name="Normal 4 2 2 3 2 5" xfId="2496" xr:uid="{9EB58BB3-1CF7-4DDA-AD7F-D2D807C66997}"/>
    <cellStyle name="Normal 4 2 2 3 3" xfId="1336" xr:uid="{00000000-0005-0000-0000-000035050000}"/>
    <cellStyle name="Normal 4 2 2 3 3 2" xfId="1337" xr:uid="{00000000-0005-0000-0000-000036050000}"/>
    <cellStyle name="Normal 4 2 2 3 3 2 2" xfId="1338" xr:uid="{00000000-0005-0000-0000-000037050000}"/>
    <cellStyle name="Normal 4 2 2 3 3 2 2 2" xfId="2506" xr:uid="{77375398-D8E9-484D-88B0-D60C8021949D}"/>
    <cellStyle name="Normal 4 2 2 3 3 2 3" xfId="2505" xr:uid="{D365A5DF-59E4-4D6A-8FB8-BC44C3A7C1A4}"/>
    <cellStyle name="Normal 4 2 2 3 3 3" xfId="1339" xr:uid="{00000000-0005-0000-0000-000038050000}"/>
    <cellStyle name="Normal 4 2 2 3 3 3 2" xfId="2507" xr:uid="{0841DCF1-CBB9-4F16-8E5A-C7CD3D8BCE32}"/>
    <cellStyle name="Normal 4 2 2 3 3 4" xfId="2504" xr:uid="{D8E1F7CF-877A-4398-9059-4E3A4A3A518B}"/>
    <cellStyle name="Normal 4 2 2 3 4" xfId="1340" xr:uid="{00000000-0005-0000-0000-000039050000}"/>
    <cellStyle name="Normal 4 2 2 3 4 2" xfId="1341" xr:uid="{00000000-0005-0000-0000-00003A050000}"/>
    <cellStyle name="Normal 4 2 2 3 4 2 2" xfId="2509" xr:uid="{BA37B053-C88D-49BF-B5CA-9B6F73BCF98F}"/>
    <cellStyle name="Normal 4 2 2 3 4 3" xfId="2508" xr:uid="{B528385E-FFEE-4791-9005-05FF7420512E}"/>
    <cellStyle name="Normal 4 2 2 3 5" xfId="1342" xr:uid="{00000000-0005-0000-0000-00003B050000}"/>
    <cellStyle name="Normal 4 2 2 3 5 2" xfId="2510" xr:uid="{D8DA44D9-5545-482A-8EE3-E89FC26AE6E7}"/>
    <cellStyle name="Normal 4 2 2 3 6" xfId="2495" xr:uid="{84F4DC6E-4FAF-4A22-B071-72AF2B420031}"/>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2 2 2" xfId="2514" xr:uid="{2D704A37-220B-407B-B3FD-3494DA31DDB7}"/>
    <cellStyle name="Normal 4 2 2 4 2 2 3" xfId="2513" xr:uid="{23B55C0D-14C4-41E9-A4F7-2B3FB4CC7B48}"/>
    <cellStyle name="Normal 4 2 2 4 2 3" xfId="1347" xr:uid="{00000000-0005-0000-0000-000040050000}"/>
    <cellStyle name="Normal 4 2 2 4 2 3 2" xfId="2515" xr:uid="{C9D671D8-5DEF-4B51-AEA4-02A791418B1D}"/>
    <cellStyle name="Normal 4 2 2 4 2 4" xfId="2512" xr:uid="{E667078F-76BC-4852-AC95-DB17AE0AAC3C}"/>
    <cellStyle name="Normal 4 2 2 4 3" xfId="1348" xr:uid="{00000000-0005-0000-0000-000041050000}"/>
    <cellStyle name="Normal 4 2 2 4 3 2" xfId="1349" xr:uid="{00000000-0005-0000-0000-000042050000}"/>
    <cellStyle name="Normal 4 2 2 4 3 2 2" xfId="2517" xr:uid="{0EA4ABCE-A42D-40A1-939B-73563ACC4A74}"/>
    <cellStyle name="Normal 4 2 2 4 3 3" xfId="2516" xr:uid="{91AA5041-0443-48D5-B8C4-06E0781ABAF1}"/>
    <cellStyle name="Normal 4 2 2 4 4" xfId="1350" xr:uid="{00000000-0005-0000-0000-000043050000}"/>
    <cellStyle name="Normal 4 2 2 4 4 2" xfId="2518" xr:uid="{2523E424-1910-4C23-8331-3DA84B473E61}"/>
    <cellStyle name="Normal 4 2 2 4 5" xfId="2511" xr:uid="{5D1C803B-D6A0-4CF4-9440-4CD114661AF4}"/>
    <cellStyle name="Normal 4 2 2 5" xfId="1351" xr:uid="{00000000-0005-0000-0000-000044050000}"/>
    <cellStyle name="Normal 4 2 2 5 2" xfId="1352" xr:uid="{00000000-0005-0000-0000-000045050000}"/>
    <cellStyle name="Normal 4 2 2 5 2 2" xfId="1353" xr:uid="{00000000-0005-0000-0000-000046050000}"/>
    <cellStyle name="Normal 4 2 2 5 2 2 2" xfId="2521" xr:uid="{F2BA5E72-9F52-4B48-A45E-555C2628D4E4}"/>
    <cellStyle name="Normal 4 2 2 5 2 3" xfId="2520" xr:uid="{EDB7E288-5C4E-4E53-BFE1-ACBC222C25CF}"/>
    <cellStyle name="Normal 4 2 2 5 3" xfId="1354" xr:uid="{00000000-0005-0000-0000-000047050000}"/>
    <cellStyle name="Normal 4 2 2 5 3 2" xfId="2522" xr:uid="{4B364655-D91E-4370-9355-B693E87E668B}"/>
    <cellStyle name="Normal 4 2 2 5 4" xfId="2519" xr:uid="{CDA7AE09-AF85-46D4-BCB7-F21DAB6E04F8}"/>
    <cellStyle name="Normal 4 2 2 6" xfId="1355" xr:uid="{00000000-0005-0000-0000-000048050000}"/>
    <cellStyle name="Normal 4 2 2 6 2" xfId="1356" xr:uid="{00000000-0005-0000-0000-000049050000}"/>
    <cellStyle name="Normal 4 2 2 6 2 2" xfId="2524" xr:uid="{D595E234-3A80-4889-8E8D-966B82586677}"/>
    <cellStyle name="Normal 4 2 2 6 3" xfId="2523" xr:uid="{B0D7A122-D273-4F8B-9FAA-91B1C1FC9362}"/>
    <cellStyle name="Normal 4 2 2 7" xfId="1357" xr:uid="{00000000-0005-0000-0000-00004A050000}"/>
    <cellStyle name="Normal 4 2 2 7 2" xfId="2525" xr:uid="{917B5FC4-7DDC-4848-8464-75FB0FF3D227}"/>
    <cellStyle name="Normal 4 2 2 8" xfId="2051" xr:uid="{37AF2F37-5CCB-4494-81BB-01BDCE208E13}"/>
    <cellStyle name="Normal 4 2 2 9" xfId="3048" xr:uid="{46FEC055-E2E5-4268-8D5C-C355151341F4}"/>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2 2 2" xfId="2531" xr:uid="{35A8D586-36CC-4929-A210-6092E1AE13F7}"/>
    <cellStyle name="Normal 4 2 3 2 2 2 2 2 3" xfId="2530" xr:uid="{FBA25B17-D4EF-4D29-948B-2D18FC5D5669}"/>
    <cellStyle name="Normal 4 2 3 2 2 2 2 3" xfId="1365" xr:uid="{00000000-0005-0000-0000-000052050000}"/>
    <cellStyle name="Normal 4 2 3 2 2 2 2 3 2" xfId="2532" xr:uid="{8FE21D45-019D-476C-913C-9C72B1D26722}"/>
    <cellStyle name="Normal 4 2 3 2 2 2 2 4" xfId="2529" xr:uid="{6EFEB51A-52D4-4ED8-A1A4-6609BC7CD6CE}"/>
    <cellStyle name="Normal 4 2 3 2 2 2 3" xfId="1366" xr:uid="{00000000-0005-0000-0000-000053050000}"/>
    <cellStyle name="Normal 4 2 3 2 2 2 3 2" xfId="1367" xr:uid="{00000000-0005-0000-0000-000054050000}"/>
    <cellStyle name="Normal 4 2 3 2 2 2 3 2 2" xfId="2534" xr:uid="{E2FCAFA7-2EF0-49B5-9EAA-2F6EEE7F2B91}"/>
    <cellStyle name="Normal 4 2 3 2 2 2 3 3" xfId="2533" xr:uid="{386846A3-73DC-4F8D-AF06-9E30AA2024BD}"/>
    <cellStyle name="Normal 4 2 3 2 2 2 4" xfId="1368" xr:uid="{00000000-0005-0000-0000-000055050000}"/>
    <cellStyle name="Normal 4 2 3 2 2 2 4 2" xfId="2535" xr:uid="{F1886991-5385-4A01-9570-123ACED97CA1}"/>
    <cellStyle name="Normal 4 2 3 2 2 2 5" xfId="2528" xr:uid="{5F65D005-F9E7-42A7-934F-6593290787EF}"/>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2 2 2" xfId="2538" xr:uid="{0F75A1F6-FC76-4C3F-BA4C-0C99DEC94AA2}"/>
    <cellStyle name="Normal 4 2 3 2 2 3 2 3" xfId="2537" xr:uid="{7A2EFC2F-EA46-4827-9E11-8DF7F66BD812}"/>
    <cellStyle name="Normal 4 2 3 2 2 3 3" xfId="1372" xr:uid="{00000000-0005-0000-0000-000059050000}"/>
    <cellStyle name="Normal 4 2 3 2 2 3 3 2" xfId="2539" xr:uid="{EE518EA7-E3E9-4034-B5B0-89C3DB8020D7}"/>
    <cellStyle name="Normal 4 2 3 2 2 3 4" xfId="2536" xr:uid="{5160850E-5749-4971-BC25-2030DE2BC0C3}"/>
    <cellStyle name="Normal 4 2 3 2 2 4" xfId="1373" xr:uid="{00000000-0005-0000-0000-00005A050000}"/>
    <cellStyle name="Normal 4 2 3 2 2 4 2" xfId="1374" xr:uid="{00000000-0005-0000-0000-00005B050000}"/>
    <cellStyle name="Normal 4 2 3 2 2 4 2 2" xfId="2541" xr:uid="{7A070C7F-463D-43C8-B94F-08C244D46594}"/>
    <cellStyle name="Normal 4 2 3 2 2 4 3" xfId="2540" xr:uid="{AC0FB59A-E7D5-48F5-9DAB-14282BE02DAF}"/>
    <cellStyle name="Normal 4 2 3 2 2 5" xfId="1375" xr:uid="{00000000-0005-0000-0000-00005C050000}"/>
    <cellStyle name="Normal 4 2 3 2 2 5 2" xfId="2542" xr:uid="{B41294A0-244D-4447-B9E3-DAAE755C74E1}"/>
    <cellStyle name="Normal 4 2 3 2 2 6" xfId="2527" xr:uid="{8945FE41-124D-4D9B-9BCA-8704BDDF76D4}"/>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2 2 2" xfId="2546" xr:uid="{F06785A3-735E-4920-AAD6-673FFF3EFFAC}"/>
    <cellStyle name="Normal 4 2 3 2 3 2 2 3" xfId="2545" xr:uid="{FFE9A0D0-1D78-45C7-AA37-C1D6E5E716E2}"/>
    <cellStyle name="Normal 4 2 3 2 3 2 3" xfId="1380" xr:uid="{00000000-0005-0000-0000-000061050000}"/>
    <cellStyle name="Normal 4 2 3 2 3 2 3 2" xfId="2547" xr:uid="{0BFEF812-3F25-4AC7-8652-D4954D9ED14D}"/>
    <cellStyle name="Normal 4 2 3 2 3 2 4" xfId="2544" xr:uid="{40476C63-380C-4140-8219-8648C7549710}"/>
    <cellStyle name="Normal 4 2 3 2 3 3" xfId="1381" xr:uid="{00000000-0005-0000-0000-000062050000}"/>
    <cellStyle name="Normal 4 2 3 2 3 3 2" xfId="1382" xr:uid="{00000000-0005-0000-0000-000063050000}"/>
    <cellStyle name="Normal 4 2 3 2 3 3 2 2" xfId="2549" xr:uid="{FFB76398-401E-4BAD-9A0F-D3A0FCF354A1}"/>
    <cellStyle name="Normal 4 2 3 2 3 3 3" xfId="2548" xr:uid="{AE523DF6-0890-4E23-9355-64B7CA350CAF}"/>
    <cellStyle name="Normal 4 2 3 2 3 4" xfId="1383" xr:uid="{00000000-0005-0000-0000-000064050000}"/>
    <cellStyle name="Normal 4 2 3 2 3 4 2" xfId="2550" xr:uid="{7BC95AD1-1817-4FB5-BBF7-527A41B3F858}"/>
    <cellStyle name="Normal 4 2 3 2 3 5" xfId="2543" xr:uid="{78ABB1CA-42EF-42CA-BF0D-A47826DB31DB}"/>
    <cellStyle name="Normal 4 2 3 2 4" xfId="1384" xr:uid="{00000000-0005-0000-0000-000065050000}"/>
    <cellStyle name="Normal 4 2 3 2 4 2" xfId="1385" xr:uid="{00000000-0005-0000-0000-000066050000}"/>
    <cellStyle name="Normal 4 2 3 2 4 2 2" xfId="1386" xr:uid="{00000000-0005-0000-0000-000067050000}"/>
    <cellStyle name="Normal 4 2 3 2 4 2 2 2" xfId="2553" xr:uid="{67D00705-D662-434E-A862-65793B2F489B}"/>
    <cellStyle name="Normal 4 2 3 2 4 2 3" xfId="2552" xr:uid="{06EFB371-B673-483B-8783-2B8F315733D7}"/>
    <cellStyle name="Normal 4 2 3 2 4 3" xfId="1387" xr:uid="{00000000-0005-0000-0000-000068050000}"/>
    <cellStyle name="Normal 4 2 3 2 4 3 2" xfId="2554" xr:uid="{199A8DB3-0965-47BA-B4E8-B97B5E0C8CB9}"/>
    <cellStyle name="Normal 4 2 3 2 4 4" xfId="2551" xr:uid="{79DAE0D9-596B-4185-AB67-D463B18E0E91}"/>
    <cellStyle name="Normal 4 2 3 2 5" xfId="1388" xr:uid="{00000000-0005-0000-0000-000069050000}"/>
    <cellStyle name="Normal 4 2 3 2 5 2" xfId="1389" xr:uid="{00000000-0005-0000-0000-00006A050000}"/>
    <cellStyle name="Normal 4 2 3 2 5 2 2" xfId="2556" xr:uid="{17F45E44-8EF7-4011-B3C1-475D616333AA}"/>
    <cellStyle name="Normal 4 2 3 2 5 3" xfId="2555" xr:uid="{52763C97-4724-4512-A36C-6334AB410F49}"/>
    <cellStyle name="Normal 4 2 3 2 6" xfId="1390" xr:uid="{00000000-0005-0000-0000-00006B050000}"/>
    <cellStyle name="Normal 4 2 3 2 6 2" xfId="2557" xr:uid="{C6EF4614-5023-4DDF-99A7-C7FB62580220}"/>
    <cellStyle name="Normal 4 2 3 2 7" xfId="2526" xr:uid="{BFBC0B07-B9F8-45C8-928C-F701796EFEE6}"/>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2 2 2" xfId="2562" xr:uid="{5D3EC202-D73A-47E6-8966-6C90C3848EDA}"/>
    <cellStyle name="Normal 4 2 3 3 2 2 2 3" xfId="2561" xr:uid="{0D2ECE1E-658D-4DA5-9ABB-D569AB7D114C}"/>
    <cellStyle name="Normal 4 2 3 3 2 2 3" xfId="1396" xr:uid="{00000000-0005-0000-0000-000071050000}"/>
    <cellStyle name="Normal 4 2 3 3 2 2 3 2" xfId="2563" xr:uid="{4F60994C-F47B-4970-8561-B1FF44DF202E}"/>
    <cellStyle name="Normal 4 2 3 3 2 2 4" xfId="2560" xr:uid="{74ACC0D1-E31A-470E-BE9B-51F4E7E7D3BA}"/>
    <cellStyle name="Normal 4 2 3 3 2 3" xfId="1397" xr:uid="{00000000-0005-0000-0000-000072050000}"/>
    <cellStyle name="Normal 4 2 3 3 2 3 2" xfId="1398" xr:uid="{00000000-0005-0000-0000-000073050000}"/>
    <cellStyle name="Normal 4 2 3 3 2 3 2 2" xfId="2565" xr:uid="{3ECE2F77-1E77-4679-AF13-62A3BAE3AEB4}"/>
    <cellStyle name="Normal 4 2 3 3 2 3 3" xfId="2564" xr:uid="{54479154-94EA-4DFF-841D-06E413B93A23}"/>
    <cellStyle name="Normal 4 2 3 3 2 4" xfId="1399" xr:uid="{00000000-0005-0000-0000-000074050000}"/>
    <cellStyle name="Normal 4 2 3 3 2 4 2" xfId="2566" xr:uid="{74187517-9A47-4E02-9A6F-BA6D57D91C2D}"/>
    <cellStyle name="Normal 4 2 3 3 2 5" xfId="2559" xr:uid="{EA8F9553-A5B5-4372-A569-9BC6A50DB293}"/>
    <cellStyle name="Normal 4 2 3 3 3" xfId="1400" xr:uid="{00000000-0005-0000-0000-000075050000}"/>
    <cellStyle name="Normal 4 2 3 3 3 2" xfId="1401" xr:uid="{00000000-0005-0000-0000-000076050000}"/>
    <cellStyle name="Normal 4 2 3 3 3 2 2" xfId="1402" xr:uid="{00000000-0005-0000-0000-000077050000}"/>
    <cellStyle name="Normal 4 2 3 3 3 2 2 2" xfId="2569" xr:uid="{EFF95271-EB02-43D9-8CA8-B08FCD73A4CB}"/>
    <cellStyle name="Normal 4 2 3 3 3 2 3" xfId="2568" xr:uid="{288E40BF-38C2-4F42-859D-B0364798D23A}"/>
    <cellStyle name="Normal 4 2 3 3 3 3" xfId="1403" xr:uid="{00000000-0005-0000-0000-000078050000}"/>
    <cellStyle name="Normal 4 2 3 3 3 3 2" xfId="2570" xr:uid="{CC4DE154-5C75-4185-9F3F-28E78ACE6609}"/>
    <cellStyle name="Normal 4 2 3 3 3 4" xfId="2567" xr:uid="{AFF509A8-0C7D-44A5-A894-8006DBA59B17}"/>
    <cellStyle name="Normal 4 2 3 3 4" xfId="1404" xr:uid="{00000000-0005-0000-0000-000079050000}"/>
    <cellStyle name="Normal 4 2 3 3 4 2" xfId="1405" xr:uid="{00000000-0005-0000-0000-00007A050000}"/>
    <cellStyle name="Normal 4 2 3 3 4 2 2" xfId="2572" xr:uid="{0B96D4C0-1A24-4A85-8196-CB53AC7D436B}"/>
    <cellStyle name="Normal 4 2 3 3 4 3" xfId="2571" xr:uid="{6E5D3A8D-D525-4C53-8C57-0179A2085F43}"/>
    <cellStyle name="Normal 4 2 3 3 5" xfId="1406" xr:uid="{00000000-0005-0000-0000-00007B050000}"/>
    <cellStyle name="Normal 4 2 3 3 5 2" xfId="2573" xr:uid="{BD7BA046-1180-44E1-A941-B5BEB00CB99D}"/>
    <cellStyle name="Normal 4 2 3 3 6" xfId="2558" xr:uid="{FCE5A061-12CD-46C3-A178-7788C73E187C}"/>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2 2 2" xfId="2577" xr:uid="{4A992458-A1F6-445D-8AB2-84146AB4D35C}"/>
    <cellStyle name="Normal 4 2 3 4 2 2 3" xfId="2576" xr:uid="{914B30FD-44E7-4613-BF65-C05AB591950B}"/>
    <cellStyle name="Normal 4 2 3 4 2 3" xfId="1411" xr:uid="{00000000-0005-0000-0000-000080050000}"/>
    <cellStyle name="Normal 4 2 3 4 2 3 2" xfId="2578" xr:uid="{891EE186-F91D-4F42-A5DE-8C5539E1629B}"/>
    <cellStyle name="Normal 4 2 3 4 2 4" xfId="2575" xr:uid="{3C045ABA-BA99-4756-B6E9-0B2DDE8AC5AF}"/>
    <cellStyle name="Normal 4 2 3 4 3" xfId="1412" xr:uid="{00000000-0005-0000-0000-000081050000}"/>
    <cellStyle name="Normal 4 2 3 4 3 2" xfId="1413" xr:uid="{00000000-0005-0000-0000-000082050000}"/>
    <cellStyle name="Normal 4 2 3 4 3 2 2" xfId="2580" xr:uid="{A26A8618-0854-499C-BC31-1D3979ACF2F0}"/>
    <cellStyle name="Normal 4 2 3 4 3 3" xfId="2579" xr:uid="{CD586756-42B5-4BD1-B3F1-019A62CA7D59}"/>
    <cellStyle name="Normal 4 2 3 4 4" xfId="1414" xr:uid="{00000000-0005-0000-0000-000083050000}"/>
    <cellStyle name="Normal 4 2 3 4 4 2" xfId="2581" xr:uid="{1D81A930-D889-4D8C-B0B2-D93F576537F2}"/>
    <cellStyle name="Normal 4 2 3 4 5" xfId="2574" xr:uid="{D75C3014-E6F5-443D-BE21-AEA3158EF408}"/>
    <cellStyle name="Normal 4 2 3 5" xfId="1415" xr:uid="{00000000-0005-0000-0000-000084050000}"/>
    <cellStyle name="Normal 4 2 3 5 2" xfId="1416" xr:uid="{00000000-0005-0000-0000-000085050000}"/>
    <cellStyle name="Normal 4 2 3 5 2 2" xfId="1417" xr:uid="{00000000-0005-0000-0000-000086050000}"/>
    <cellStyle name="Normal 4 2 3 5 2 2 2" xfId="2584" xr:uid="{460CC1C2-F6F5-4B8C-BA50-8F5D0124190F}"/>
    <cellStyle name="Normal 4 2 3 5 2 3" xfId="2583" xr:uid="{7798E009-E552-425B-A5BF-F69740FC2301}"/>
    <cellStyle name="Normal 4 2 3 5 3" xfId="1418" xr:uid="{00000000-0005-0000-0000-000087050000}"/>
    <cellStyle name="Normal 4 2 3 5 3 2" xfId="2585" xr:uid="{B6E341F2-986E-4730-97BC-F61B31373A49}"/>
    <cellStyle name="Normal 4 2 3 5 4" xfId="2582" xr:uid="{84792C4F-B31A-4438-93FD-635DE5558859}"/>
    <cellStyle name="Normal 4 2 3 6" xfId="1419" xr:uid="{00000000-0005-0000-0000-000088050000}"/>
    <cellStyle name="Normal 4 2 3 6 2" xfId="1420" xr:uid="{00000000-0005-0000-0000-000089050000}"/>
    <cellStyle name="Normal 4 2 3 6 2 2" xfId="2587" xr:uid="{6E96A877-0EE6-44BD-9D68-C38DE9BF84DB}"/>
    <cellStyle name="Normal 4 2 3 6 3" xfId="2586" xr:uid="{4E3211EE-7452-4CD0-A4F3-A4511FE7D92B}"/>
    <cellStyle name="Normal 4 2 3 7" xfId="1421" xr:uid="{00000000-0005-0000-0000-00008A050000}"/>
    <cellStyle name="Normal 4 2 3 7 2" xfId="2588" xr:uid="{3DFAC93C-89B4-4AEC-8487-C1CDFD9681D7}"/>
    <cellStyle name="Normal 4 2 3 8" xfId="2052" xr:uid="{082528CC-7A5B-4BC9-8D62-563D8FB0D953}"/>
    <cellStyle name="Normal 4 2 3 9" xfId="3049" xr:uid="{B9499A0B-FEAE-468E-8AA1-0CF25789E138}"/>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2 2 2" xfId="2594" xr:uid="{B0274A63-0532-4709-97F0-0A5EC7940282}"/>
    <cellStyle name="Normal 4 2 4 2 2 2 2 3" xfId="2593" xr:uid="{4979AC2B-6619-4FA2-ADAC-96BD0502F518}"/>
    <cellStyle name="Normal 4 2 4 2 2 2 3" xfId="1428" xr:uid="{00000000-0005-0000-0000-000091050000}"/>
    <cellStyle name="Normal 4 2 4 2 2 2 3 2" xfId="2595" xr:uid="{F1258E3D-1C19-4B42-9672-70042D3A0DFE}"/>
    <cellStyle name="Normal 4 2 4 2 2 2 4" xfId="2592" xr:uid="{3347864E-3F34-4276-BA37-7F86DE285368}"/>
    <cellStyle name="Normal 4 2 4 2 2 3" xfId="1429" xr:uid="{00000000-0005-0000-0000-000092050000}"/>
    <cellStyle name="Normal 4 2 4 2 2 3 2" xfId="1430" xr:uid="{00000000-0005-0000-0000-000093050000}"/>
    <cellStyle name="Normal 4 2 4 2 2 3 2 2" xfId="2597" xr:uid="{43EAF741-2CAF-4992-9639-BE8F67893FA8}"/>
    <cellStyle name="Normal 4 2 4 2 2 3 3" xfId="2596" xr:uid="{43F957FA-7127-4E2A-9677-71FBBC93859E}"/>
    <cellStyle name="Normal 4 2 4 2 2 4" xfId="1431" xr:uid="{00000000-0005-0000-0000-000094050000}"/>
    <cellStyle name="Normal 4 2 4 2 2 4 2" xfId="2598" xr:uid="{28491697-89DB-4F59-9632-C3271D541748}"/>
    <cellStyle name="Normal 4 2 4 2 2 5" xfId="2591" xr:uid="{ADD36C3F-B60A-4AA3-AA1B-9CF1021D44FA}"/>
    <cellStyle name="Normal 4 2 4 2 3" xfId="1432" xr:uid="{00000000-0005-0000-0000-000095050000}"/>
    <cellStyle name="Normal 4 2 4 2 3 2" xfId="1433" xr:uid="{00000000-0005-0000-0000-000096050000}"/>
    <cellStyle name="Normal 4 2 4 2 3 2 2" xfId="1434" xr:uid="{00000000-0005-0000-0000-000097050000}"/>
    <cellStyle name="Normal 4 2 4 2 3 2 2 2" xfId="2601" xr:uid="{54AFD29B-AED2-439D-A44A-1698A8898719}"/>
    <cellStyle name="Normal 4 2 4 2 3 2 3" xfId="2600" xr:uid="{47648044-6139-4127-B0C6-642863D5A4C2}"/>
    <cellStyle name="Normal 4 2 4 2 3 3" xfId="1435" xr:uid="{00000000-0005-0000-0000-000098050000}"/>
    <cellStyle name="Normal 4 2 4 2 3 3 2" xfId="2602" xr:uid="{816FFACD-663A-4115-BD17-4EFCFD2D8D31}"/>
    <cellStyle name="Normal 4 2 4 2 3 4" xfId="2599" xr:uid="{FED784CA-98C6-4FA3-948E-D9DB99DED05D}"/>
    <cellStyle name="Normal 4 2 4 2 4" xfId="1436" xr:uid="{00000000-0005-0000-0000-000099050000}"/>
    <cellStyle name="Normal 4 2 4 2 4 2" xfId="1437" xr:uid="{00000000-0005-0000-0000-00009A050000}"/>
    <cellStyle name="Normal 4 2 4 2 4 2 2" xfId="2604" xr:uid="{631B1BF7-FB56-4BA4-BF97-FA2072D82ED8}"/>
    <cellStyle name="Normal 4 2 4 2 4 3" xfId="2603" xr:uid="{D1106A7D-8630-4BFB-AE12-DFDD73DF27EE}"/>
    <cellStyle name="Normal 4 2 4 2 5" xfId="1438" xr:uid="{00000000-0005-0000-0000-00009B050000}"/>
    <cellStyle name="Normal 4 2 4 2 5 2" xfId="2605" xr:uid="{ABBAF832-1EEC-4CFF-830C-A7FB542FDB7F}"/>
    <cellStyle name="Normal 4 2 4 2 6" xfId="2590" xr:uid="{945D86F7-C865-4F04-A7A0-27B9A52A0137}"/>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2 2 2" xfId="2609" xr:uid="{227E281E-518A-4276-B904-89C15FFE3567}"/>
    <cellStyle name="Normal 4 2 4 3 2 2 3" xfId="2608" xr:uid="{7887D9E1-4B4A-4493-A638-6CE9DA44030C}"/>
    <cellStyle name="Normal 4 2 4 3 2 3" xfId="1443" xr:uid="{00000000-0005-0000-0000-0000A0050000}"/>
    <cellStyle name="Normal 4 2 4 3 2 3 2" xfId="2610" xr:uid="{C7A729D0-4B2A-45C7-893C-DC2B3CA00985}"/>
    <cellStyle name="Normal 4 2 4 3 2 4" xfId="2607" xr:uid="{2319E556-E06C-4B0F-B5F7-396CF4242942}"/>
    <cellStyle name="Normal 4 2 4 3 3" xfId="1444" xr:uid="{00000000-0005-0000-0000-0000A1050000}"/>
    <cellStyle name="Normal 4 2 4 3 3 2" xfId="1445" xr:uid="{00000000-0005-0000-0000-0000A2050000}"/>
    <cellStyle name="Normal 4 2 4 3 3 2 2" xfId="2612" xr:uid="{C9285061-8FFC-41C7-883B-4170DD38428C}"/>
    <cellStyle name="Normal 4 2 4 3 3 3" xfId="2611" xr:uid="{D1E5B401-77E0-4A72-B15E-E825508845E9}"/>
    <cellStyle name="Normal 4 2 4 3 4" xfId="1446" xr:uid="{00000000-0005-0000-0000-0000A3050000}"/>
    <cellStyle name="Normal 4 2 4 3 4 2" xfId="2613" xr:uid="{C8AF5DEA-6DFD-45C3-A86A-CFF3EB388CB1}"/>
    <cellStyle name="Normal 4 2 4 3 5" xfId="2606" xr:uid="{F95FD400-D21B-45A2-864A-BA3EC641F175}"/>
    <cellStyle name="Normal 4 2 4 4" xfId="1447" xr:uid="{00000000-0005-0000-0000-0000A4050000}"/>
    <cellStyle name="Normal 4 2 4 4 2" xfId="1448" xr:uid="{00000000-0005-0000-0000-0000A5050000}"/>
    <cellStyle name="Normal 4 2 4 4 2 2" xfId="1449" xr:uid="{00000000-0005-0000-0000-0000A6050000}"/>
    <cellStyle name="Normal 4 2 4 4 2 2 2" xfId="2616" xr:uid="{99AEF7FD-5B1F-43D7-A5C4-EA7673447168}"/>
    <cellStyle name="Normal 4 2 4 4 2 3" xfId="2615" xr:uid="{A9B35CDD-56F2-43A9-8281-6C5E3250CC68}"/>
    <cellStyle name="Normal 4 2 4 4 3" xfId="1450" xr:uid="{00000000-0005-0000-0000-0000A7050000}"/>
    <cellStyle name="Normal 4 2 4 4 3 2" xfId="2617" xr:uid="{0784C861-6A91-4852-8389-9565CE01C834}"/>
    <cellStyle name="Normal 4 2 4 4 4" xfId="2614" xr:uid="{14B5EB51-C987-4F55-BC30-13714B2AAEC6}"/>
    <cellStyle name="Normal 4 2 4 5" xfId="1451" xr:uid="{00000000-0005-0000-0000-0000A8050000}"/>
    <cellStyle name="Normal 4 2 4 5 2" xfId="1452" xr:uid="{00000000-0005-0000-0000-0000A9050000}"/>
    <cellStyle name="Normal 4 2 4 5 2 2" xfId="2619" xr:uid="{BD158F2C-0840-433A-B621-B26F64A889F1}"/>
    <cellStyle name="Normal 4 2 4 5 3" xfId="2618" xr:uid="{64C9D4FC-7AFE-4A95-A5A6-1F82E6909FA0}"/>
    <cellStyle name="Normal 4 2 4 6" xfId="1453" xr:uid="{00000000-0005-0000-0000-0000AA050000}"/>
    <cellStyle name="Normal 4 2 4 6 2" xfId="2620" xr:uid="{5441AA4E-3894-4F83-B6EF-A13752FE1AD6}"/>
    <cellStyle name="Normal 4 2 4 7" xfId="2589" xr:uid="{133026BD-3403-486D-ACE9-8A32DFD62A1F}"/>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2 2 2" xfId="2625" xr:uid="{560DCD7B-8035-447E-8DF7-96D5B7E12A91}"/>
    <cellStyle name="Normal 4 2 5 2 2 2 3" xfId="2624" xr:uid="{4245D09C-1617-4C99-B21B-6A3F87B264D9}"/>
    <cellStyle name="Normal 4 2 5 2 2 3" xfId="1459" xr:uid="{00000000-0005-0000-0000-0000B0050000}"/>
    <cellStyle name="Normal 4 2 5 2 2 3 2" xfId="2626" xr:uid="{47F62D75-2A2B-4C3D-880D-F806C51F8D15}"/>
    <cellStyle name="Normal 4 2 5 2 2 4" xfId="2623" xr:uid="{25C325A0-5C87-403E-8796-615D759B151D}"/>
    <cellStyle name="Normal 4 2 5 2 3" xfId="1460" xr:uid="{00000000-0005-0000-0000-0000B1050000}"/>
    <cellStyle name="Normal 4 2 5 2 3 2" xfId="1461" xr:uid="{00000000-0005-0000-0000-0000B2050000}"/>
    <cellStyle name="Normal 4 2 5 2 3 2 2" xfId="2628" xr:uid="{EF909A72-72F5-4E4B-8A05-DB5C50C9F220}"/>
    <cellStyle name="Normal 4 2 5 2 3 3" xfId="2627" xr:uid="{0FBC2BB3-1EE9-4985-BACB-EC057843A8B8}"/>
    <cellStyle name="Normal 4 2 5 2 4" xfId="1462" xr:uid="{00000000-0005-0000-0000-0000B3050000}"/>
    <cellStyle name="Normal 4 2 5 2 4 2" xfId="2629" xr:uid="{5975A7CF-86AC-4097-BE98-F3325310F829}"/>
    <cellStyle name="Normal 4 2 5 2 5" xfId="2622" xr:uid="{DE682AB7-959A-47E8-86CC-608B67FB28CA}"/>
    <cellStyle name="Normal 4 2 5 3" xfId="1463" xr:uid="{00000000-0005-0000-0000-0000B4050000}"/>
    <cellStyle name="Normal 4 2 5 3 2" xfId="1464" xr:uid="{00000000-0005-0000-0000-0000B5050000}"/>
    <cellStyle name="Normal 4 2 5 3 2 2" xfId="1465" xr:uid="{00000000-0005-0000-0000-0000B6050000}"/>
    <cellStyle name="Normal 4 2 5 3 2 2 2" xfId="2632" xr:uid="{80BC43D2-D461-4017-A8B5-8FD565022466}"/>
    <cellStyle name="Normal 4 2 5 3 2 3" xfId="2631" xr:uid="{3424E998-2BF4-4636-9728-C20724DAF7DC}"/>
    <cellStyle name="Normal 4 2 5 3 3" xfId="1466" xr:uid="{00000000-0005-0000-0000-0000B7050000}"/>
    <cellStyle name="Normal 4 2 5 3 3 2" xfId="2633" xr:uid="{1B4E1669-6819-4F51-B448-3CA82138ED49}"/>
    <cellStyle name="Normal 4 2 5 3 4" xfId="2630" xr:uid="{8DEE32F2-49B1-48B4-B717-2610D0914194}"/>
    <cellStyle name="Normal 4 2 5 4" xfId="1467" xr:uid="{00000000-0005-0000-0000-0000B8050000}"/>
    <cellStyle name="Normal 4 2 5 4 2" xfId="1468" xr:uid="{00000000-0005-0000-0000-0000B9050000}"/>
    <cellStyle name="Normal 4 2 5 4 2 2" xfId="2635" xr:uid="{DB99309F-8A10-4572-916E-F5B03E75100A}"/>
    <cellStyle name="Normal 4 2 5 4 3" xfId="2634" xr:uid="{D58004FB-7C0B-4559-A75D-D05240E8CED6}"/>
    <cellStyle name="Normal 4 2 5 5" xfId="1469" xr:uid="{00000000-0005-0000-0000-0000BA050000}"/>
    <cellStyle name="Normal 4 2 5 5 2" xfId="2636" xr:uid="{7481CD9B-EF7D-4843-A633-D6A5C9D1D0CD}"/>
    <cellStyle name="Normal 4 2 5 6" xfId="2621" xr:uid="{4C076C67-3150-418A-9895-AA8C45B0F376}"/>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2 2 2" xfId="2640" xr:uid="{99861A02-5808-43AB-BC86-2703AA369B7D}"/>
    <cellStyle name="Normal 4 2 6 2 2 3" xfId="2639" xr:uid="{85CB61D8-8FFE-4FE0-B96B-2F8271DC9E9C}"/>
    <cellStyle name="Normal 4 2 6 2 3" xfId="1474" xr:uid="{00000000-0005-0000-0000-0000BF050000}"/>
    <cellStyle name="Normal 4 2 6 2 3 2" xfId="2641" xr:uid="{5740A3DE-49F8-4EC5-ADE9-FF4E34220B0B}"/>
    <cellStyle name="Normal 4 2 6 2 4" xfId="2638" xr:uid="{7D096669-A3E3-4BED-B598-0434545F6A37}"/>
    <cellStyle name="Normal 4 2 6 3" xfId="1475" xr:uid="{00000000-0005-0000-0000-0000C0050000}"/>
    <cellStyle name="Normal 4 2 6 3 2" xfId="1476" xr:uid="{00000000-0005-0000-0000-0000C1050000}"/>
    <cellStyle name="Normal 4 2 6 3 2 2" xfId="2643" xr:uid="{0387AF95-ABAD-41A7-85BE-7AB979C7C163}"/>
    <cellStyle name="Normal 4 2 6 3 3" xfId="2642" xr:uid="{806EBF8A-9DEC-4F4C-9DEF-09E13C88112F}"/>
    <cellStyle name="Normal 4 2 6 4" xfId="1477" xr:uid="{00000000-0005-0000-0000-0000C2050000}"/>
    <cellStyle name="Normal 4 2 6 4 2" xfId="2644" xr:uid="{15889A15-1F5B-4826-BD8D-EE0063227616}"/>
    <cellStyle name="Normal 4 2 6 5" xfId="2637" xr:uid="{CFD311C4-6067-4EAE-9597-8356C87ABCAD}"/>
    <cellStyle name="Normal 4 2 7" xfId="1478" xr:uid="{00000000-0005-0000-0000-0000C3050000}"/>
    <cellStyle name="Normal 4 2 7 2" xfId="1479" xr:uid="{00000000-0005-0000-0000-0000C4050000}"/>
    <cellStyle name="Normal 4 2 7 2 2" xfId="1480" xr:uid="{00000000-0005-0000-0000-0000C5050000}"/>
    <cellStyle name="Normal 4 2 7 2 2 2" xfId="2647" xr:uid="{7B9A6827-AD7A-4181-95F7-3BD8B24445D6}"/>
    <cellStyle name="Normal 4 2 7 2 3" xfId="2646" xr:uid="{70975810-5160-45EF-B575-0B2D286CBAA7}"/>
    <cellStyle name="Normal 4 2 7 3" xfId="1481" xr:uid="{00000000-0005-0000-0000-0000C6050000}"/>
    <cellStyle name="Normal 4 2 7 3 2" xfId="2648" xr:uid="{AA2D8A85-85A2-43F0-943B-9BB559D97F9A}"/>
    <cellStyle name="Normal 4 2 7 4" xfId="2645" xr:uid="{AECEB09B-A132-496C-B27A-B63E66C5993D}"/>
    <cellStyle name="Normal 4 2 8" xfId="1482" xr:uid="{00000000-0005-0000-0000-0000C7050000}"/>
    <cellStyle name="Normal 4 2 8 2" xfId="1483" xr:uid="{00000000-0005-0000-0000-0000C8050000}"/>
    <cellStyle name="Normal 4 2 8 2 2" xfId="2650" xr:uid="{7A4FE19A-A19B-4CF4-BC54-AE38E5F4706B}"/>
    <cellStyle name="Normal 4 2 8 3" xfId="2649" xr:uid="{35F8FA70-EA6B-4057-9579-CD0BD3DC28F3}"/>
    <cellStyle name="Normal 4 2 9" xfId="1484" xr:uid="{00000000-0005-0000-0000-0000C9050000}"/>
    <cellStyle name="Normal 4 2 9 2" xfId="2651" xr:uid="{65C7B2FB-0408-4359-A375-0F5ABE58AE2F}"/>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2 2 2" xfId="2657" xr:uid="{6B4CFCFC-CA24-47A3-87FA-8626D3B21B79}"/>
    <cellStyle name="Normal 4 3 2 2 2 2 2 3" xfId="2656" xr:uid="{2E7954AC-50E6-47A0-9AB3-2DD4779932D0}"/>
    <cellStyle name="Normal 4 3 2 2 2 2 3" xfId="1492" xr:uid="{00000000-0005-0000-0000-0000D1050000}"/>
    <cellStyle name="Normal 4 3 2 2 2 2 3 2" xfId="2658" xr:uid="{C15B2349-88BE-42A2-837D-56FACEEF980A}"/>
    <cellStyle name="Normal 4 3 2 2 2 2 4" xfId="2655" xr:uid="{23CC5CA5-3607-4727-9DEC-CAF5B7AF3E66}"/>
    <cellStyle name="Normal 4 3 2 2 2 3" xfId="1493" xr:uid="{00000000-0005-0000-0000-0000D2050000}"/>
    <cellStyle name="Normal 4 3 2 2 2 3 2" xfId="1494" xr:uid="{00000000-0005-0000-0000-0000D3050000}"/>
    <cellStyle name="Normal 4 3 2 2 2 3 2 2" xfId="2660" xr:uid="{510791A7-9C6C-425B-989F-48DA087881E1}"/>
    <cellStyle name="Normal 4 3 2 2 2 3 3" xfId="2659" xr:uid="{61486CB8-7F35-4F24-ADD5-92C8724B9A97}"/>
    <cellStyle name="Normal 4 3 2 2 2 4" xfId="1495" xr:uid="{00000000-0005-0000-0000-0000D4050000}"/>
    <cellStyle name="Normal 4 3 2 2 2 4 2" xfId="2661" xr:uid="{5CA20416-868F-44D5-89CD-A38D21427957}"/>
    <cellStyle name="Normal 4 3 2 2 2 5" xfId="2654" xr:uid="{52EC7E2D-D214-462D-87B8-8455E0C0BC83}"/>
    <cellStyle name="Normal 4 3 2 2 3" xfId="1496" xr:uid="{00000000-0005-0000-0000-0000D5050000}"/>
    <cellStyle name="Normal 4 3 2 2 3 2" xfId="1497" xr:uid="{00000000-0005-0000-0000-0000D6050000}"/>
    <cellStyle name="Normal 4 3 2 2 3 2 2" xfId="1498" xr:uid="{00000000-0005-0000-0000-0000D7050000}"/>
    <cellStyle name="Normal 4 3 2 2 3 2 2 2" xfId="2664" xr:uid="{7CA3D6D9-9A43-4D35-972D-B7EC6E20C57F}"/>
    <cellStyle name="Normal 4 3 2 2 3 2 3" xfId="2663" xr:uid="{E49B65B9-B1F3-4A25-99A1-4891164B4803}"/>
    <cellStyle name="Normal 4 3 2 2 3 3" xfId="1499" xr:uid="{00000000-0005-0000-0000-0000D8050000}"/>
    <cellStyle name="Normal 4 3 2 2 3 3 2" xfId="2665" xr:uid="{A3E87D2A-A303-4322-B7D5-22E798C6F6EF}"/>
    <cellStyle name="Normal 4 3 2 2 3 4" xfId="2662" xr:uid="{BE30F2D4-A735-4445-BC30-19CCE942632E}"/>
    <cellStyle name="Normal 4 3 2 2 4" xfId="1500" xr:uid="{00000000-0005-0000-0000-0000D9050000}"/>
    <cellStyle name="Normal 4 3 2 2 4 2" xfId="1501" xr:uid="{00000000-0005-0000-0000-0000DA050000}"/>
    <cellStyle name="Normal 4 3 2 2 4 2 2" xfId="2667" xr:uid="{80DAAD39-5DAC-4AB2-8B86-4830F61B61A9}"/>
    <cellStyle name="Normal 4 3 2 2 4 3" xfId="2666" xr:uid="{AA2C5D14-55AB-46E7-9181-621B24D6B645}"/>
    <cellStyle name="Normal 4 3 2 2 5" xfId="1502" xr:uid="{00000000-0005-0000-0000-0000DB050000}"/>
    <cellStyle name="Normal 4 3 2 2 5 2" xfId="2668" xr:uid="{6636BBB9-A03C-40A7-BBAC-A57ADE3EF05A}"/>
    <cellStyle name="Normal 4 3 2 2 6" xfId="2653" xr:uid="{E9FF5A23-838A-4F63-A18D-8373CE30762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2 2 2" xfId="2672" xr:uid="{E80799BD-47AB-4183-B792-61AFAEB6CB9F}"/>
    <cellStyle name="Normal 4 3 2 3 2 2 3" xfId="2671" xr:uid="{AD06F3CB-243E-4057-AC84-FBEF0DAFEB1D}"/>
    <cellStyle name="Normal 4 3 2 3 2 3" xfId="1507" xr:uid="{00000000-0005-0000-0000-0000E0050000}"/>
    <cellStyle name="Normal 4 3 2 3 2 3 2" xfId="2673" xr:uid="{451AF3EA-594E-4FE0-972F-B02728DD8084}"/>
    <cellStyle name="Normal 4 3 2 3 2 4" xfId="2670" xr:uid="{0FA975C1-C3DF-4E32-BAF6-1BF6A0AC1EF2}"/>
    <cellStyle name="Normal 4 3 2 3 3" xfId="1508" xr:uid="{00000000-0005-0000-0000-0000E1050000}"/>
    <cellStyle name="Normal 4 3 2 3 3 2" xfId="1509" xr:uid="{00000000-0005-0000-0000-0000E2050000}"/>
    <cellStyle name="Normal 4 3 2 3 3 2 2" xfId="2675" xr:uid="{30A95F22-89F2-463E-BBAF-F1BD79751E85}"/>
    <cellStyle name="Normal 4 3 2 3 3 3" xfId="2674" xr:uid="{48273279-2A2A-4D2F-BF72-8F4E7B8A5D17}"/>
    <cellStyle name="Normal 4 3 2 3 4" xfId="1510" xr:uid="{00000000-0005-0000-0000-0000E3050000}"/>
    <cellStyle name="Normal 4 3 2 3 4 2" xfId="2676" xr:uid="{8F8448DE-ED5F-4A46-A060-673E9FE5A34D}"/>
    <cellStyle name="Normal 4 3 2 3 5" xfId="2669" xr:uid="{7EBC8A05-FC1B-48A5-8EBF-4DAE58F09303}"/>
    <cellStyle name="Normal 4 3 2 4" xfId="1511" xr:uid="{00000000-0005-0000-0000-0000E4050000}"/>
    <cellStyle name="Normal 4 3 2 4 2" xfId="1512" xr:uid="{00000000-0005-0000-0000-0000E5050000}"/>
    <cellStyle name="Normal 4 3 2 4 2 2" xfId="1513" xr:uid="{00000000-0005-0000-0000-0000E6050000}"/>
    <cellStyle name="Normal 4 3 2 4 2 2 2" xfId="2679" xr:uid="{90720873-2367-44DE-B460-EF85C53D5082}"/>
    <cellStyle name="Normal 4 3 2 4 2 3" xfId="2678" xr:uid="{B85F04EC-D0A9-4A25-9644-FEAE227860CA}"/>
    <cellStyle name="Normal 4 3 2 4 3" xfId="1514" xr:uid="{00000000-0005-0000-0000-0000E7050000}"/>
    <cellStyle name="Normal 4 3 2 4 3 2" xfId="2680" xr:uid="{AFD3C611-60F8-4497-9823-64ED52AA0E80}"/>
    <cellStyle name="Normal 4 3 2 4 4" xfId="2677" xr:uid="{C3B42B1B-562A-47CA-8ED4-9D0B210C8700}"/>
    <cellStyle name="Normal 4 3 2 5" xfId="1515" xr:uid="{00000000-0005-0000-0000-0000E8050000}"/>
    <cellStyle name="Normal 4 3 2 5 2" xfId="1516" xr:uid="{00000000-0005-0000-0000-0000E9050000}"/>
    <cellStyle name="Normal 4 3 2 5 2 2" xfId="2682" xr:uid="{0741523F-C654-4F6B-8BFD-CBD5957460EE}"/>
    <cellStyle name="Normal 4 3 2 5 3" xfId="2681" xr:uid="{A5F1B88A-283E-4470-947E-0C4AD4B4C35E}"/>
    <cellStyle name="Normal 4 3 2 6" xfId="1517" xr:uid="{00000000-0005-0000-0000-0000EA050000}"/>
    <cellStyle name="Normal 4 3 2 6 2" xfId="2683" xr:uid="{114BFE68-5736-4C36-B915-8C509A1FC556}"/>
    <cellStyle name="Normal 4 3 2 7" xfId="2652" xr:uid="{4C4B5CE4-1274-4266-A279-DED93300B6F6}"/>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2 2 2" xfId="2688" xr:uid="{05D1FD3C-624A-4D46-AE72-491E2740BD96}"/>
    <cellStyle name="Normal 4 3 3 2 2 2 3" xfId="2687" xr:uid="{36B4C68C-5113-4A54-81D9-18E4976489B5}"/>
    <cellStyle name="Normal 4 3 3 2 2 3" xfId="1523" xr:uid="{00000000-0005-0000-0000-0000F0050000}"/>
    <cellStyle name="Normal 4 3 3 2 2 3 2" xfId="2689" xr:uid="{BF102780-2B17-4D2A-95C1-96D7398377F0}"/>
    <cellStyle name="Normal 4 3 3 2 2 4" xfId="2686" xr:uid="{AFCC8454-05A2-48D0-89C6-AB2C56BA9CF8}"/>
    <cellStyle name="Normal 4 3 3 2 3" xfId="1524" xr:uid="{00000000-0005-0000-0000-0000F1050000}"/>
    <cellStyle name="Normal 4 3 3 2 3 2" xfId="1525" xr:uid="{00000000-0005-0000-0000-0000F2050000}"/>
    <cellStyle name="Normal 4 3 3 2 3 2 2" xfId="2691" xr:uid="{73216D0F-81ED-4188-94AA-3F2AD532F482}"/>
    <cellStyle name="Normal 4 3 3 2 3 3" xfId="2690" xr:uid="{6B6D37B3-6BDD-4AF9-B11E-DA9AEB786A6F}"/>
    <cellStyle name="Normal 4 3 3 2 4" xfId="1526" xr:uid="{00000000-0005-0000-0000-0000F3050000}"/>
    <cellStyle name="Normal 4 3 3 2 4 2" xfId="2692" xr:uid="{8FBA6F6B-C3EC-40F4-B0CB-C02F5A30C195}"/>
    <cellStyle name="Normal 4 3 3 2 5" xfId="2685" xr:uid="{07C4EF4E-9D29-4ACA-8C9B-8E160991D66F}"/>
    <cellStyle name="Normal 4 3 3 3" xfId="1527" xr:uid="{00000000-0005-0000-0000-0000F4050000}"/>
    <cellStyle name="Normal 4 3 3 3 2" xfId="1528" xr:uid="{00000000-0005-0000-0000-0000F5050000}"/>
    <cellStyle name="Normal 4 3 3 3 2 2" xfId="1529" xr:uid="{00000000-0005-0000-0000-0000F6050000}"/>
    <cellStyle name="Normal 4 3 3 3 2 2 2" xfId="2695" xr:uid="{91A2895C-8E82-4DB5-84FF-FC863973A86B}"/>
    <cellStyle name="Normal 4 3 3 3 2 3" xfId="2694" xr:uid="{E3D9E957-5A86-4DFB-95D1-38DDE22132A9}"/>
    <cellStyle name="Normal 4 3 3 3 3" xfId="1530" xr:uid="{00000000-0005-0000-0000-0000F7050000}"/>
    <cellStyle name="Normal 4 3 3 3 3 2" xfId="2696" xr:uid="{935405D1-A6D4-4DC1-BEBF-3F28687100FD}"/>
    <cellStyle name="Normal 4 3 3 3 4" xfId="2693" xr:uid="{7A4A8564-D5D4-439F-B17C-A2CFD361B5F1}"/>
    <cellStyle name="Normal 4 3 3 4" xfId="1531" xr:uid="{00000000-0005-0000-0000-0000F8050000}"/>
    <cellStyle name="Normal 4 3 3 4 2" xfId="1532" xr:uid="{00000000-0005-0000-0000-0000F9050000}"/>
    <cellStyle name="Normal 4 3 3 4 2 2" xfId="2698" xr:uid="{9DC8CBF7-AACE-406B-A782-FE75B9FB93D0}"/>
    <cellStyle name="Normal 4 3 3 4 3" xfId="2697" xr:uid="{320A1EF5-FC69-4CF6-A662-9F735B9805C6}"/>
    <cellStyle name="Normal 4 3 3 5" xfId="1533" xr:uid="{00000000-0005-0000-0000-0000FA050000}"/>
    <cellStyle name="Normal 4 3 3 5 2" xfId="2699" xr:uid="{9EC04F4F-F054-4FEC-A017-F32A115825F9}"/>
    <cellStyle name="Normal 4 3 3 6" xfId="2684" xr:uid="{4C93CDDE-A189-4184-9796-93857BF95F4B}"/>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2 2 2" xfId="2703" xr:uid="{074F6726-E1AF-4580-BB80-9DC1B380AF48}"/>
    <cellStyle name="Normal 4 3 4 2 2 3" xfId="2702" xr:uid="{9E31DDFE-2D49-406E-AD48-3D6C65E54274}"/>
    <cellStyle name="Normal 4 3 4 2 3" xfId="1538" xr:uid="{00000000-0005-0000-0000-0000FF050000}"/>
    <cellStyle name="Normal 4 3 4 2 3 2" xfId="2704" xr:uid="{3A4BF3D8-DE03-4547-B09C-E175EED6D91F}"/>
    <cellStyle name="Normal 4 3 4 2 4" xfId="2701" xr:uid="{9A32C155-9A74-40BB-A475-CFA3451AFA30}"/>
    <cellStyle name="Normal 4 3 4 3" xfId="1539" xr:uid="{00000000-0005-0000-0000-000000060000}"/>
    <cellStyle name="Normal 4 3 4 3 2" xfId="1540" xr:uid="{00000000-0005-0000-0000-000001060000}"/>
    <cellStyle name="Normal 4 3 4 3 2 2" xfId="2706" xr:uid="{CB617ACE-3E24-4EA6-8B9C-7694E3F484B3}"/>
    <cellStyle name="Normal 4 3 4 3 3" xfId="2705" xr:uid="{4DAAEEF2-DD6C-4408-B688-2CAF747EBD07}"/>
    <cellStyle name="Normal 4 3 4 4" xfId="1541" xr:uid="{00000000-0005-0000-0000-000002060000}"/>
    <cellStyle name="Normal 4 3 4 4 2" xfId="2707" xr:uid="{3479D4EC-9022-4FA5-B830-4B0E12E1F0A3}"/>
    <cellStyle name="Normal 4 3 4 5" xfId="2700" xr:uid="{F701003B-758A-441A-901B-4A3B36E5B3F9}"/>
    <cellStyle name="Normal 4 3 5" xfId="1542" xr:uid="{00000000-0005-0000-0000-000003060000}"/>
    <cellStyle name="Normal 4 3 5 2" xfId="1543" xr:uid="{00000000-0005-0000-0000-000004060000}"/>
    <cellStyle name="Normal 4 3 5 2 2" xfId="1544" xr:uid="{00000000-0005-0000-0000-000005060000}"/>
    <cellStyle name="Normal 4 3 5 2 2 2" xfId="2710" xr:uid="{1E6BBD41-3AEB-4C26-9EBD-3EAF5999228B}"/>
    <cellStyle name="Normal 4 3 5 2 3" xfId="2709" xr:uid="{05DBECC1-A620-4F60-9DE9-C5FD09DC52F6}"/>
    <cellStyle name="Normal 4 3 5 3" xfId="1545" xr:uid="{00000000-0005-0000-0000-000006060000}"/>
    <cellStyle name="Normal 4 3 5 3 2" xfId="2711" xr:uid="{AFC85BBA-F4AF-47F6-9EDD-5BD417D01ED5}"/>
    <cellStyle name="Normal 4 3 5 4" xfId="2708" xr:uid="{BB28411B-76B5-4F77-B8A9-D9944B058C58}"/>
    <cellStyle name="Normal 4 3 6" xfId="1546" xr:uid="{00000000-0005-0000-0000-000007060000}"/>
    <cellStyle name="Normal 4 3 6 2" xfId="1547" xr:uid="{00000000-0005-0000-0000-000008060000}"/>
    <cellStyle name="Normal 4 3 6 2 2" xfId="2713" xr:uid="{260B08D0-F569-4DBC-8887-4135E54E9701}"/>
    <cellStyle name="Normal 4 3 6 3" xfId="2712" xr:uid="{3D2DD624-EBB5-4301-81F4-7964DC7338AA}"/>
    <cellStyle name="Normal 4 3 7" xfId="1548" xr:uid="{00000000-0005-0000-0000-000009060000}"/>
    <cellStyle name="Normal 4 3 7 2" xfId="2714" xr:uid="{6A4E33B1-C40A-479D-8876-516762EFA0C9}"/>
    <cellStyle name="Normal 4 3 8" xfId="2053" xr:uid="{4D5B5286-4743-4E98-8E01-B0693CD6341C}"/>
    <cellStyle name="Normal 4 3 9" xfId="3050" xr:uid="{DBE92982-6B4A-4C6C-816E-3CA7B35587D1}"/>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2 2 2" xfId="2720" xr:uid="{DCABD760-7353-4AAE-8D5A-4E0848662C6C}"/>
    <cellStyle name="Normal 4 4 2 2 2 2 2 3" xfId="2719" xr:uid="{7ACAB4BB-AEB7-4176-93C4-6F6A276642B6}"/>
    <cellStyle name="Normal 4 4 2 2 2 2 3" xfId="1556" xr:uid="{00000000-0005-0000-0000-000011060000}"/>
    <cellStyle name="Normal 4 4 2 2 2 2 3 2" xfId="2721" xr:uid="{D2D46503-69D2-4439-A332-D9873FB8109A}"/>
    <cellStyle name="Normal 4 4 2 2 2 2 4" xfId="2718" xr:uid="{C892D908-827D-4C70-91E2-3B81BBC6BA25}"/>
    <cellStyle name="Normal 4 4 2 2 2 3" xfId="1557" xr:uid="{00000000-0005-0000-0000-000012060000}"/>
    <cellStyle name="Normal 4 4 2 2 2 3 2" xfId="1558" xr:uid="{00000000-0005-0000-0000-000013060000}"/>
    <cellStyle name="Normal 4 4 2 2 2 3 2 2" xfId="2723" xr:uid="{236D9B26-8FE5-4A04-A42C-85765C057934}"/>
    <cellStyle name="Normal 4 4 2 2 2 3 3" xfId="2722" xr:uid="{628BBB86-F586-4CEC-937C-DA389211EC10}"/>
    <cellStyle name="Normal 4 4 2 2 2 4" xfId="1559" xr:uid="{00000000-0005-0000-0000-000014060000}"/>
    <cellStyle name="Normal 4 4 2 2 2 4 2" xfId="2724" xr:uid="{6DF3BA7D-C75D-43E9-9664-F9848D792040}"/>
    <cellStyle name="Normal 4 4 2 2 2 5" xfId="2717" xr:uid="{E50BFC63-8C30-4EF2-8555-E3926AD2E65C}"/>
    <cellStyle name="Normal 4 4 2 2 3" xfId="1560" xr:uid="{00000000-0005-0000-0000-000015060000}"/>
    <cellStyle name="Normal 4 4 2 2 3 2" xfId="1561" xr:uid="{00000000-0005-0000-0000-000016060000}"/>
    <cellStyle name="Normal 4 4 2 2 3 2 2" xfId="1562" xr:uid="{00000000-0005-0000-0000-000017060000}"/>
    <cellStyle name="Normal 4 4 2 2 3 2 2 2" xfId="2727" xr:uid="{9AF9C8E3-C1A7-4F99-9923-CDA674B17C4E}"/>
    <cellStyle name="Normal 4 4 2 2 3 2 3" xfId="2726" xr:uid="{6A95A1B9-0328-4E71-A598-5AB9DCFEA0AD}"/>
    <cellStyle name="Normal 4 4 2 2 3 3" xfId="1563" xr:uid="{00000000-0005-0000-0000-000018060000}"/>
    <cellStyle name="Normal 4 4 2 2 3 3 2" xfId="2728" xr:uid="{73399D1A-3B67-4375-9548-7459A5F022C0}"/>
    <cellStyle name="Normal 4 4 2 2 3 4" xfId="2725" xr:uid="{610215FD-B66E-4201-8690-946247FAEA71}"/>
    <cellStyle name="Normal 4 4 2 2 4" xfId="1564" xr:uid="{00000000-0005-0000-0000-000019060000}"/>
    <cellStyle name="Normal 4 4 2 2 4 2" xfId="1565" xr:uid="{00000000-0005-0000-0000-00001A060000}"/>
    <cellStyle name="Normal 4 4 2 2 4 2 2" xfId="2730" xr:uid="{E777784E-240E-4289-87D1-7D6B58971346}"/>
    <cellStyle name="Normal 4 4 2 2 4 3" xfId="2729" xr:uid="{0677F513-E95C-41B8-8866-00FA9CE2E5DD}"/>
    <cellStyle name="Normal 4 4 2 2 5" xfId="1566" xr:uid="{00000000-0005-0000-0000-00001B060000}"/>
    <cellStyle name="Normal 4 4 2 2 5 2" xfId="2731" xr:uid="{074CAA32-D87A-497F-974C-95D5679D5309}"/>
    <cellStyle name="Normal 4 4 2 2 6" xfId="2716" xr:uid="{373F0F65-D3AB-4C14-8D5B-1F0258EA3183}"/>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2 2 2" xfId="2735" xr:uid="{1657B478-0B97-4B4E-BE47-B6C4DD20AB01}"/>
    <cellStyle name="Normal 4 4 2 3 2 2 3" xfId="2734" xr:uid="{0CC1D589-CB28-42AB-91AD-00507E66131B}"/>
    <cellStyle name="Normal 4 4 2 3 2 3" xfId="1571" xr:uid="{00000000-0005-0000-0000-000020060000}"/>
    <cellStyle name="Normal 4 4 2 3 2 3 2" xfId="2736" xr:uid="{DA56BEA8-1DE6-410C-BDE6-76EEAF031DE3}"/>
    <cellStyle name="Normal 4 4 2 3 2 4" xfId="2733" xr:uid="{0E828780-809B-40DE-8A51-EBCDE37F977B}"/>
    <cellStyle name="Normal 4 4 2 3 3" xfId="1572" xr:uid="{00000000-0005-0000-0000-000021060000}"/>
    <cellStyle name="Normal 4 4 2 3 3 2" xfId="1573" xr:uid="{00000000-0005-0000-0000-000022060000}"/>
    <cellStyle name="Normal 4 4 2 3 3 2 2" xfId="2738" xr:uid="{B0BD426A-D0F1-4E11-A41C-DCEE37D89D90}"/>
    <cellStyle name="Normal 4 4 2 3 3 3" xfId="2737" xr:uid="{5CA52E6F-9DFB-47B8-AC2E-BEF144D650E9}"/>
    <cellStyle name="Normal 4 4 2 3 4" xfId="1574" xr:uid="{00000000-0005-0000-0000-000023060000}"/>
    <cellStyle name="Normal 4 4 2 3 4 2" xfId="2739" xr:uid="{3AE7A7AF-C52A-437D-8AEC-58A7FA820011}"/>
    <cellStyle name="Normal 4 4 2 3 5" xfId="2732" xr:uid="{1415870D-8D94-4785-8150-9FA2A5068949}"/>
    <cellStyle name="Normal 4 4 2 4" xfId="1575" xr:uid="{00000000-0005-0000-0000-000024060000}"/>
    <cellStyle name="Normal 4 4 2 4 2" xfId="1576" xr:uid="{00000000-0005-0000-0000-000025060000}"/>
    <cellStyle name="Normal 4 4 2 4 2 2" xfId="1577" xr:uid="{00000000-0005-0000-0000-000026060000}"/>
    <cellStyle name="Normal 4 4 2 4 2 2 2" xfId="2742" xr:uid="{123FA982-659B-4105-AE2C-464730838486}"/>
    <cellStyle name="Normal 4 4 2 4 2 3" xfId="2741" xr:uid="{D938028C-9F02-4DEF-8BE7-0DAB569451D2}"/>
    <cellStyle name="Normal 4 4 2 4 3" xfId="1578" xr:uid="{00000000-0005-0000-0000-000027060000}"/>
    <cellStyle name="Normal 4 4 2 4 3 2" xfId="2743" xr:uid="{AC47B1B4-A21A-46C9-A007-A1ECEF2DBAAC}"/>
    <cellStyle name="Normal 4 4 2 4 4" xfId="2740" xr:uid="{7E048C08-EE20-4D67-B28E-7407C3241FBE}"/>
    <cellStyle name="Normal 4 4 2 5" xfId="1579" xr:uid="{00000000-0005-0000-0000-000028060000}"/>
    <cellStyle name="Normal 4 4 2 5 2" xfId="1580" xr:uid="{00000000-0005-0000-0000-000029060000}"/>
    <cellStyle name="Normal 4 4 2 5 2 2" xfId="2745" xr:uid="{52D6A91E-49E5-4F0E-A9F0-07ECBDE8BAFE}"/>
    <cellStyle name="Normal 4 4 2 5 3" xfId="2744" xr:uid="{E720FDFB-F49D-498E-8C83-83C1192EC932}"/>
    <cellStyle name="Normal 4 4 2 6" xfId="1581" xr:uid="{00000000-0005-0000-0000-00002A060000}"/>
    <cellStyle name="Normal 4 4 2 6 2" xfId="2746" xr:uid="{283B30C7-1038-4892-837E-CFE878AD1802}"/>
    <cellStyle name="Normal 4 4 2 7" xfId="2715" xr:uid="{4C9F931C-1F6F-4AA1-BCD4-0708D5337A11}"/>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2 2 2" xfId="2751" xr:uid="{33332D20-0135-4FD2-9D3E-032363AF9F2F}"/>
    <cellStyle name="Normal 4 4 3 2 2 2 3" xfId="2750" xr:uid="{3C264AC7-66E1-4AA2-9C6E-29D5605E60C0}"/>
    <cellStyle name="Normal 4 4 3 2 2 3" xfId="1587" xr:uid="{00000000-0005-0000-0000-000030060000}"/>
    <cellStyle name="Normal 4 4 3 2 2 3 2" xfId="2752" xr:uid="{AF7299CE-85BC-44C6-ADFE-CC7075A8A54C}"/>
    <cellStyle name="Normal 4 4 3 2 2 4" xfId="2749" xr:uid="{F07CB17D-A9E7-45DB-A018-BD624A86C04C}"/>
    <cellStyle name="Normal 4 4 3 2 3" xfId="1588" xr:uid="{00000000-0005-0000-0000-000031060000}"/>
    <cellStyle name="Normal 4 4 3 2 3 2" xfId="1589" xr:uid="{00000000-0005-0000-0000-000032060000}"/>
    <cellStyle name="Normal 4 4 3 2 3 2 2" xfId="2754" xr:uid="{E1226355-C69D-49CB-AE67-B5E443262BFD}"/>
    <cellStyle name="Normal 4 4 3 2 3 3" xfId="2753" xr:uid="{AFA9F742-5E50-4D07-BD42-56DFEB54B715}"/>
    <cellStyle name="Normal 4 4 3 2 4" xfId="1590" xr:uid="{00000000-0005-0000-0000-000033060000}"/>
    <cellStyle name="Normal 4 4 3 2 4 2" xfId="2755" xr:uid="{C4BE98A2-F639-4856-923A-37D6670EDA64}"/>
    <cellStyle name="Normal 4 4 3 2 5" xfId="2748" xr:uid="{BE19599E-ED4E-412F-A721-04F3EB55C565}"/>
    <cellStyle name="Normal 4 4 3 3" xfId="1591" xr:uid="{00000000-0005-0000-0000-000034060000}"/>
    <cellStyle name="Normal 4 4 3 3 2" xfId="1592" xr:uid="{00000000-0005-0000-0000-000035060000}"/>
    <cellStyle name="Normal 4 4 3 3 2 2" xfId="1593" xr:uid="{00000000-0005-0000-0000-000036060000}"/>
    <cellStyle name="Normal 4 4 3 3 2 2 2" xfId="2758" xr:uid="{5341F64B-C35C-4808-AE7E-ECA506583603}"/>
    <cellStyle name="Normal 4 4 3 3 2 3" xfId="2757" xr:uid="{81928966-9FAA-43ED-8A26-9FC692D059C6}"/>
    <cellStyle name="Normal 4 4 3 3 3" xfId="1594" xr:uid="{00000000-0005-0000-0000-000037060000}"/>
    <cellStyle name="Normal 4 4 3 3 3 2" xfId="2759" xr:uid="{200B0163-4C95-454E-86CA-9AD529789F70}"/>
    <cellStyle name="Normal 4 4 3 3 4" xfId="2756" xr:uid="{F2A2266C-1BE4-4D1C-AD95-FFE4127C36A9}"/>
    <cellStyle name="Normal 4 4 3 4" xfId="1595" xr:uid="{00000000-0005-0000-0000-000038060000}"/>
    <cellStyle name="Normal 4 4 3 4 2" xfId="1596" xr:uid="{00000000-0005-0000-0000-000039060000}"/>
    <cellStyle name="Normal 4 4 3 4 2 2" xfId="2761" xr:uid="{04E52418-B36F-4220-B406-33A83CD95228}"/>
    <cellStyle name="Normal 4 4 3 4 3" xfId="2760" xr:uid="{74D06C36-E407-4D79-A96F-984341BFB012}"/>
    <cellStyle name="Normal 4 4 3 5" xfId="1597" xr:uid="{00000000-0005-0000-0000-00003A060000}"/>
    <cellStyle name="Normal 4 4 3 5 2" xfId="2762" xr:uid="{4AE32136-4D20-4F44-981A-6BEFACDF50BF}"/>
    <cellStyle name="Normal 4 4 3 6" xfId="2747" xr:uid="{147FD4C9-34A7-408D-9F05-C3EA8972A4E1}"/>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2 2 2" xfId="2766" xr:uid="{CCA0DBE9-B7BF-4A1F-B41D-D6D41C4C394D}"/>
    <cellStyle name="Normal 4 4 4 2 2 3" xfId="2765" xr:uid="{A7D933DF-63C8-4CD7-9C3C-EB56CB023D20}"/>
    <cellStyle name="Normal 4 4 4 2 3" xfId="1602" xr:uid="{00000000-0005-0000-0000-00003F060000}"/>
    <cellStyle name="Normal 4 4 4 2 3 2" xfId="2767" xr:uid="{FB0C635C-0A60-4700-AF0F-CCAAC9C6BAE2}"/>
    <cellStyle name="Normal 4 4 4 2 4" xfId="2764" xr:uid="{46C249D4-A63C-4BDB-A063-7BB7410E00ED}"/>
    <cellStyle name="Normal 4 4 4 3" xfId="1603" xr:uid="{00000000-0005-0000-0000-000040060000}"/>
    <cellStyle name="Normal 4 4 4 3 2" xfId="1604" xr:uid="{00000000-0005-0000-0000-000041060000}"/>
    <cellStyle name="Normal 4 4 4 3 2 2" xfId="2769" xr:uid="{FE74E78A-D349-473E-9D23-D49FC7B7C350}"/>
    <cellStyle name="Normal 4 4 4 3 3" xfId="2768" xr:uid="{AD2DECEE-E212-4506-A9A1-B76526D2FF27}"/>
    <cellStyle name="Normal 4 4 4 4" xfId="1605" xr:uid="{00000000-0005-0000-0000-000042060000}"/>
    <cellStyle name="Normal 4 4 4 4 2" xfId="2770" xr:uid="{36BC1CA6-DADD-4E8A-9D80-D2C16F234DC9}"/>
    <cellStyle name="Normal 4 4 4 5" xfId="2763" xr:uid="{49F02686-F207-4711-A189-EEB02A5C3B34}"/>
    <cellStyle name="Normal 4 4 5" xfId="1606" xr:uid="{00000000-0005-0000-0000-000043060000}"/>
    <cellStyle name="Normal 4 4 5 2" xfId="1607" xr:uid="{00000000-0005-0000-0000-000044060000}"/>
    <cellStyle name="Normal 4 4 5 2 2" xfId="1608" xr:uid="{00000000-0005-0000-0000-000045060000}"/>
    <cellStyle name="Normal 4 4 5 2 2 2" xfId="2773" xr:uid="{6A0D18B4-639D-4ED6-B360-0DA80718F4C0}"/>
    <cellStyle name="Normal 4 4 5 2 3" xfId="2772" xr:uid="{F0E19B4C-07F0-4626-83D8-BABD2BF54092}"/>
    <cellStyle name="Normal 4 4 5 3" xfId="1609" xr:uid="{00000000-0005-0000-0000-000046060000}"/>
    <cellStyle name="Normal 4 4 5 3 2" xfId="2774" xr:uid="{88D417D5-039E-4051-88A4-FFB664A09EC0}"/>
    <cellStyle name="Normal 4 4 5 4" xfId="2771" xr:uid="{CE4E1BBD-444E-4DE8-AFD3-85542CB7A63C}"/>
    <cellStyle name="Normal 4 4 6" xfId="1610" xr:uid="{00000000-0005-0000-0000-000047060000}"/>
    <cellStyle name="Normal 4 4 6 2" xfId="1611" xr:uid="{00000000-0005-0000-0000-000048060000}"/>
    <cellStyle name="Normal 4 4 6 2 2" xfId="2776" xr:uid="{D99C8EFD-FCE6-4B83-A552-38E02482DA7D}"/>
    <cellStyle name="Normal 4 4 6 3" xfId="2775" xr:uid="{DE91D45C-C3C4-460B-ACD6-A04FDCA8557E}"/>
    <cellStyle name="Normal 4 4 7" xfId="1612" xr:uid="{00000000-0005-0000-0000-000049060000}"/>
    <cellStyle name="Normal 4 4 7 2" xfId="2777" xr:uid="{963694DC-2AC3-4AB5-9D06-1B6B51199CFB}"/>
    <cellStyle name="Normal 4 4 8" xfId="2054" xr:uid="{5F83B9D6-3D2A-4B28-9FFE-16C32A7C7C32}"/>
    <cellStyle name="Normal 4 4 9" xfId="3051" xr:uid="{138EFA35-21D3-4FE2-B22F-4406B0AA93AB}"/>
    <cellStyle name="Normal 4 5" xfId="1613" xr:uid="{00000000-0005-0000-0000-00004A060000}"/>
    <cellStyle name="Normal 4 5 10" xfId="3052" xr:uid="{AEBB6D8E-8C98-4E02-AE44-B494C204F6DF}"/>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2 2 2" xfId="2783" xr:uid="{2DB61840-F56E-4709-9F72-437156ABB8F2}"/>
    <cellStyle name="Normal 4 5 2 2 2 2 3" xfId="2782" xr:uid="{E7329AAF-0FDE-47EE-9283-6C7DDE7B7DDF}"/>
    <cellStyle name="Normal 4 5 2 2 2 3" xfId="1619" xr:uid="{00000000-0005-0000-0000-000050060000}"/>
    <cellStyle name="Normal 4 5 2 2 2 3 2" xfId="2784" xr:uid="{035A4B73-1D6E-43DB-8685-0C722B8B82B4}"/>
    <cellStyle name="Normal 4 5 2 2 2 4" xfId="2781" xr:uid="{34D2ADB4-12C3-46F9-8751-4D48D53AE29F}"/>
    <cellStyle name="Normal 4 5 2 2 3" xfId="1620" xr:uid="{00000000-0005-0000-0000-000051060000}"/>
    <cellStyle name="Normal 4 5 2 2 3 2" xfId="1621" xr:uid="{00000000-0005-0000-0000-000052060000}"/>
    <cellStyle name="Normal 4 5 2 2 3 2 2" xfId="2786" xr:uid="{1BB7A457-F210-4FE5-8D37-1CAF6B19246E}"/>
    <cellStyle name="Normal 4 5 2 2 3 3" xfId="2785" xr:uid="{8E512770-8902-4927-BD0A-6929AEC8BEA6}"/>
    <cellStyle name="Normal 4 5 2 2 4" xfId="1622" xr:uid="{00000000-0005-0000-0000-000053060000}"/>
    <cellStyle name="Normal 4 5 2 2 4 2" xfId="2787" xr:uid="{17209E18-418C-4A4F-9B58-5821237F9FE3}"/>
    <cellStyle name="Normal 4 5 2 2 5" xfId="2780" xr:uid="{60DF11F9-1D3D-4C5C-9F21-8776F504AB53}"/>
    <cellStyle name="Normal 4 5 2 3" xfId="1623" xr:uid="{00000000-0005-0000-0000-000054060000}"/>
    <cellStyle name="Normal 4 5 2 3 2" xfId="1624" xr:uid="{00000000-0005-0000-0000-000055060000}"/>
    <cellStyle name="Normal 4 5 2 3 2 2" xfId="1625" xr:uid="{00000000-0005-0000-0000-000056060000}"/>
    <cellStyle name="Normal 4 5 2 3 2 2 2" xfId="2790" xr:uid="{C8915144-8AFA-4427-9B8E-E3C67C96E91B}"/>
    <cellStyle name="Normal 4 5 2 3 2 3" xfId="2789" xr:uid="{D003782E-3BB9-4BF7-8C97-579E9A40D5F8}"/>
    <cellStyle name="Normal 4 5 2 3 3" xfId="1626" xr:uid="{00000000-0005-0000-0000-000057060000}"/>
    <cellStyle name="Normal 4 5 2 3 3 2" xfId="2791" xr:uid="{A0E38358-8607-4BAA-917B-19BC8875E05C}"/>
    <cellStyle name="Normal 4 5 2 3 4" xfId="2788" xr:uid="{61A38E45-0BB7-4F10-98A6-89D7583AA43E}"/>
    <cellStyle name="Normal 4 5 2 4" xfId="1627" xr:uid="{00000000-0005-0000-0000-000058060000}"/>
    <cellStyle name="Normal 4 5 2 4 2" xfId="1628" xr:uid="{00000000-0005-0000-0000-000059060000}"/>
    <cellStyle name="Normal 4 5 2 4 2 2" xfId="2793" xr:uid="{5E7BC728-7A5C-4559-8981-086879653875}"/>
    <cellStyle name="Normal 4 5 2 4 3" xfId="2792" xr:uid="{A4F82F0F-E95B-4DCE-A992-FC99C3B01EF9}"/>
    <cellStyle name="Normal 4 5 2 5" xfId="1629" xr:uid="{00000000-0005-0000-0000-00005A060000}"/>
    <cellStyle name="Normal 4 5 2 5 2" xfId="2794" xr:uid="{57D8A2F3-CF55-48A1-9151-5DCD123DD482}"/>
    <cellStyle name="Normal 4 5 2 6" xfId="2779" xr:uid="{86BAC1ED-8B0B-465F-8602-91AC2A4FB8B5}"/>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2 2 2" xfId="2798" xr:uid="{F9AFBDF9-CA08-467C-8A4A-D7E3A9839E8F}"/>
    <cellStyle name="Normal 4 5 3 2 2 3" xfId="2797" xr:uid="{7314E891-4790-44C7-B1F7-2A3ABCF6F6D1}"/>
    <cellStyle name="Normal 4 5 3 2 3" xfId="1634" xr:uid="{00000000-0005-0000-0000-00005F060000}"/>
    <cellStyle name="Normal 4 5 3 2 3 2" xfId="2799" xr:uid="{ACAAB6AD-0FEE-47C0-B9C8-8ECD002226DF}"/>
    <cellStyle name="Normal 4 5 3 2 4" xfId="2796" xr:uid="{01BBA5E7-9629-4597-B5AE-A7D17D5FBF6E}"/>
    <cellStyle name="Normal 4 5 3 3" xfId="1635" xr:uid="{00000000-0005-0000-0000-000060060000}"/>
    <cellStyle name="Normal 4 5 3 3 2" xfId="1636" xr:uid="{00000000-0005-0000-0000-000061060000}"/>
    <cellStyle name="Normal 4 5 3 3 2 2" xfId="2801" xr:uid="{91C473FF-4516-4930-B18B-F300BA9DD6EB}"/>
    <cellStyle name="Normal 4 5 3 3 3" xfId="2800" xr:uid="{290FB7A4-70E7-4D23-8ADC-B78B172E57AE}"/>
    <cellStyle name="Normal 4 5 3 4" xfId="1637" xr:uid="{00000000-0005-0000-0000-000062060000}"/>
    <cellStyle name="Normal 4 5 3 4 2" xfId="2802" xr:uid="{D8B903EF-0F3E-4D28-ADEE-FAA707F15B5E}"/>
    <cellStyle name="Normal 4 5 3 5" xfId="2795" xr:uid="{F417BA2C-76C6-4662-960A-FF342AAE9B4F}"/>
    <cellStyle name="Normal 4 5 4" xfId="1638" xr:uid="{00000000-0005-0000-0000-000063060000}"/>
    <cellStyle name="Normal 4 5 4 2" xfId="1639" xr:uid="{00000000-0005-0000-0000-000064060000}"/>
    <cellStyle name="Normal 4 5 4 2 2" xfId="1640" xr:uid="{00000000-0005-0000-0000-000065060000}"/>
    <cellStyle name="Normal 4 5 4 2 2 2" xfId="2805" xr:uid="{1B5F91AF-C760-4970-AB3A-955572B4B545}"/>
    <cellStyle name="Normal 4 5 4 2 3" xfId="2804" xr:uid="{7C910D7F-BF44-478B-9994-332E9A9C242E}"/>
    <cellStyle name="Normal 4 5 4 3" xfId="1641" xr:uid="{00000000-0005-0000-0000-000066060000}"/>
    <cellStyle name="Normal 4 5 4 3 2" xfId="2806" xr:uid="{1943D6E5-4003-4DD4-A8B8-A80BB7ECB25F}"/>
    <cellStyle name="Normal 4 5 4 4" xfId="2803" xr:uid="{B85230C3-83C2-42B7-B026-7E09C2877FC8}"/>
    <cellStyle name="Normal 4 5 5" xfId="1642" xr:uid="{00000000-0005-0000-0000-000067060000}"/>
    <cellStyle name="Normal 4 5 5 2" xfId="1643" xr:uid="{00000000-0005-0000-0000-000068060000}"/>
    <cellStyle name="Normal 4 5 5 2 2" xfId="2808" xr:uid="{1AB9FA98-CF2D-43A2-8A5A-159DE5C3FA59}"/>
    <cellStyle name="Normal 4 5 5 3" xfId="2807" xr:uid="{7EC4CA21-6E6C-4A4C-AB71-03670DCBA015}"/>
    <cellStyle name="Normal 4 5 6" xfId="1644" xr:uid="{00000000-0005-0000-0000-000069060000}"/>
    <cellStyle name="Normal 4 5 6 2" xfId="2809" xr:uid="{3030A783-5E9C-4F78-A201-965803BED375}"/>
    <cellStyle name="Normal 4 5 7" xfId="1645" xr:uid="{00000000-0005-0000-0000-00006A060000}"/>
    <cellStyle name="Normal 4 5 7 2" xfId="2778" xr:uid="{976503D1-7B53-4B92-AFCA-9AE27C90D94B}"/>
    <cellStyle name="Normal 4 5 8" xfId="1646" xr:uid="{00000000-0005-0000-0000-00006B060000}"/>
    <cellStyle name="Normal 4 5 9" xfId="2055" xr:uid="{E3FC2777-A2AC-468C-8BDA-84BC36C897C3}"/>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2 2 2" xfId="2814" xr:uid="{AEB051DF-AA25-4DE2-9BEA-08C069B916E9}"/>
    <cellStyle name="Normal 4 6 2 2 2 3" xfId="2813" xr:uid="{D66FD6AA-5252-47F6-B8AE-80D87C0ADD53}"/>
    <cellStyle name="Normal 4 6 2 2 3" xfId="1652" xr:uid="{00000000-0005-0000-0000-000071060000}"/>
    <cellStyle name="Normal 4 6 2 2 3 2" xfId="2815" xr:uid="{FCBB24EA-26FE-4BCC-9DBB-DD49092B2E9A}"/>
    <cellStyle name="Normal 4 6 2 2 4" xfId="2812" xr:uid="{B32DA858-001C-415A-9B1F-A01595D009EE}"/>
    <cellStyle name="Normal 4 6 2 3" xfId="1653" xr:uid="{00000000-0005-0000-0000-000072060000}"/>
    <cellStyle name="Normal 4 6 2 3 2" xfId="1654" xr:uid="{00000000-0005-0000-0000-000073060000}"/>
    <cellStyle name="Normal 4 6 2 3 2 2" xfId="2817" xr:uid="{53449169-0929-467E-BF44-AF3FBFD80866}"/>
    <cellStyle name="Normal 4 6 2 3 3" xfId="2816" xr:uid="{43A679EA-162B-4FE5-9202-2261508156A3}"/>
    <cellStyle name="Normal 4 6 2 4" xfId="1655" xr:uid="{00000000-0005-0000-0000-000074060000}"/>
    <cellStyle name="Normal 4 6 2 4 2" xfId="2818" xr:uid="{0F24E0FC-0BEA-4E84-8B68-F11DCEE6E05E}"/>
    <cellStyle name="Normal 4 6 2 5" xfId="2811" xr:uid="{F7EC3FD9-E7B7-41FF-81B1-45674E4C0A72}"/>
    <cellStyle name="Normal 4 6 3" xfId="1656" xr:uid="{00000000-0005-0000-0000-000075060000}"/>
    <cellStyle name="Normal 4 6 3 2" xfId="1657" xr:uid="{00000000-0005-0000-0000-000076060000}"/>
    <cellStyle name="Normal 4 6 3 2 2" xfId="1658" xr:uid="{00000000-0005-0000-0000-000077060000}"/>
    <cellStyle name="Normal 4 6 3 2 2 2" xfId="2821" xr:uid="{D741EB3B-4BF6-4CEB-8577-8FCF71AACBA9}"/>
    <cellStyle name="Normal 4 6 3 2 3" xfId="2820" xr:uid="{322460A6-F0C6-4374-9721-3379FC1B86E5}"/>
    <cellStyle name="Normal 4 6 3 3" xfId="1659" xr:uid="{00000000-0005-0000-0000-000078060000}"/>
    <cellStyle name="Normal 4 6 3 3 2" xfId="2822" xr:uid="{A0792F3B-D07F-4581-9857-21C1BEA203A4}"/>
    <cellStyle name="Normal 4 6 3 4" xfId="2819" xr:uid="{07798451-69FC-4B5F-9F45-53CA7EDF4328}"/>
    <cellStyle name="Normal 4 6 4" xfId="1660" xr:uid="{00000000-0005-0000-0000-000079060000}"/>
    <cellStyle name="Normal 4 6 4 2" xfId="1661" xr:uid="{00000000-0005-0000-0000-00007A060000}"/>
    <cellStyle name="Normal 4 6 4 2 2" xfId="2824" xr:uid="{BCF659C6-2C74-46F0-87D1-A87CEB635786}"/>
    <cellStyle name="Normal 4 6 4 3" xfId="2823" xr:uid="{DA9A17B4-B5DA-464A-894C-2CCDECD4B07B}"/>
    <cellStyle name="Normal 4 6 5" xfId="1662" xr:uid="{00000000-0005-0000-0000-00007B060000}"/>
    <cellStyle name="Normal 4 6 5 2" xfId="2825" xr:uid="{DB489F6C-C725-40EE-BC1F-5658AA8D7275}"/>
    <cellStyle name="Normal 4 6 6" xfId="2810" xr:uid="{8636F63E-73B5-460E-88F4-D186FAA1376D}"/>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2 2 2" xfId="2829" xr:uid="{5D7D9423-CC96-490C-BA81-B4FFF62325E3}"/>
    <cellStyle name="Normal 4 7 2 2 3" xfId="2828" xr:uid="{BB01EA37-13AE-4145-BC20-D77E3A3F9B19}"/>
    <cellStyle name="Normal 4 7 2 3" xfId="1667" xr:uid="{00000000-0005-0000-0000-000080060000}"/>
    <cellStyle name="Normal 4 7 2 3 2" xfId="2830" xr:uid="{C961BC4C-8B9A-4C52-8686-3E33F36D5F94}"/>
    <cellStyle name="Normal 4 7 2 4" xfId="2827" xr:uid="{7DBD7074-6EB0-4A0E-BEF8-2705775FE9DE}"/>
    <cellStyle name="Normal 4 7 3" xfId="1668" xr:uid="{00000000-0005-0000-0000-000081060000}"/>
    <cellStyle name="Normal 4 7 3 2" xfId="1669" xr:uid="{00000000-0005-0000-0000-000082060000}"/>
    <cellStyle name="Normal 4 7 3 2 2" xfId="2832" xr:uid="{77CABD5D-6C23-4C94-BDD4-F7C7890245DC}"/>
    <cellStyle name="Normal 4 7 3 3" xfId="2831" xr:uid="{0B84BF65-1A70-4EE5-8A9B-27C05349714D}"/>
    <cellStyle name="Normal 4 7 4" xfId="1670" xr:uid="{00000000-0005-0000-0000-000083060000}"/>
    <cellStyle name="Normal 4 7 4 2" xfId="2833" xr:uid="{7041C175-1616-4BDD-BFA3-1794A0AE80B0}"/>
    <cellStyle name="Normal 4 7 5" xfId="2826" xr:uid="{C777C2A3-A582-40D7-8109-812FDCAB006F}"/>
    <cellStyle name="Normal 4 8" xfId="1671" xr:uid="{00000000-0005-0000-0000-000084060000}"/>
    <cellStyle name="Normal 4 8 2" xfId="1672" xr:uid="{00000000-0005-0000-0000-000085060000}"/>
    <cellStyle name="Normal 4 8 2 2" xfId="1673" xr:uid="{00000000-0005-0000-0000-000086060000}"/>
    <cellStyle name="Normal 4 8 2 2 2" xfId="2836" xr:uid="{38F27D98-2E9B-486D-AFCF-D9992A820E85}"/>
    <cellStyle name="Normal 4 8 2 3" xfId="2835" xr:uid="{A4F098ED-376B-4CF9-9A8B-04E07DA79BE1}"/>
    <cellStyle name="Normal 4 8 3" xfId="1674" xr:uid="{00000000-0005-0000-0000-000087060000}"/>
    <cellStyle name="Normal 4 8 3 2" xfId="2837" xr:uid="{F80FA158-4729-494E-80CD-66D1063E7EB3}"/>
    <cellStyle name="Normal 4 8 4" xfId="2834" xr:uid="{725CADCD-D0BB-451B-9704-B34F72A466E7}"/>
    <cellStyle name="Normal 4 9" xfId="1675" xr:uid="{00000000-0005-0000-0000-000088060000}"/>
    <cellStyle name="Normal 4 9 2" xfId="1676" xr:uid="{00000000-0005-0000-0000-000089060000}"/>
    <cellStyle name="Normal 4 9 2 2" xfId="2839" xr:uid="{F5A7F066-51F4-422B-A44D-3965F8416A6D}"/>
    <cellStyle name="Normal 4 9 3" xfId="2838" xr:uid="{E65AB2CF-1C44-45B2-822D-11D28C3C8049}"/>
    <cellStyle name="Normal 5" xfId="1677" xr:uid="{00000000-0005-0000-0000-00008A060000}"/>
    <cellStyle name="Normal 5 10" xfId="1678" xr:uid="{00000000-0005-0000-0000-00008B060000}"/>
    <cellStyle name="Normal 5 11" xfId="1679" xr:uid="{00000000-0005-0000-0000-00008C060000}"/>
    <cellStyle name="Normal 5 12" xfId="2056" xr:uid="{618CD4A9-3B9B-4F2D-A4F5-91CEE9BD9630}"/>
    <cellStyle name="Normal 5 13" xfId="3053" xr:uid="{42A9B1FF-BD33-42EF-8757-6C42133683E8}"/>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2 2 2" xfId="2845" xr:uid="{86E54B49-C40A-4C09-9819-5578BF7FDD48}"/>
    <cellStyle name="Normal 5 2 2 2 2 2 2 3" xfId="2844" xr:uid="{47FE1DE0-7E4D-4CCC-BC5D-9F213A4914B6}"/>
    <cellStyle name="Normal 5 2 2 2 2 2 3" xfId="1687" xr:uid="{00000000-0005-0000-0000-000094060000}"/>
    <cellStyle name="Normal 5 2 2 2 2 2 3 2" xfId="2846" xr:uid="{3D8EB448-635E-490A-B68A-03614A0F5C5F}"/>
    <cellStyle name="Normal 5 2 2 2 2 2 4" xfId="2843" xr:uid="{37F9BAA0-65A2-4C40-8B17-3C64D531022E}"/>
    <cellStyle name="Normal 5 2 2 2 2 3" xfId="1688" xr:uid="{00000000-0005-0000-0000-000095060000}"/>
    <cellStyle name="Normal 5 2 2 2 2 3 2" xfId="1689" xr:uid="{00000000-0005-0000-0000-000096060000}"/>
    <cellStyle name="Normal 5 2 2 2 2 3 2 2" xfId="2848" xr:uid="{F6D1F4E9-F6ED-4A5E-9906-4FF1608A16F9}"/>
    <cellStyle name="Normal 5 2 2 2 2 3 3" xfId="2847" xr:uid="{8B717566-68DB-4D83-8A7B-E70A0AF57C7F}"/>
    <cellStyle name="Normal 5 2 2 2 2 4" xfId="1690" xr:uid="{00000000-0005-0000-0000-000097060000}"/>
    <cellStyle name="Normal 5 2 2 2 2 4 2" xfId="2849" xr:uid="{7DA07001-196C-47AA-83CA-57C5FAAE0E2A}"/>
    <cellStyle name="Normal 5 2 2 2 2 5" xfId="2842" xr:uid="{05692A04-51A8-4799-93BF-8B77C862BF5B}"/>
    <cellStyle name="Normal 5 2 2 2 3" xfId="1691" xr:uid="{00000000-0005-0000-0000-000098060000}"/>
    <cellStyle name="Normal 5 2 2 2 3 2" xfId="1692" xr:uid="{00000000-0005-0000-0000-000099060000}"/>
    <cellStyle name="Normal 5 2 2 2 3 2 2" xfId="1693" xr:uid="{00000000-0005-0000-0000-00009A060000}"/>
    <cellStyle name="Normal 5 2 2 2 3 2 2 2" xfId="2852" xr:uid="{548EB055-5FC1-4003-AE24-09D34C1424AF}"/>
    <cellStyle name="Normal 5 2 2 2 3 2 3" xfId="2851" xr:uid="{18A30142-F0CD-4EAC-AF4C-09482AD6223C}"/>
    <cellStyle name="Normal 5 2 2 2 3 3" xfId="1694" xr:uid="{00000000-0005-0000-0000-00009B060000}"/>
    <cellStyle name="Normal 5 2 2 2 3 3 2" xfId="2853" xr:uid="{18E6E451-8E8C-4B66-86DE-53E5516FB745}"/>
    <cellStyle name="Normal 5 2 2 2 3 4" xfId="2850" xr:uid="{C2853C79-9133-4228-BBF5-1B08EFBEDD0C}"/>
    <cellStyle name="Normal 5 2 2 2 4" xfId="1695" xr:uid="{00000000-0005-0000-0000-00009C060000}"/>
    <cellStyle name="Normal 5 2 2 2 4 2" xfId="1696" xr:uid="{00000000-0005-0000-0000-00009D060000}"/>
    <cellStyle name="Normal 5 2 2 2 4 2 2" xfId="2855" xr:uid="{31E2A9F5-C2D3-4F5E-B727-48DB0875C361}"/>
    <cellStyle name="Normal 5 2 2 2 4 3" xfId="2854" xr:uid="{FF9FDE56-72B2-4165-8149-A7976C356E31}"/>
    <cellStyle name="Normal 5 2 2 2 5" xfId="1697" xr:uid="{00000000-0005-0000-0000-00009E060000}"/>
    <cellStyle name="Normal 5 2 2 2 5 2" xfId="2856" xr:uid="{4310E505-5019-46D5-960D-110FDB85F9B9}"/>
    <cellStyle name="Normal 5 2 2 2 6" xfId="2841" xr:uid="{88E3503D-3409-47B9-901E-0A96F98C1407}"/>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2 2 2" xfId="2860" xr:uid="{822DD1FE-7599-4D27-8EDD-E756BE49A9F8}"/>
    <cellStyle name="Normal 5 2 2 3 2 2 3" xfId="2859" xr:uid="{D37248D2-3338-4F15-909F-1B44C0DAC9A5}"/>
    <cellStyle name="Normal 5 2 2 3 2 3" xfId="1702" xr:uid="{00000000-0005-0000-0000-0000A3060000}"/>
    <cellStyle name="Normal 5 2 2 3 2 3 2" xfId="2861" xr:uid="{D655729B-109E-4A68-A325-754D56BFB9B4}"/>
    <cellStyle name="Normal 5 2 2 3 2 4" xfId="2858" xr:uid="{528AAC6D-D640-4B22-B8BD-3FD03915FCC4}"/>
    <cellStyle name="Normal 5 2 2 3 3" xfId="1703" xr:uid="{00000000-0005-0000-0000-0000A4060000}"/>
    <cellStyle name="Normal 5 2 2 3 3 2" xfId="1704" xr:uid="{00000000-0005-0000-0000-0000A5060000}"/>
    <cellStyle name="Normal 5 2 2 3 3 2 2" xfId="2863" xr:uid="{90078871-66F0-4F0B-90FA-6BFE0869778B}"/>
    <cellStyle name="Normal 5 2 2 3 3 3" xfId="2862" xr:uid="{C115C85A-D7D3-4A66-B84E-3CD215994DC5}"/>
    <cellStyle name="Normal 5 2 2 3 4" xfId="1705" xr:uid="{00000000-0005-0000-0000-0000A6060000}"/>
    <cellStyle name="Normal 5 2 2 3 4 2" xfId="2864" xr:uid="{82ECB5A9-06A8-48BB-9C15-DEF3009601E9}"/>
    <cellStyle name="Normal 5 2 2 3 5" xfId="2857" xr:uid="{EB7B107B-F347-470E-B2B8-BB9F6E6DF2E9}"/>
    <cellStyle name="Normal 5 2 2 4" xfId="1706" xr:uid="{00000000-0005-0000-0000-0000A7060000}"/>
    <cellStyle name="Normal 5 2 2 4 2" xfId="1707" xr:uid="{00000000-0005-0000-0000-0000A8060000}"/>
    <cellStyle name="Normal 5 2 2 4 2 2" xfId="1708" xr:uid="{00000000-0005-0000-0000-0000A9060000}"/>
    <cellStyle name="Normal 5 2 2 4 2 2 2" xfId="2867" xr:uid="{46559744-84CD-41A4-B86F-3B489682E6ED}"/>
    <cellStyle name="Normal 5 2 2 4 2 3" xfId="2866" xr:uid="{FF677F27-69F6-4D38-B9B4-DFC0CAED14BB}"/>
    <cellStyle name="Normal 5 2 2 4 3" xfId="1709" xr:uid="{00000000-0005-0000-0000-0000AA060000}"/>
    <cellStyle name="Normal 5 2 2 4 3 2" xfId="2868" xr:uid="{FB93F539-5232-4112-9DED-DF8B96205E9E}"/>
    <cellStyle name="Normal 5 2 2 4 4" xfId="2865" xr:uid="{BAEB2372-3CCB-463B-8055-F03653A3386C}"/>
    <cellStyle name="Normal 5 2 2 5" xfId="1710" xr:uid="{00000000-0005-0000-0000-0000AB060000}"/>
    <cellStyle name="Normal 5 2 2 5 2" xfId="1711" xr:uid="{00000000-0005-0000-0000-0000AC060000}"/>
    <cellStyle name="Normal 5 2 2 5 2 2" xfId="2870" xr:uid="{0A38310E-72F3-48CC-8D7C-5D86397D986A}"/>
    <cellStyle name="Normal 5 2 2 5 3" xfId="2869" xr:uid="{39324E08-38E0-4274-8601-0CA62E89CB6B}"/>
    <cellStyle name="Normal 5 2 2 6" xfId="1712" xr:uid="{00000000-0005-0000-0000-0000AD060000}"/>
    <cellStyle name="Normal 5 2 2 6 2" xfId="2871" xr:uid="{6B8FC30F-539F-41A7-8E72-518AED91C884}"/>
    <cellStyle name="Normal 5 2 2 7" xfId="2840" xr:uid="{DA929CC7-2245-4E87-941B-4EA12C2B8A54}"/>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2 2 2" xfId="2876" xr:uid="{716BF816-D632-4946-B69A-B9A5772211CA}"/>
    <cellStyle name="Normal 5 2 3 2 2 2 3" xfId="2875" xr:uid="{87AF1E03-0234-4E75-B78B-E00086FB86E4}"/>
    <cellStyle name="Normal 5 2 3 2 2 3" xfId="1718" xr:uid="{00000000-0005-0000-0000-0000B3060000}"/>
    <cellStyle name="Normal 5 2 3 2 2 3 2" xfId="2877" xr:uid="{B7963B0E-4829-4690-893D-1F99993FC8A7}"/>
    <cellStyle name="Normal 5 2 3 2 2 4" xfId="2874" xr:uid="{DB5F09B0-3CE8-4BEC-8663-06F445B55E58}"/>
    <cellStyle name="Normal 5 2 3 2 3" xfId="1719" xr:uid="{00000000-0005-0000-0000-0000B4060000}"/>
    <cellStyle name="Normal 5 2 3 2 3 2" xfId="1720" xr:uid="{00000000-0005-0000-0000-0000B5060000}"/>
    <cellStyle name="Normal 5 2 3 2 3 2 2" xfId="2879" xr:uid="{AC817BF2-9D3C-4909-8F91-7F2F274E64C0}"/>
    <cellStyle name="Normal 5 2 3 2 3 3" xfId="2878" xr:uid="{1BAEB9DF-B764-4335-8AFA-502E8AA4DFB1}"/>
    <cellStyle name="Normal 5 2 3 2 4" xfId="1721" xr:uid="{00000000-0005-0000-0000-0000B6060000}"/>
    <cellStyle name="Normal 5 2 3 2 4 2" xfId="2880" xr:uid="{7EF9F60E-7847-4707-B070-20ACFD004690}"/>
    <cellStyle name="Normal 5 2 3 2 5" xfId="2873" xr:uid="{E4DE02F3-1527-40BE-9C3F-F41A100B831F}"/>
    <cellStyle name="Normal 5 2 3 3" xfId="1722" xr:uid="{00000000-0005-0000-0000-0000B7060000}"/>
    <cellStyle name="Normal 5 2 3 3 2" xfId="1723" xr:uid="{00000000-0005-0000-0000-0000B8060000}"/>
    <cellStyle name="Normal 5 2 3 3 2 2" xfId="1724" xr:uid="{00000000-0005-0000-0000-0000B9060000}"/>
    <cellStyle name="Normal 5 2 3 3 2 2 2" xfId="2883" xr:uid="{95BD80D9-99AB-4FB2-9C91-8CFD63332D35}"/>
    <cellStyle name="Normal 5 2 3 3 2 3" xfId="2882" xr:uid="{C2F90F03-284C-4855-8D96-5E21B0B51554}"/>
    <cellStyle name="Normal 5 2 3 3 3" xfId="1725" xr:uid="{00000000-0005-0000-0000-0000BA060000}"/>
    <cellStyle name="Normal 5 2 3 3 3 2" xfId="2884" xr:uid="{CDA5D1C3-39E9-4497-930E-1BA8DE315D10}"/>
    <cellStyle name="Normal 5 2 3 3 4" xfId="2881" xr:uid="{624E3DC4-6600-4276-9945-EC89C6475379}"/>
    <cellStyle name="Normal 5 2 3 4" xfId="1726" xr:uid="{00000000-0005-0000-0000-0000BB060000}"/>
    <cellStyle name="Normal 5 2 3 4 2" xfId="1727" xr:uid="{00000000-0005-0000-0000-0000BC060000}"/>
    <cellStyle name="Normal 5 2 3 4 2 2" xfId="2886" xr:uid="{D0FA6737-CEC2-41E6-ABC6-48A86109D3A8}"/>
    <cellStyle name="Normal 5 2 3 4 3" xfId="2885" xr:uid="{569A5BB3-C0AD-4F9A-BD97-C4C7597723F9}"/>
    <cellStyle name="Normal 5 2 3 5" xfId="1728" xr:uid="{00000000-0005-0000-0000-0000BD060000}"/>
    <cellStyle name="Normal 5 2 3 5 2" xfId="2887" xr:uid="{98664265-3114-466D-B567-814B43CCD625}"/>
    <cellStyle name="Normal 5 2 3 6" xfId="2872" xr:uid="{D3D9E2F4-0870-4403-8E30-F1721E081307}"/>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2 2 2" xfId="2891" xr:uid="{80F77280-CE4A-4F54-BE4A-EDE4A71949D6}"/>
    <cellStyle name="Normal 5 2 4 2 2 3" xfId="2890" xr:uid="{549E8945-B67E-4283-B2BB-1B6DB511C04B}"/>
    <cellStyle name="Normal 5 2 4 2 3" xfId="1733" xr:uid="{00000000-0005-0000-0000-0000C2060000}"/>
    <cellStyle name="Normal 5 2 4 2 3 2" xfId="2892" xr:uid="{617483CE-8D92-4F57-BD1C-D801CF4AEB14}"/>
    <cellStyle name="Normal 5 2 4 2 4" xfId="2889" xr:uid="{837E4982-7DB4-4A0A-9997-792B8A1FD358}"/>
    <cellStyle name="Normal 5 2 4 3" xfId="1734" xr:uid="{00000000-0005-0000-0000-0000C3060000}"/>
    <cellStyle name="Normal 5 2 4 3 2" xfId="1735" xr:uid="{00000000-0005-0000-0000-0000C4060000}"/>
    <cellStyle name="Normal 5 2 4 3 2 2" xfId="2894" xr:uid="{E55FEA7A-8A48-4D1B-9B91-73AC25989208}"/>
    <cellStyle name="Normal 5 2 4 3 3" xfId="2893" xr:uid="{4C4F3337-29A7-4922-9AE9-2AB6A6ECB6BF}"/>
    <cellStyle name="Normal 5 2 4 4" xfId="1736" xr:uid="{00000000-0005-0000-0000-0000C5060000}"/>
    <cellStyle name="Normal 5 2 4 4 2" xfId="2895" xr:uid="{69E6CB9E-24E4-4BCA-A288-DD74E54FD4AF}"/>
    <cellStyle name="Normal 5 2 4 5" xfId="2888" xr:uid="{D2713C03-8793-4CF8-B987-358EBF1B98CA}"/>
    <cellStyle name="Normal 5 2 5" xfId="1737" xr:uid="{00000000-0005-0000-0000-0000C6060000}"/>
    <cellStyle name="Normal 5 2 5 2" xfId="1738" xr:uid="{00000000-0005-0000-0000-0000C7060000}"/>
    <cellStyle name="Normal 5 2 5 2 2" xfId="1739" xr:uid="{00000000-0005-0000-0000-0000C8060000}"/>
    <cellStyle name="Normal 5 2 5 2 2 2" xfId="2898" xr:uid="{642C7DDF-C433-4D4E-AEDE-66625D8B8D25}"/>
    <cellStyle name="Normal 5 2 5 2 3" xfId="2897" xr:uid="{AE027C33-B0B0-44FA-8AE5-37717C334324}"/>
    <cellStyle name="Normal 5 2 5 3" xfId="1740" xr:uid="{00000000-0005-0000-0000-0000C9060000}"/>
    <cellStyle name="Normal 5 2 5 3 2" xfId="2899" xr:uid="{277C9CD8-10F0-4956-B3D5-265A719F764E}"/>
    <cellStyle name="Normal 5 2 5 4" xfId="2896" xr:uid="{011EE7E3-A29F-400D-A025-455D35F10CBC}"/>
    <cellStyle name="Normal 5 2 6" xfId="1741" xr:uid="{00000000-0005-0000-0000-0000CA060000}"/>
    <cellStyle name="Normal 5 2 6 2" xfId="1742" xr:uid="{00000000-0005-0000-0000-0000CB060000}"/>
    <cellStyle name="Normal 5 2 6 2 2" xfId="2901" xr:uid="{1093B511-290D-420A-8A0F-903371B27876}"/>
    <cellStyle name="Normal 5 2 6 3" xfId="2900" xr:uid="{C6CFCE38-8059-454E-8F46-D0A95E411144}"/>
    <cellStyle name="Normal 5 2 7" xfId="1743" xr:uid="{00000000-0005-0000-0000-0000CC060000}"/>
    <cellStyle name="Normal 5 2 7 2" xfId="2902" xr:uid="{96F1E2B3-F757-4705-9637-F7EA798FE26E}"/>
    <cellStyle name="Normal 5 2 8" xfId="2057" xr:uid="{C676BCB0-C530-4915-B399-AD385DF54FAD}"/>
    <cellStyle name="Normal 5 2 9" xfId="3054" xr:uid="{46FD94DB-A848-4D0C-9015-D7F7921268A4}"/>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2 2 2" xfId="2908" xr:uid="{58597354-1219-4B83-B495-D4667AF01F40}"/>
    <cellStyle name="Normal 5 3 2 2 2 2 2 3" xfId="2907" xr:uid="{82355E73-7039-44D4-BF1D-8CAB1135ECD5}"/>
    <cellStyle name="Normal 5 3 2 2 2 2 3" xfId="1751" xr:uid="{00000000-0005-0000-0000-0000D4060000}"/>
    <cellStyle name="Normal 5 3 2 2 2 2 3 2" xfId="2909" xr:uid="{21F0A377-7DBF-4BA2-A476-F9972A83A928}"/>
    <cellStyle name="Normal 5 3 2 2 2 2 4" xfId="2906" xr:uid="{F51203DD-F849-4337-9DBF-B168419280F4}"/>
    <cellStyle name="Normal 5 3 2 2 2 3" xfId="1752" xr:uid="{00000000-0005-0000-0000-0000D5060000}"/>
    <cellStyle name="Normal 5 3 2 2 2 3 2" xfId="1753" xr:uid="{00000000-0005-0000-0000-0000D6060000}"/>
    <cellStyle name="Normal 5 3 2 2 2 3 2 2" xfId="2911" xr:uid="{47137106-6A61-42C9-87CD-F26780CE66E5}"/>
    <cellStyle name="Normal 5 3 2 2 2 3 3" xfId="2910" xr:uid="{BC3FFE05-2EDA-474C-8F28-3695DCF6F3F8}"/>
    <cellStyle name="Normal 5 3 2 2 2 4" xfId="1754" xr:uid="{00000000-0005-0000-0000-0000D7060000}"/>
    <cellStyle name="Normal 5 3 2 2 2 4 2" xfId="2912" xr:uid="{259A94C0-4E46-4B33-88D2-4A87D972DD71}"/>
    <cellStyle name="Normal 5 3 2 2 2 5" xfId="2905" xr:uid="{28B106EE-792C-4757-A163-2521158082B8}"/>
    <cellStyle name="Normal 5 3 2 2 3" xfId="1755" xr:uid="{00000000-0005-0000-0000-0000D8060000}"/>
    <cellStyle name="Normal 5 3 2 2 3 2" xfId="1756" xr:uid="{00000000-0005-0000-0000-0000D9060000}"/>
    <cellStyle name="Normal 5 3 2 2 3 2 2" xfId="1757" xr:uid="{00000000-0005-0000-0000-0000DA060000}"/>
    <cellStyle name="Normal 5 3 2 2 3 2 2 2" xfId="2915" xr:uid="{BDF05DFA-5EFE-4DCA-942F-2E1AE3129828}"/>
    <cellStyle name="Normal 5 3 2 2 3 2 3" xfId="2914" xr:uid="{0B96233E-E1F8-46A6-BBB7-80E58C6A662F}"/>
    <cellStyle name="Normal 5 3 2 2 3 3" xfId="1758" xr:uid="{00000000-0005-0000-0000-0000DB060000}"/>
    <cellStyle name="Normal 5 3 2 2 3 3 2" xfId="2916" xr:uid="{26979499-0CDE-4557-97DD-82DB0F0E2D2B}"/>
    <cellStyle name="Normal 5 3 2 2 3 4" xfId="2913" xr:uid="{A00BDCC4-3950-4BA2-8064-644E3A188C35}"/>
    <cellStyle name="Normal 5 3 2 2 4" xfId="1759" xr:uid="{00000000-0005-0000-0000-0000DC060000}"/>
    <cellStyle name="Normal 5 3 2 2 4 2" xfId="1760" xr:uid="{00000000-0005-0000-0000-0000DD060000}"/>
    <cellStyle name="Normal 5 3 2 2 4 2 2" xfId="2918" xr:uid="{E1A35F4B-D20E-4944-8D51-B65D76CD36EA}"/>
    <cellStyle name="Normal 5 3 2 2 4 3" xfId="2917" xr:uid="{0319A950-29C2-4F51-9C2E-B098649E065A}"/>
    <cellStyle name="Normal 5 3 2 2 5" xfId="1761" xr:uid="{00000000-0005-0000-0000-0000DE060000}"/>
    <cellStyle name="Normal 5 3 2 2 5 2" xfId="2919" xr:uid="{46B0C139-A5B7-48FF-A284-3DFA5419F65E}"/>
    <cellStyle name="Normal 5 3 2 2 6" xfId="2904" xr:uid="{E22B0DE7-312D-474B-BAE2-005EF23D32D5}"/>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2 2 2" xfId="2923" xr:uid="{C5F31834-E8C4-4FC8-B7B2-965F8E836077}"/>
    <cellStyle name="Normal 5 3 2 3 2 2 3" xfId="2922" xr:uid="{36871419-4EDA-4230-8FC6-40B1DA4BD4C0}"/>
    <cellStyle name="Normal 5 3 2 3 2 3" xfId="1766" xr:uid="{00000000-0005-0000-0000-0000E3060000}"/>
    <cellStyle name="Normal 5 3 2 3 2 3 2" xfId="2924" xr:uid="{7E710DF6-0A0F-48D3-84D1-FF8BAF36F287}"/>
    <cellStyle name="Normal 5 3 2 3 2 4" xfId="2921" xr:uid="{D6D75BF5-E61A-445E-8CB4-6A6937890DCC}"/>
    <cellStyle name="Normal 5 3 2 3 3" xfId="1767" xr:uid="{00000000-0005-0000-0000-0000E4060000}"/>
    <cellStyle name="Normal 5 3 2 3 3 2" xfId="1768" xr:uid="{00000000-0005-0000-0000-0000E5060000}"/>
    <cellStyle name="Normal 5 3 2 3 3 2 2" xfId="2926" xr:uid="{5FD4A2FC-D2E0-44D0-88D5-8E4781B0279F}"/>
    <cellStyle name="Normal 5 3 2 3 3 3" xfId="2925" xr:uid="{51C72A33-9EC3-47A1-9576-0F2A8132B1FF}"/>
    <cellStyle name="Normal 5 3 2 3 4" xfId="1769" xr:uid="{00000000-0005-0000-0000-0000E6060000}"/>
    <cellStyle name="Normal 5 3 2 3 4 2" xfId="2927" xr:uid="{D812370C-CCB4-43CD-8734-7D5770C47B45}"/>
    <cellStyle name="Normal 5 3 2 3 5" xfId="2920" xr:uid="{8B6C98C4-4A5D-4856-A8BB-53963AF23523}"/>
    <cellStyle name="Normal 5 3 2 4" xfId="1770" xr:uid="{00000000-0005-0000-0000-0000E7060000}"/>
    <cellStyle name="Normal 5 3 2 4 2" xfId="1771" xr:uid="{00000000-0005-0000-0000-0000E8060000}"/>
    <cellStyle name="Normal 5 3 2 4 2 2" xfId="1772" xr:uid="{00000000-0005-0000-0000-0000E9060000}"/>
    <cellStyle name="Normal 5 3 2 4 2 2 2" xfId="2930" xr:uid="{83023413-CE4B-4924-BF73-F42A6B9D12C9}"/>
    <cellStyle name="Normal 5 3 2 4 2 3" xfId="2929" xr:uid="{3A872CAF-7A85-47D2-877F-5F8CA8391E1F}"/>
    <cellStyle name="Normal 5 3 2 4 3" xfId="1773" xr:uid="{00000000-0005-0000-0000-0000EA060000}"/>
    <cellStyle name="Normal 5 3 2 4 3 2" xfId="2931" xr:uid="{D04C542E-3F06-442D-8377-9F6EB850B445}"/>
    <cellStyle name="Normal 5 3 2 4 4" xfId="2928" xr:uid="{BBD844F4-2B5B-4B78-A3D0-C9B4B3A1D60F}"/>
    <cellStyle name="Normal 5 3 2 5" xfId="1774" xr:uid="{00000000-0005-0000-0000-0000EB060000}"/>
    <cellStyle name="Normal 5 3 2 5 2" xfId="1775" xr:uid="{00000000-0005-0000-0000-0000EC060000}"/>
    <cellStyle name="Normal 5 3 2 5 2 2" xfId="2933" xr:uid="{80E8ABBA-1354-4092-A1C8-38DC2A0F9058}"/>
    <cellStyle name="Normal 5 3 2 5 3" xfId="2932" xr:uid="{FD53A278-2FBA-4EAE-B21C-9315C127EB5E}"/>
    <cellStyle name="Normal 5 3 2 6" xfId="1776" xr:uid="{00000000-0005-0000-0000-0000ED060000}"/>
    <cellStyle name="Normal 5 3 2 6 2" xfId="2934" xr:uid="{7652424D-9095-4F4B-816A-2C3C12EB33E1}"/>
    <cellStyle name="Normal 5 3 2 7" xfId="2903" xr:uid="{B70EA5ED-72EC-4BEB-8956-8AFF25A069F9}"/>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2 2 2" xfId="2939" xr:uid="{A25FF14D-8A9B-4FBB-A447-2F93EB9FE8AF}"/>
    <cellStyle name="Normal 5 3 3 2 2 2 3" xfId="2938" xr:uid="{9877AE67-6E51-47A6-8478-2F4170E6F8AB}"/>
    <cellStyle name="Normal 5 3 3 2 2 3" xfId="1782" xr:uid="{00000000-0005-0000-0000-0000F3060000}"/>
    <cellStyle name="Normal 5 3 3 2 2 3 2" xfId="2940" xr:uid="{034F8BA4-5D25-428B-8DFC-926F8BDFB967}"/>
    <cellStyle name="Normal 5 3 3 2 2 4" xfId="2937" xr:uid="{C9B9B0CB-37C5-4F0B-98B6-DFFC3FEF9133}"/>
    <cellStyle name="Normal 5 3 3 2 3" xfId="1783" xr:uid="{00000000-0005-0000-0000-0000F4060000}"/>
    <cellStyle name="Normal 5 3 3 2 3 2" xfId="1784" xr:uid="{00000000-0005-0000-0000-0000F5060000}"/>
    <cellStyle name="Normal 5 3 3 2 3 2 2" xfId="2942" xr:uid="{4A479994-74A2-495D-A226-0DD2582D4491}"/>
    <cellStyle name="Normal 5 3 3 2 3 3" xfId="2941" xr:uid="{CA9B2455-C69B-424B-9208-C622E9680D8F}"/>
    <cellStyle name="Normal 5 3 3 2 4" xfId="1785" xr:uid="{00000000-0005-0000-0000-0000F6060000}"/>
    <cellStyle name="Normal 5 3 3 2 4 2" xfId="2943" xr:uid="{2B68DB2A-453F-46EB-B444-CC9524782399}"/>
    <cellStyle name="Normal 5 3 3 2 5" xfId="2936" xr:uid="{990DD3C7-39A7-4BF4-868B-FB0414761A29}"/>
    <cellStyle name="Normal 5 3 3 3" xfId="1786" xr:uid="{00000000-0005-0000-0000-0000F7060000}"/>
    <cellStyle name="Normal 5 3 3 3 2" xfId="1787" xr:uid="{00000000-0005-0000-0000-0000F8060000}"/>
    <cellStyle name="Normal 5 3 3 3 2 2" xfId="1788" xr:uid="{00000000-0005-0000-0000-0000F9060000}"/>
    <cellStyle name="Normal 5 3 3 3 2 2 2" xfId="2946" xr:uid="{DB4A048B-C002-442E-AFFC-A048E11388ED}"/>
    <cellStyle name="Normal 5 3 3 3 2 3" xfId="2945" xr:uid="{567531F8-63FE-413E-9CBE-232FFB905AA4}"/>
    <cellStyle name="Normal 5 3 3 3 3" xfId="1789" xr:uid="{00000000-0005-0000-0000-0000FA060000}"/>
    <cellStyle name="Normal 5 3 3 3 3 2" xfId="2947" xr:uid="{AEF7D0FB-6F4E-421D-988A-6FD4A8C94A4C}"/>
    <cellStyle name="Normal 5 3 3 3 4" xfId="2944" xr:uid="{9CD4F217-1E1F-4568-95E7-CB5B5868266E}"/>
    <cellStyle name="Normal 5 3 3 4" xfId="1790" xr:uid="{00000000-0005-0000-0000-0000FB060000}"/>
    <cellStyle name="Normal 5 3 3 4 2" xfId="1791" xr:uid="{00000000-0005-0000-0000-0000FC060000}"/>
    <cellStyle name="Normal 5 3 3 4 2 2" xfId="2949" xr:uid="{DC740EDF-435E-4B10-BBA3-80BA71C1DBA8}"/>
    <cellStyle name="Normal 5 3 3 4 3" xfId="2948" xr:uid="{B95208AD-595E-4500-94AF-678483462B8B}"/>
    <cellStyle name="Normal 5 3 3 5" xfId="1792" xr:uid="{00000000-0005-0000-0000-0000FD060000}"/>
    <cellStyle name="Normal 5 3 3 5 2" xfId="2950" xr:uid="{5287CE29-38CA-4A85-ADE7-F060C0FE11F4}"/>
    <cellStyle name="Normal 5 3 3 6" xfId="2935" xr:uid="{86C9681C-C8F4-490D-B981-775308182B01}"/>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2 2 2" xfId="2954" xr:uid="{953BEFF6-6E24-4557-84C5-420ADD24F4DE}"/>
    <cellStyle name="Normal 5 3 4 2 2 3" xfId="2953" xr:uid="{F148B1B0-5B05-4E97-B40E-5F7395B0CF2E}"/>
    <cellStyle name="Normal 5 3 4 2 3" xfId="1797" xr:uid="{00000000-0005-0000-0000-000002070000}"/>
    <cellStyle name="Normal 5 3 4 2 3 2" xfId="2955" xr:uid="{56F9957D-4BD3-442F-88DD-5AAD258921FD}"/>
    <cellStyle name="Normal 5 3 4 2 4" xfId="2952" xr:uid="{09A516A1-57F4-4597-B067-0CA509E2D6EB}"/>
    <cellStyle name="Normal 5 3 4 3" xfId="1798" xr:uid="{00000000-0005-0000-0000-000003070000}"/>
    <cellStyle name="Normal 5 3 4 3 2" xfId="1799" xr:uid="{00000000-0005-0000-0000-000004070000}"/>
    <cellStyle name="Normal 5 3 4 3 2 2" xfId="2957" xr:uid="{77DA7D87-7CC9-4028-B9D6-02A2DC738BE6}"/>
    <cellStyle name="Normal 5 3 4 3 3" xfId="2956" xr:uid="{9D1D5376-0F49-47C6-B5C7-9A2C35A2E2E2}"/>
    <cellStyle name="Normal 5 3 4 4" xfId="1800" xr:uid="{00000000-0005-0000-0000-000005070000}"/>
    <cellStyle name="Normal 5 3 4 4 2" xfId="2958" xr:uid="{9A9C9092-C7BA-4877-9BB8-6DCEB5CD7514}"/>
    <cellStyle name="Normal 5 3 4 5" xfId="2951" xr:uid="{5042325C-DDF5-44C8-815F-EEC4F79CDBB3}"/>
    <cellStyle name="Normal 5 3 5" xfId="1801" xr:uid="{00000000-0005-0000-0000-000006070000}"/>
    <cellStyle name="Normal 5 3 5 2" xfId="1802" xr:uid="{00000000-0005-0000-0000-000007070000}"/>
    <cellStyle name="Normal 5 3 5 2 2" xfId="1803" xr:uid="{00000000-0005-0000-0000-000008070000}"/>
    <cellStyle name="Normal 5 3 5 2 2 2" xfId="2961" xr:uid="{A483806B-ED66-46B5-820C-B4F971337A4F}"/>
    <cellStyle name="Normal 5 3 5 2 3" xfId="2960" xr:uid="{353D9F08-815D-4DE9-BD0F-AFA16B9D0C55}"/>
    <cellStyle name="Normal 5 3 5 3" xfId="1804" xr:uid="{00000000-0005-0000-0000-000009070000}"/>
    <cellStyle name="Normal 5 3 5 3 2" xfId="2962" xr:uid="{7BFD2B55-AA53-4C0B-9A66-13ACECCD8FA1}"/>
    <cellStyle name="Normal 5 3 5 4" xfId="2959" xr:uid="{846EBC46-1C7E-4129-8D96-1C63C5BDA734}"/>
    <cellStyle name="Normal 5 3 6" xfId="1805" xr:uid="{00000000-0005-0000-0000-00000A070000}"/>
    <cellStyle name="Normal 5 3 6 2" xfId="1806" xr:uid="{00000000-0005-0000-0000-00000B070000}"/>
    <cellStyle name="Normal 5 3 6 2 2" xfId="2964" xr:uid="{0D943F22-683D-4E3A-BDFD-6A3D5F00D0B9}"/>
    <cellStyle name="Normal 5 3 6 3" xfId="2963" xr:uid="{A1017A97-0CF5-4FFD-A104-227127DA4063}"/>
    <cellStyle name="Normal 5 3 7" xfId="1807" xr:uid="{00000000-0005-0000-0000-00000C070000}"/>
    <cellStyle name="Normal 5 3 7 2" xfId="2965" xr:uid="{912A96CD-87B4-46E9-949F-D7045C2DB675}"/>
    <cellStyle name="Normal 5 3 8" xfId="2058" xr:uid="{D133B7AE-AA80-4BD3-85BE-A7AEDA49178F}"/>
    <cellStyle name="Normal 5 3 9" xfId="3055" xr:uid="{7377752B-BC67-4948-B61F-07BB95322531}"/>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2 2 2" xfId="2971" xr:uid="{B2C820F6-A592-478E-9396-9141AB2FE558}"/>
    <cellStyle name="Normal 5 4 2 2 2 2 3" xfId="2970" xr:uid="{E076AA8F-20A6-4AF8-B9DA-46B4FF3DE58E}"/>
    <cellStyle name="Normal 5 4 2 2 2 3" xfId="1814" xr:uid="{00000000-0005-0000-0000-000013070000}"/>
    <cellStyle name="Normal 5 4 2 2 2 3 2" xfId="2972" xr:uid="{2F4E0A34-498B-4EB0-9BA6-C1B9DC9AC36F}"/>
    <cellStyle name="Normal 5 4 2 2 2 4" xfId="2969" xr:uid="{5E7249EC-5710-4D05-84FA-6949D43984EA}"/>
    <cellStyle name="Normal 5 4 2 2 3" xfId="1815" xr:uid="{00000000-0005-0000-0000-000014070000}"/>
    <cellStyle name="Normal 5 4 2 2 3 2" xfId="1816" xr:uid="{00000000-0005-0000-0000-000015070000}"/>
    <cellStyle name="Normal 5 4 2 2 3 2 2" xfId="2974" xr:uid="{DEB8ACCD-6799-41BB-B9E2-81BAFCF85B52}"/>
    <cellStyle name="Normal 5 4 2 2 3 3" xfId="2973" xr:uid="{0A0DC28E-61F7-4687-BA7E-BDE90E4CD04B}"/>
    <cellStyle name="Normal 5 4 2 2 4" xfId="1817" xr:uid="{00000000-0005-0000-0000-000016070000}"/>
    <cellStyle name="Normal 5 4 2 2 4 2" xfId="2975" xr:uid="{32921067-CB1D-40FA-A741-C0B6B841F64F}"/>
    <cellStyle name="Normal 5 4 2 2 5" xfId="2968" xr:uid="{69678BAE-6423-437F-BAF7-219129796AC7}"/>
    <cellStyle name="Normal 5 4 2 3" xfId="1818" xr:uid="{00000000-0005-0000-0000-000017070000}"/>
    <cellStyle name="Normal 5 4 2 3 2" xfId="1819" xr:uid="{00000000-0005-0000-0000-000018070000}"/>
    <cellStyle name="Normal 5 4 2 3 2 2" xfId="1820" xr:uid="{00000000-0005-0000-0000-000019070000}"/>
    <cellStyle name="Normal 5 4 2 3 2 2 2" xfId="2978" xr:uid="{14AC3B7A-9AE1-4035-8777-A45EB412E35D}"/>
    <cellStyle name="Normal 5 4 2 3 2 3" xfId="2977" xr:uid="{2D8F6849-BEE5-4D53-9B1E-EFE3DAD05F16}"/>
    <cellStyle name="Normal 5 4 2 3 3" xfId="1821" xr:uid="{00000000-0005-0000-0000-00001A070000}"/>
    <cellStyle name="Normal 5 4 2 3 3 2" xfId="2979" xr:uid="{5291F216-A6D4-4876-B1B8-F46284B6D1DE}"/>
    <cellStyle name="Normal 5 4 2 3 4" xfId="2976" xr:uid="{7B8974E5-4457-4193-AF96-F791E8BE7AA0}"/>
    <cellStyle name="Normal 5 4 2 4" xfId="1822" xr:uid="{00000000-0005-0000-0000-00001B070000}"/>
    <cellStyle name="Normal 5 4 2 4 2" xfId="1823" xr:uid="{00000000-0005-0000-0000-00001C070000}"/>
    <cellStyle name="Normal 5 4 2 4 2 2" xfId="2981" xr:uid="{D6DB1DEF-36D4-423D-A0F9-E7B83B9B4262}"/>
    <cellStyle name="Normal 5 4 2 4 3" xfId="2980" xr:uid="{38EB394D-1BA5-4B0D-A132-B71C6FD23FC5}"/>
    <cellStyle name="Normal 5 4 2 5" xfId="1824" xr:uid="{00000000-0005-0000-0000-00001D070000}"/>
    <cellStyle name="Normal 5 4 2 5 2" xfId="2982" xr:uid="{42747DFE-7198-41E7-BCB2-9A34533C13DF}"/>
    <cellStyle name="Normal 5 4 2 6" xfId="2967" xr:uid="{B9797B4E-7DC6-4323-9C87-785BF03F4B0C}"/>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2 2 2" xfId="2986" xr:uid="{1EF62D2A-3311-44B3-B03E-66F0B0365E4C}"/>
    <cellStyle name="Normal 5 4 3 2 2 3" xfId="2985" xr:uid="{F5A240EA-D03B-4660-B806-2EC070C9D2CC}"/>
    <cellStyle name="Normal 5 4 3 2 3" xfId="1829" xr:uid="{00000000-0005-0000-0000-000022070000}"/>
    <cellStyle name="Normal 5 4 3 2 3 2" xfId="2987" xr:uid="{9E89592B-34B5-42E2-9CDF-9C0845551D86}"/>
    <cellStyle name="Normal 5 4 3 2 4" xfId="2984" xr:uid="{FD3A896D-3EF6-4398-8F1F-9355CD653648}"/>
    <cellStyle name="Normal 5 4 3 3" xfId="1830" xr:uid="{00000000-0005-0000-0000-000023070000}"/>
    <cellStyle name="Normal 5 4 3 3 2" xfId="1831" xr:uid="{00000000-0005-0000-0000-000024070000}"/>
    <cellStyle name="Normal 5 4 3 3 2 2" xfId="2989" xr:uid="{C80A5C54-41BD-4CF3-94F1-34D234C91C4B}"/>
    <cellStyle name="Normal 5 4 3 3 3" xfId="2988" xr:uid="{2007A348-23F3-45F0-A862-9ADA08238292}"/>
    <cellStyle name="Normal 5 4 3 4" xfId="1832" xr:uid="{00000000-0005-0000-0000-000025070000}"/>
    <cellStyle name="Normal 5 4 3 4 2" xfId="2990" xr:uid="{8F96AB5E-2D95-4173-80BB-464E9958AFF8}"/>
    <cellStyle name="Normal 5 4 3 5" xfId="2983" xr:uid="{07D190AA-9251-49BB-A807-D341F701DC72}"/>
    <cellStyle name="Normal 5 4 4" xfId="1833" xr:uid="{00000000-0005-0000-0000-000026070000}"/>
    <cellStyle name="Normal 5 4 4 2" xfId="1834" xr:uid="{00000000-0005-0000-0000-000027070000}"/>
    <cellStyle name="Normal 5 4 4 2 2" xfId="1835" xr:uid="{00000000-0005-0000-0000-000028070000}"/>
    <cellStyle name="Normal 5 4 4 2 2 2" xfId="2993" xr:uid="{191FA913-0CE7-4F0F-AAC3-7A31F570DCC0}"/>
    <cellStyle name="Normal 5 4 4 2 3" xfId="2992" xr:uid="{118B9DEF-D87D-4B9E-9DDA-4A5C6E4E6131}"/>
    <cellStyle name="Normal 5 4 4 3" xfId="1836" xr:uid="{00000000-0005-0000-0000-000029070000}"/>
    <cellStyle name="Normal 5 4 4 3 2" xfId="2994" xr:uid="{0AC4B15A-75D5-4F51-926A-DCAD522A7E74}"/>
    <cellStyle name="Normal 5 4 4 4" xfId="2991" xr:uid="{27787527-FC1A-4FCD-8937-C59855E9F361}"/>
    <cellStyle name="Normal 5 4 5" xfId="1837" xr:uid="{00000000-0005-0000-0000-00002A070000}"/>
    <cellStyle name="Normal 5 4 5 2" xfId="1838" xr:uid="{00000000-0005-0000-0000-00002B070000}"/>
    <cellStyle name="Normal 5 4 5 2 2" xfId="2996" xr:uid="{A90A4965-5372-4A00-93F1-95FCCE48073C}"/>
    <cellStyle name="Normal 5 4 5 3" xfId="2995" xr:uid="{F91BAA70-9CE2-4EE1-8F67-8615C32AF7C0}"/>
    <cellStyle name="Normal 5 4 6" xfId="1839" xr:uid="{00000000-0005-0000-0000-00002C070000}"/>
    <cellStyle name="Normal 5 4 6 2" xfId="2997" xr:uid="{1C7A0FDB-E6EE-42ED-B299-B4955A93FE35}"/>
    <cellStyle name="Normal 5 4 7" xfId="1840" xr:uid="{00000000-0005-0000-0000-00002D070000}"/>
    <cellStyle name="Normal 5 4 7 2" xfId="2966" xr:uid="{55EC94BC-A128-432E-96C5-FD1383FEEFC9}"/>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2 2 2" xfId="3002" xr:uid="{BD1E3FAB-7B53-4981-AA61-F6AC0685B583}"/>
    <cellStyle name="Normal 5 5 2 2 2 3" xfId="3001" xr:uid="{53FB8EAF-B07A-4F7E-8A77-9CA2F7C3DA24}"/>
    <cellStyle name="Normal 5 5 2 2 3" xfId="1846" xr:uid="{00000000-0005-0000-0000-000033070000}"/>
    <cellStyle name="Normal 5 5 2 2 3 2" xfId="3003" xr:uid="{CB282DF7-F0E5-400F-95A2-466FF0094C3C}"/>
    <cellStyle name="Normal 5 5 2 2 4" xfId="3000" xr:uid="{0CC2BB05-7EA4-4077-896B-32EBE0AC0564}"/>
    <cellStyle name="Normal 5 5 2 3" xfId="1847" xr:uid="{00000000-0005-0000-0000-000034070000}"/>
    <cellStyle name="Normal 5 5 2 3 2" xfId="1848" xr:uid="{00000000-0005-0000-0000-000035070000}"/>
    <cellStyle name="Normal 5 5 2 3 2 2" xfId="3005" xr:uid="{30BF2515-6EAF-4F7F-8547-A4755E1D605A}"/>
    <cellStyle name="Normal 5 5 2 3 3" xfId="3004" xr:uid="{8E4DA975-C9B8-491A-9F9A-6F5861CD12B9}"/>
    <cellStyle name="Normal 5 5 2 4" xfId="1849" xr:uid="{00000000-0005-0000-0000-000036070000}"/>
    <cellStyle name="Normal 5 5 2 4 2" xfId="3006" xr:uid="{D7E79D24-7F30-4147-BF70-8A2352905127}"/>
    <cellStyle name="Normal 5 5 2 5" xfId="2999" xr:uid="{5EBB7D15-42C7-4DA5-8BEF-980E47789EF9}"/>
    <cellStyle name="Normal 5 5 3" xfId="1850" xr:uid="{00000000-0005-0000-0000-000037070000}"/>
    <cellStyle name="Normal 5 5 3 2" xfId="1851" xr:uid="{00000000-0005-0000-0000-000038070000}"/>
    <cellStyle name="Normal 5 5 3 2 2" xfId="1852" xr:uid="{00000000-0005-0000-0000-000039070000}"/>
    <cellStyle name="Normal 5 5 3 2 2 2" xfId="3009" xr:uid="{5150F44A-3A01-4DC6-B425-6CE1FC9A5797}"/>
    <cellStyle name="Normal 5 5 3 2 3" xfId="3008" xr:uid="{4873B80B-0483-401D-BCEE-42C59211DFDA}"/>
    <cellStyle name="Normal 5 5 3 3" xfId="1853" xr:uid="{00000000-0005-0000-0000-00003A070000}"/>
    <cellStyle name="Normal 5 5 3 3 2" xfId="3010" xr:uid="{F8D0B2B3-8FF8-410A-9242-260A01C1481E}"/>
    <cellStyle name="Normal 5 5 3 4" xfId="3007" xr:uid="{970328C2-6347-4A8A-905A-72A3A7E1A583}"/>
    <cellStyle name="Normal 5 5 4" xfId="1854" xr:uid="{00000000-0005-0000-0000-00003B070000}"/>
    <cellStyle name="Normal 5 5 4 2" xfId="1855" xr:uid="{00000000-0005-0000-0000-00003C070000}"/>
    <cellStyle name="Normal 5 5 4 2 2" xfId="3012" xr:uid="{DEC7B313-0678-4D07-A752-F69CC98A428A}"/>
    <cellStyle name="Normal 5 5 4 3" xfId="3011" xr:uid="{78F2EFF1-B673-4AD8-9786-C334C1A7635E}"/>
    <cellStyle name="Normal 5 5 5" xfId="1856" xr:uid="{00000000-0005-0000-0000-00003D070000}"/>
    <cellStyle name="Normal 5 5 5 2" xfId="3013" xr:uid="{F91F9C16-F1D9-4E29-A23F-5EBDC6BCD5E6}"/>
    <cellStyle name="Normal 5 5 6" xfId="2998" xr:uid="{DD3C1387-022F-4EC5-A463-8EB673FB94A9}"/>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2 2 2" xfId="3017" xr:uid="{A3E5481F-AD18-48A2-8769-FA5D84BC2BC8}"/>
    <cellStyle name="Normal 5 6 2 2 3" xfId="3016" xr:uid="{10C57DDC-5FA3-4ECA-9768-E805F1C998DD}"/>
    <cellStyle name="Normal 5 6 2 3" xfId="1861" xr:uid="{00000000-0005-0000-0000-000042070000}"/>
    <cellStyle name="Normal 5 6 2 3 2" xfId="3018" xr:uid="{C068E157-0367-428C-9D6C-7E9F0FAD1AE1}"/>
    <cellStyle name="Normal 5 6 2 4" xfId="3015" xr:uid="{3D06ACFD-5B68-446C-A4BC-CA9DA3CC4780}"/>
    <cellStyle name="Normal 5 6 3" xfId="1862" xr:uid="{00000000-0005-0000-0000-000043070000}"/>
    <cellStyle name="Normal 5 6 3 2" xfId="1863" xr:uid="{00000000-0005-0000-0000-000044070000}"/>
    <cellStyle name="Normal 5 6 3 2 2" xfId="3020" xr:uid="{EF8AC6B4-4BEC-43D8-9AFF-C74CFA7DB21E}"/>
    <cellStyle name="Normal 5 6 3 3" xfId="3019" xr:uid="{9C6521A6-E267-4FD2-B969-B7584FB16F07}"/>
    <cellStyle name="Normal 5 6 4" xfId="1864" xr:uid="{00000000-0005-0000-0000-000045070000}"/>
    <cellStyle name="Normal 5 6 4 2" xfId="3021" xr:uid="{5A30E22F-EA05-41BE-8D11-CD9E10A94D02}"/>
    <cellStyle name="Normal 5 6 5" xfId="3014" xr:uid="{B32D6DAC-57F1-46D4-80B5-CBCE5EDDFBD5}"/>
    <cellStyle name="Normal 5 7" xfId="1865" xr:uid="{00000000-0005-0000-0000-000046070000}"/>
    <cellStyle name="Normal 5 7 2" xfId="1866" xr:uid="{00000000-0005-0000-0000-000047070000}"/>
    <cellStyle name="Normal 5 7 2 2" xfId="1867" xr:uid="{00000000-0005-0000-0000-000048070000}"/>
    <cellStyle name="Normal 5 7 2 2 2" xfId="3024" xr:uid="{FF5ED676-F89D-4AF0-A218-713F9FEB404C}"/>
    <cellStyle name="Normal 5 7 2 3" xfId="3023" xr:uid="{C909DD80-F4DD-4DD3-8545-7D6C175D4809}"/>
    <cellStyle name="Normal 5 7 3" xfId="1868" xr:uid="{00000000-0005-0000-0000-000049070000}"/>
    <cellStyle name="Normal 5 7 3 2" xfId="3025" xr:uid="{C4AEA5BE-8EC3-41EE-B938-27C721356858}"/>
    <cellStyle name="Normal 5 7 4" xfId="3022" xr:uid="{4B89D288-133D-4C81-A160-E9203BD958DA}"/>
    <cellStyle name="Normal 5 8" xfId="1869" xr:uid="{00000000-0005-0000-0000-00004A070000}"/>
    <cellStyle name="Normal 5 8 2" xfId="1870" xr:uid="{00000000-0005-0000-0000-00004B070000}"/>
    <cellStyle name="Normal 5 8 2 2" xfId="3027" xr:uid="{3EC2B34F-B5C3-45B5-BCA7-C60E79ECCE1B}"/>
    <cellStyle name="Normal 5 8 3" xfId="3026" xr:uid="{D5910D5B-CED6-4610-BA4C-EB7550F70CAB}"/>
    <cellStyle name="Normal 5 9" xfId="1871" xr:uid="{00000000-0005-0000-0000-00004C070000}"/>
    <cellStyle name="Normal 5 9 2" xfId="3028" xr:uid="{3657DAC5-5C66-4272-825F-9E11A883D94F}"/>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Notas 5" xfId="2092" xr:uid="{71AFE4D7-FD47-455A-A2E9-F6E07D60B424}"/>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4 3" xfId="2060" xr:uid="{AD057AF8-289C-4E6C-A923-AD526215F98A}"/>
    <cellStyle name="Porcentaje 5" xfId="1910" xr:uid="{00000000-0005-0000-0000-000072070000}"/>
    <cellStyle name="Porcentaje 6" xfId="1997" xr:uid="{97F3B969-333B-4583-9BBF-8592A8C6E002}"/>
    <cellStyle name="Porcentaje 7" xfId="3031" xr:uid="{B6B9090B-79E2-45F8-9612-B2C7C56E0F2E}"/>
    <cellStyle name="Porcentual 2" xfId="1911" xr:uid="{00000000-0005-0000-0000-000073070000}"/>
    <cellStyle name="Porcentual 2 2" xfId="1912" xr:uid="{00000000-0005-0000-0000-000074070000}"/>
    <cellStyle name="Porcentual 2 2 2" xfId="1913" xr:uid="{00000000-0005-0000-0000-000075070000}"/>
    <cellStyle name="Porcentual 2 2 3" xfId="2062" xr:uid="{73F697D3-0838-4A0A-A5E8-C408D66B9501}"/>
    <cellStyle name="Porcentual 2 2 4" xfId="3057" xr:uid="{1F9ABA50-DD6D-4FA8-BB42-D878678D0512}"/>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2 7" xfId="2061" xr:uid="{D1AC6481-B5BC-40FB-9D97-9B52E7F0BADB}"/>
    <cellStyle name="Porcentual 2 8" xfId="3056" xr:uid="{8D606ED1-5E4D-4C36-A92E-24BD2BD62FAD}"/>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alida 5" xfId="2023" xr:uid="{80F2AB63-1F5D-4339-AF7C-D146AF612FBD}"/>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de advertencia 5" xfId="2027" xr:uid="{1678AA12-8C05-4F2A-84F1-FB3DCDF295CC}"/>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exto explicativo 5" xfId="2028" xr:uid="{1D833FD8-37AD-430F-A21A-50E51E41F111}"/>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2 5" xfId="2017" xr:uid="{787080D9-C5A0-4ABD-82E8-870D90E2FB9E}"/>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3 5" xfId="2018" xr:uid="{5AC67250-D88C-4F28-B6BF-7D0568D5C83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ítulo 6 2" xfId="3030" xr:uid="{AA5E7802-EE88-4100-8EFD-2B491190319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 name="Total 5" xfId="2029" xr:uid="{5DC609BA-CF48-4167-BA16-DEE1BC34F8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3300"/>
      <color rgb="FF199791"/>
      <color rgb="FF000000"/>
      <color rgb="FFFF99CC"/>
      <color rgb="FFFF9933"/>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2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59.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6.xml"/><Relationship Id="rId1" Type="http://schemas.microsoft.com/office/2011/relationships/chartStyle" Target="style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Gráfico N° 1. Proyecciones de la relación producción / demanda mundial de trigo </a:t>
            </a:r>
          </a:p>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temporada 2022/23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'4'!$D$6:$D$17</c:f>
              <c:numCache>
                <c:formatCode>0.00</c:formatCode>
                <c:ptCount val="12"/>
                <c:pt idx="0" formatCode="General">
                  <c:v>774.83</c:v>
                </c:pt>
                <c:pt idx="1">
                  <c:v>773.43</c:v>
                </c:pt>
                <c:pt idx="2" formatCode="General">
                  <c:v>771.64</c:v>
                </c:pt>
                <c:pt idx="3" formatCode="General">
                  <c:v>779.6</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'4'!$E$6:$E$17</c:f>
              <c:numCache>
                <c:formatCode>0.00</c:formatCode>
                <c:ptCount val="12"/>
                <c:pt idx="0" formatCode="General">
                  <c:v>787.52</c:v>
                </c:pt>
                <c:pt idx="1">
                  <c:v>785.99</c:v>
                </c:pt>
                <c:pt idx="2" formatCode="General">
                  <c:v>784.22</c:v>
                </c:pt>
                <c:pt idx="3" formatCode="General">
                  <c:v>788.6</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ax val="800"/>
          <c:min val="70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majorUnit val="10"/>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Argentina y Chile</a:t>
            </a:r>
          </a:p>
          <a:p>
            <a:pPr>
              <a:defRPr sz="900" b="1"/>
            </a:pPr>
            <a:r>
              <a:rPr lang="es-CL" sz="900" b="1"/>
              <a:t>(precios mensuales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21437588761773466"/>
          <c:w val="0.83313149867646341"/>
          <c:h val="0.38262643986698747"/>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'20'!$B$6:$B$23</c:f>
              <c:numCache>
                <c:formatCode>mmm\-yy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'20'!$G$6:$G$23</c:f>
              <c:numCache>
                <c:formatCode>0</c:formatCode>
                <c:ptCount val="18"/>
                <c:pt idx="0">
                  <c:v>205.9375</c:v>
                </c:pt>
                <c:pt idx="1">
                  <c:v>213.75</c:v>
                </c:pt>
                <c:pt idx="5">
                  <c:v>240</c:v>
                </c:pt>
                <c:pt idx="6">
                  <c:v>240</c:v>
                </c:pt>
                <c:pt idx="7">
                  <c:v>255.36666666666667</c:v>
                </c:pt>
                <c:pt idx="8">
                  <c:v>271.10000000000002</c:v>
                </c:pt>
                <c:pt idx="9">
                  <c:v>299.58064516129036</c:v>
                </c:pt>
                <c:pt idx="10">
                  <c:v>307.5</c:v>
                </c:pt>
                <c:pt idx="11">
                  <c:v>314.15509259259261</c:v>
                </c:pt>
                <c:pt idx="12">
                  <c:v>311.08832565284177</c:v>
                </c:pt>
                <c:pt idx="13">
                  <c:v>314.15816326530614</c:v>
                </c:pt>
                <c:pt idx="14">
                  <c:v>321.02150537634407</c:v>
                </c:pt>
                <c:pt idx="15">
                  <c:v>321.66666666666669</c:v>
                </c:pt>
                <c:pt idx="16">
                  <c:v>430</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'20'!$B$6:$B$23</c:f>
              <c:numCache>
                <c:formatCode>mmm\-yy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'20'!$F$6:$F$23</c:f>
              <c:numCache>
                <c:formatCode>0</c:formatCode>
                <c:ptCount val="18"/>
                <c:pt idx="0">
                  <c:v>235.21935483870965</c:v>
                </c:pt>
                <c:pt idx="1">
                  <c:v>228.05</c:v>
                </c:pt>
                <c:pt idx="2">
                  <c:v>226.72774193548386</c:v>
                </c:pt>
                <c:pt idx="3">
                  <c:v>227.636</c:v>
                </c:pt>
                <c:pt idx="4">
                  <c:v>239.34774193548387</c:v>
                </c:pt>
                <c:pt idx="5">
                  <c:v>243.10333333333332</c:v>
                </c:pt>
                <c:pt idx="6">
                  <c:v>251.781935483871</c:v>
                </c:pt>
                <c:pt idx="7">
                  <c:v>269.73161290322582</c:v>
                </c:pt>
                <c:pt idx="8">
                  <c:v>284.89733333333334</c:v>
                </c:pt>
                <c:pt idx="9">
                  <c:v>305.43677419354839</c:v>
                </c:pt>
                <c:pt idx="10">
                  <c:v>323.863</c:v>
                </c:pt>
                <c:pt idx="11">
                  <c:v>340.73096774193544</c:v>
                </c:pt>
                <c:pt idx="12">
                  <c:v>324.30677419354839</c:v>
                </c:pt>
                <c:pt idx="13">
                  <c:v>325.3257142857143</c:v>
                </c:pt>
                <c:pt idx="14">
                  <c:v>393.41967741935485</c:v>
                </c:pt>
                <c:pt idx="15">
                  <c:v>405.56366243244156</c:v>
                </c:pt>
                <c:pt idx="16">
                  <c:v>467.04868495006764</c:v>
                </c:pt>
                <c:pt idx="17">
                  <c:v>484.11451337298496</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'20'!$B$6:$B$23</c:f>
              <c:numCache>
                <c:formatCode>mmm\-yy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'20'!$H$6:$H$23</c:f>
              <c:numCache>
                <c:formatCode>0</c:formatCode>
                <c:ptCount val="18"/>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pt idx="15">
                  <c:v>290.36895454054587</c:v>
                </c:pt>
                <c:pt idx="16">
                  <c:v>350.13848762681442</c:v>
                </c:pt>
                <c:pt idx="17">
                  <c:v>358.36082903826508</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500"/>
          <c:min val="150"/>
        </c:scaling>
        <c:delete val="0"/>
        <c:axPos val="l"/>
        <c:title>
          <c:tx>
            <c:rich>
              <a:bodyPr/>
              <a:lstStyle/>
              <a:p>
                <a:pPr>
                  <a:defRPr/>
                </a:pPr>
                <a:r>
                  <a:rPr lang="es-CL"/>
                  <a:t>$ / kilo</a:t>
                </a:r>
              </a:p>
            </c:rich>
          </c:tx>
          <c:layout>
            <c:manualLayout>
              <c:xMode val="edge"/>
              <c:yMode val="edge"/>
              <c:x val="7.2606149282242755E-3"/>
              <c:y val="0.36269387801290781"/>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7.4846970640985042E-2"/>
          <c:y val="0.74910393668762265"/>
          <c:w val="0.88551197981281282"/>
          <c:h val="0.17234070808389063"/>
        </c:manualLayout>
      </c:layout>
      <c:overlay val="0"/>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r>
              <a:rPr lang="es-CL" b="1"/>
              <a:t>Gráfico 11. Evolución de los precios del trigo HRW en el mercado de futuros de Kansas desde el 5 de</a:t>
            </a:r>
            <a:r>
              <a:rPr lang="es-CL" b="1" baseline="0"/>
              <a:t> abril 2021 al 22 de agosto 2022 </a:t>
            </a:r>
          </a:p>
          <a:p>
            <a:pPr>
              <a:defRPr b="1"/>
            </a:pPr>
            <a:r>
              <a:rPr lang="es-CL" b="1" baseline="0"/>
              <a:t>(</a:t>
            </a:r>
            <a:r>
              <a:rPr lang="es-CL" b="1"/>
              <a:t>precios diarios en USD / tonelada)</a:t>
            </a:r>
          </a:p>
        </c:rich>
      </c:tx>
      <c:layout>
        <c:manualLayout>
          <c:xMode val="edge"/>
          <c:yMode val="edge"/>
          <c:x val="0.14497629516532218"/>
          <c:y val="4.641973255131468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1625067883793085"/>
          <c:y val="0.23647235565462632"/>
          <c:w val="0.7849595749924172"/>
          <c:h val="0.5390717056149078"/>
        </c:manualLayout>
      </c:layout>
      <c:lineChart>
        <c:grouping val="standard"/>
        <c:varyColors val="0"/>
        <c:ser>
          <c:idx val="1"/>
          <c:order val="0"/>
          <c:tx>
            <c:strRef>
              <c:f>'21'!$R$1</c:f>
              <c:strCache>
                <c:ptCount val="1"/>
                <c:pt idx="0">
                  <c:v>dic-21</c:v>
                </c:pt>
              </c:strCache>
            </c:strRef>
          </c:tx>
          <c:spPr>
            <a:ln w="28575" cap="rnd">
              <a:solidFill>
                <a:schemeClr val="accent2"/>
              </a:solidFill>
              <a:round/>
            </a:ln>
            <a:effectLst/>
          </c:spPr>
          <c:marker>
            <c:symbol val="none"/>
          </c:marker>
          <c:cat>
            <c:numRef>
              <c:f>'21'!$L$15:$L$82</c:f>
              <c:numCache>
                <c:formatCode>dd/mm/yyyy;@</c:formatCode>
                <c:ptCount val="68"/>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pt idx="63">
                  <c:v>44733</c:v>
                </c:pt>
                <c:pt idx="64">
                  <c:v>44739</c:v>
                </c:pt>
                <c:pt idx="65">
                  <c:v>44747</c:v>
                </c:pt>
                <c:pt idx="66">
                  <c:v>44753</c:v>
                </c:pt>
                <c:pt idx="67">
                  <c:v>44760</c:v>
                </c:pt>
              </c:numCache>
            </c:numRef>
          </c:cat>
          <c:val>
            <c:numRef>
              <c:f>'21'!$R$2:$R$50</c:f>
            </c:numRef>
          </c:val>
          <c:smooth val="0"/>
          <c:extLst>
            <c:ext xmlns:c16="http://schemas.microsoft.com/office/drawing/2014/chart" uri="{C3380CC4-5D6E-409C-BE32-E72D297353CC}">
              <c16:uniqueId val="{00000002-310F-40EF-AE63-BA1D54FE8F9E}"/>
            </c:ext>
          </c:extLst>
        </c:ser>
        <c:ser>
          <c:idx val="2"/>
          <c:order val="1"/>
          <c:tx>
            <c:strRef>
              <c:f>'21'!$S$1</c:f>
              <c:strCache>
                <c:ptCount val="1"/>
                <c:pt idx="0">
                  <c:v>mar-22</c:v>
                </c:pt>
              </c:strCache>
            </c:strRef>
          </c:tx>
          <c:spPr>
            <a:ln w="28575" cap="rnd">
              <a:solidFill>
                <a:schemeClr val="accent3"/>
              </a:solidFill>
              <a:round/>
            </a:ln>
            <a:effectLst/>
          </c:spPr>
          <c:marker>
            <c:symbol val="none"/>
          </c:marker>
          <c:cat>
            <c:numRef>
              <c:f>'21'!$L$15:$L$82</c:f>
              <c:numCache>
                <c:formatCode>dd/mm/yyyy;@</c:formatCode>
                <c:ptCount val="68"/>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pt idx="63">
                  <c:v>44733</c:v>
                </c:pt>
                <c:pt idx="64">
                  <c:v>44739</c:v>
                </c:pt>
                <c:pt idx="65">
                  <c:v>44747</c:v>
                </c:pt>
                <c:pt idx="66">
                  <c:v>44753</c:v>
                </c:pt>
                <c:pt idx="67">
                  <c:v>44760</c:v>
                </c:pt>
              </c:numCache>
            </c:numRef>
          </c:cat>
          <c:val>
            <c:numRef>
              <c:f>'21'!$S$15:$S$62</c:f>
            </c:numRef>
          </c:val>
          <c:smooth val="0"/>
          <c:extLst>
            <c:ext xmlns:c16="http://schemas.microsoft.com/office/drawing/2014/chart" uri="{C3380CC4-5D6E-409C-BE32-E72D297353CC}">
              <c16:uniqueId val="{00000003-310F-40EF-AE63-BA1D54FE8F9E}"/>
            </c:ext>
          </c:extLst>
        </c:ser>
        <c:ser>
          <c:idx val="3"/>
          <c:order val="2"/>
          <c:tx>
            <c:strRef>
              <c:f>'21'!$AB$1</c:f>
              <c:strCache>
                <c:ptCount val="1"/>
                <c:pt idx="0">
                  <c:v>dic-22</c:v>
                </c:pt>
              </c:strCache>
            </c:strRef>
          </c:tx>
          <c:spPr>
            <a:ln w="28575" cap="rnd">
              <a:solidFill>
                <a:schemeClr val="accent4"/>
              </a:solidFill>
              <a:round/>
            </a:ln>
            <a:effectLst/>
          </c:spPr>
          <c:marker>
            <c:symbol val="none"/>
          </c:marker>
          <c:cat>
            <c:numRef>
              <c:f>'21'!$L$15:$L$82</c:f>
              <c:numCache>
                <c:formatCode>dd/mm/yyyy;@</c:formatCode>
                <c:ptCount val="68"/>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pt idx="63">
                  <c:v>44733</c:v>
                </c:pt>
                <c:pt idx="64">
                  <c:v>44739</c:v>
                </c:pt>
                <c:pt idx="65">
                  <c:v>44747</c:v>
                </c:pt>
                <c:pt idx="66">
                  <c:v>44753</c:v>
                </c:pt>
                <c:pt idx="67">
                  <c:v>44760</c:v>
                </c:pt>
              </c:numCache>
            </c:numRef>
          </c:cat>
          <c:val>
            <c:numRef>
              <c:f>'21'!$AB$15:$AB$82</c:f>
              <c:numCache>
                <c:formatCode>General</c:formatCode>
                <c:ptCount val="68"/>
                <c:pt idx="0">
                  <c:v>223.12794</c:v>
                </c:pt>
                <c:pt idx="1">
                  <c:v>226.89419999999998</c:v>
                </c:pt>
                <c:pt idx="2">
                  <c:v>234.79416000000001</c:v>
                </c:pt>
                <c:pt idx="3">
                  <c:v>252.98244</c:v>
                </c:pt>
                <c:pt idx="4">
                  <c:v>248.4813</c:v>
                </c:pt>
                <c:pt idx="5">
                  <c:v>252.06384</c:v>
                </c:pt>
                <c:pt idx="6" formatCode="0">
                  <c:v>241.04064</c:v>
                </c:pt>
                <c:pt idx="7" formatCode="0">
                  <c:v>239.11158</c:v>
                </c:pt>
                <c:pt idx="8" formatCode="0">
                  <c:v>249.30804000000001</c:v>
                </c:pt>
                <c:pt idx="9" formatCode="0">
                  <c:v>250.13478000000001</c:v>
                </c:pt>
                <c:pt idx="10" formatCode="#,##0">
                  <c:v>244.71503999999999</c:v>
                </c:pt>
                <c:pt idx="11" formatCode="#,##0">
                  <c:v>237.82553999999999</c:v>
                </c:pt>
                <c:pt idx="12" formatCode="#,##0">
                  <c:v>239.75459999999998</c:v>
                </c:pt>
                <c:pt idx="13" formatCode="#,##0">
                  <c:v>228.36395999999999</c:v>
                </c:pt>
                <c:pt idx="14" formatCode="#,##0">
                  <c:v>236.90693999999999</c:v>
                </c:pt>
                <c:pt idx="15" formatCode="#,##0">
                  <c:v>246.27665999999999</c:v>
                </c:pt>
                <c:pt idx="16" formatCode="#,##0">
                  <c:v>242.5104</c:v>
                </c:pt>
                <c:pt idx="17" formatCode="#,##0">
                  <c:v>260.97426000000002</c:v>
                </c:pt>
                <c:pt idx="18" formatCode="0">
                  <c:v>261.43356</c:v>
                </c:pt>
                <c:pt idx="19" formatCode="0">
                  <c:v>268.41492</c:v>
                </c:pt>
                <c:pt idx="20" formatCode="0">
                  <c:v>263.63819999999998</c:v>
                </c:pt>
                <c:pt idx="21" formatCode="0">
                  <c:v>263.27076</c:v>
                </c:pt>
                <c:pt idx="22" formatCode="0">
                  <c:v>265.19981999999999</c:v>
                </c:pt>
                <c:pt idx="23" formatCode="0">
                  <c:v>258.40217999999999</c:v>
                </c:pt>
                <c:pt idx="24" formatCode="0">
                  <c:v>264.09749999999997</c:v>
                </c:pt>
                <c:pt idx="25" formatCode="0">
                  <c:v>267.58817999999997</c:v>
                </c:pt>
                <c:pt idx="26" formatCode="0">
                  <c:v>279.07067999999998</c:v>
                </c:pt>
                <c:pt idx="27" formatCode="0">
                  <c:v>275.58</c:v>
                </c:pt>
                <c:pt idx="28" formatCode="0">
                  <c:v>278.70323999999999</c:v>
                </c:pt>
                <c:pt idx="29" formatCode="0">
                  <c:v>283.57182</c:v>
                </c:pt>
                <c:pt idx="30" formatCode="#,##0">
                  <c:v>293.21711999999997</c:v>
                </c:pt>
                <c:pt idx="31" formatCode="0">
                  <c:v>286.69506000000001</c:v>
                </c:pt>
                <c:pt idx="32" formatCode="0">
                  <c:v>301.02521999999999</c:v>
                </c:pt>
                <c:pt idx="33" formatCode="0">
                  <c:v>312.59958</c:v>
                </c:pt>
                <c:pt idx="34" formatCode="0">
                  <c:v>308.09843999999998</c:v>
                </c:pt>
                <c:pt idx="35" formatCode="0">
                  <c:v>301.85195999999996</c:v>
                </c:pt>
                <c:pt idx="36" formatCode="0">
                  <c:v>297.71825999999999</c:v>
                </c:pt>
                <c:pt idx="37" formatCode="0">
                  <c:v>297.1671</c:v>
                </c:pt>
                <c:pt idx="38" formatCode="0">
                  <c:v>309.38448</c:v>
                </c:pt>
                <c:pt idx="39" formatCode="0">
                  <c:v>292.66595999999998</c:v>
                </c:pt>
                <c:pt idx="40" formatCode="0">
                  <c:v>289.54271999999997</c:v>
                </c:pt>
                <c:pt idx="41" formatCode="0">
                  <c:v>289.54271999999997</c:v>
                </c:pt>
                <c:pt idx="42" formatCode="0">
                  <c:v>304.88333999999998</c:v>
                </c:pt>
                <c:pt idx="43" formatCode="0">
                  <c:v>292.20666</c:v>
                </c:pt>
                <c:pt idx="44" formatCode="0">
                  <c:v>297.81011999999998</c:v>
                </c:pt>
                <c:pt idx="45" formatCode="0">
                  <c:v>309.75191999999998</c:v>
                </c:pt>
                <c:pt idx="46" formatCode="0">
                  <c:v>328.39949999999999</c:v>
                </c:pt>
                <c:pt idx="47" formatCode="0">
                  <c:v>341.16803999999996</c:v>
                </c:pt>
                <c:pt idx="48" formatCode="0">
                  <c:v>419.70833999999996</c:v>
                </c:pt>
                <c:pt idx="49" formatCode="0">
                  <c:v>386.63873999999998</c:v>
                </c:pt>
                <c:pt idx="50" formatCode="0">
                  <c:v>392.05847999999997</c:v>
                </c:pt>
                <c:pt idx="51" formatCode="0">
                  <c:v>389.02709999999996</c:v>
                </c:pt>
                <c:pt idx="52" formatCode="0">
                  <c:v>381.40271999999999</c:v>
                </c:pt>
                <c:pt idx="53" formatCode="0">
                  <c:v>419.61647999999997</c:v>
                </c:pt>
                <c:pt idx="54" formatCode="0">
                  <c:v>432.84431999999998</c:v>
                </c:pt>
                <c:pt idx="55" formatCode="0">
                  <c:v>422.37227999999999</c:v>
                </c:pt>
                <c:pt idx="56" formatCode="0">
                  <c:v>405.93</c:v>
                </c:pt>
                <c:pt idx="57" formatCode="0">
                  <c:v>430.63968</c:v>
                </c:pt>
                <c:pt idx="58" formatCode="0">
                  <c:v>497.78933999999998</c:v>
                </c:pt>
                <c:pt idx="59" formatCode="0">
                  <c:v>472.06853999999998</c:v>
                </c:pt>
                <c:pt idx="60" formatCode="0">
                  <c:v>433.94664</c:v>
                </c:pt>
                <c:pt idx="61" formatCode="0">
                  <c:v>435.96755999999999</c:v>
                </c:pt>
                <c:pt idx="62" formatCode="0">
                  <c:v>432.66</c:v>
                </c:pt>
                <c:pt idx="63" formatCode="0.00">
                  <c:v>388.93523999999996</c:v>
                </c:pt>
                <c:pt idx="64" formatCode="0.00">
                  <c:v>363.30629999999996</c:v>
                </c:pt>
                <c:pt idx="65" formatCode="0.00">
                  <c:v>319.85651999999999</c:v>
                </c:pt>
                <c:pt idx="66" formatCode="0.00">
                  <c:v>339.23897999999997</c:v>
                </c:pt>
                <c:pt idx="67" formatCode="0.00">
                  <c:v>324.08207999999996</c:v>
                </c:pt>
              </c:numCache>
            </c:numRef>
          </c:val>
          <c:smooth val="0"/>
          <c:extLst>
            <c:ext xmlns:c16="http://schemas.microsoft.com/office/drawing/2014/chart" uri="{C3380CC4-5D6E-409C-BE32-E72D297353CC}">
              <c16:uniqueId val="{00000004-310F-40EF-AE63-BA1D54FE8F9E}"/>
            </c:ext>
          </c:extLst>
        </c:ser>
        <c:ser>
          <c:idx val="0"/>
          <c:order val="3"/>
          <c:tx>
            <c:strRef>
              <c:f>'21'!$AC$1</c:f>
              <c:strCache>
                <c:ptCount val="1"/>
                <c:pt idx="0">
                  <c:v>mar-23</c:v>
                </c:pt>
              </c:strCache>
            </c:strRef>
          </c:tx>
          <c:spPr>
            <a:ln w="28575" cap="rnd">
              <a:solidFill>
                <a:schemeClr val="accent1"/>
              </a:solidFill>
              <a:round/>
            </a:ln>
            <a:effectLst/>
          </c:spPr>
          <c:marker>
            <c:symbol val="none"/>
          </c:marker>
          <c:cat>
            <c:numRef>
              <c:f>'21'!$L$15:$L$82</c:f>
              <c:numCache>
                <c:formatCode>dd/mm/yyyy;@</c:formatCode>
                <c:ptCount val="68"/>
                <c:pt idx="0">
                  <c:v>44291</c:v>
                </c:pt>
                <c:pt idx="1">
                  <c:v>44298</c:v>
                </c:pt>
                <c:pt idx="2">
                  <c:v>44305</c:v>
                </c:pt>
                <c:pt idx="3">
                  <c:v>44312</c:v>
                </c:pt>
                <c:pt idx="4">
                  <c:v>44319</c:v>
                </c:pt>
                <c:pt idx="5">
                  <c:v>44326</c:v>
                </c:pt>
                <c:pt idx="6">
                  <c:v>44333</c:v>
                </c:pt>
                <c:pt idx="7">
                  <c:v>44340</c:v>
                </c:pt>
                <c:pt idx="8">
                  <c:v>44348</c:v>
                </c:pt>
                <c:pt idx="9">
                  <c:v>44354</c:v>
                </c:pt>
                <c:pt idx="10">
                  <c:v>44361</c:v>
                </c:pt>
                <c:pt idx="11">
                  <c:v>44368</c:v>
                </c:pt>
                <c:pt idx="12">
                  <c:v>44375</c:v>
                </c:pt>
                <c:pt idx="13">
                  <c:v>44383</c:v>
                </c:pt>
                <c:pt idx="14">
                  <c:v>44389</c:v>
                </c:pt>
                <c:pt idx="15">
                  <c:v>44396</c:v>
                </c:pt>
                <c:pt idx="16">
                  <c:v>44403</c:v>
                </c:pt>
                <c:pt idx="17">
                  <c:v>44410</c:v>
                </c:pt>
                <c:pt idx="18">
                  <c:v>44417</c:v>
                </c:pt>
                <c:pt idx="19">
                  <c:v>44424</c:v>
                </c:pt>
                <c:pt idx="20">
                  <c:v>44431</c:v>
                </c:pt>
                <c:pt idx="21">
                  <c:v>44438</c:v>
                </c:pt>
                <c:pt idx="22">
                  <c:v>44446</c:v>
                </c:pt>
                <c:pt idx="23">
                  <c:v>44452</c:v>
                </c:pt>
                <c:pt idx="24">
                  <c:v>44459</c:v>
                </c:pt>
                <c:pt idx="25">
                  <c:v>44466</c:v>
                </c:pt>
                <c:pt idx="26">
                  <c:v>44473</c:v>
                </c:pt>
                <c:pt idx="27">
                  <c:v>44480</c:v>
                </c:pt>
                <c:pt idx="28">
                  <c:v>44487</c:v>
                </c:pt>
                <c:pt idx="29">
                  <c:v>44494</c:v>
                </c:pt>
                <c:pt idx="30">
                  <c:v>44501</c:v>
                </c:pt>
                <c:pt idx="31">
                  <c:v>44508</c:v>
                </c:pt>
                <c:pt idx="32">
                  <c:v>44515</c:v>
                </c:pt>
                <c:pt idx="33">
                  <c:v>44522</c:v>
                </c:pt>
                <c:pt idx="34">
                  <c:v>44529</c:v>
                </c:pt>
                <c:pt idx="35">
                  <c:v>44536</c:v>
                </c:pt>
                <c:pt idx="36">
                  <c:v>44543</c:v>
                </c:pt>
                <c:pt idx="37">
                  <c:v>44550</c:v>
                </c:pt>
                <c:pt idx="38">
                  <c:v>44557</c:v>
                </c:pt>
                <c:pt idx="39">
                  <c:v>44564</c:v>
                </c:pt>
                <c:pt idx="40">
                  <c:v>44571</c:v>
                </c:pt>
                <c:pt idx="41">
                  <c:v>44579</c:v>
                </c:pt>
                <c:pt idx="42">
                  <c:v>44585</c:v>
                </c:pt>
                <c:pt idx="43">
                  <c:v>44592</c:v>
                </c:pt>
                <c:pt idx="44">
                  <c:v>44599</c:v>
                </c:pt>
                <c:pt idx="45">
                  <c:v>44606</c:v>
                </c:pt>
                <c:pt idx="46">
                  <c:v>44614</c:v>
                </c:pt>
                <c:pt idx="47">
                  <c:v>44620</c:v>
                </c:pt>
                <c:pt idx="48">
                  <c:v>44627</c:v>
                </c:pt>
                <c:pt idx="49">
                  <c:v>44634</c:v>
                </c:pt>
                <c:pt idx="50">
                  <c:v>44641</c:v>
                </c:pt>
                <c:pt idx="51">
                  <c:v>44648</c:v>
                </c:pt>
                <c:pt idx="52">
                  <c:v>44655</c:v>
                </c:pt>
                <c:pt idx="53">
                  <c:v>44662</c:v>
                </c:pt>
                <c:pt idx="54">
                  <c:v>44669</c:v>
                </c:pt>
                <c:pt idx="55">
                  <c:v>44676</c:v>
                </c:pt>
                <c:pt idx="56">
                  <c:v>44683</c:v>
                </c:pt>
                <c:pt idx="57">
                  <c:v>44690</c:v>
                </c:pt>
                <c:pt idx="58">
                  <c:v>44697</c:v>
                </c:pt>
                <c:pt idx="59">
                  <c:v>44704</c:v>
                </c:pt>
                <c:pt idx="60">
                  <c:v>44712</c:v>
                </c:pt>
                <c:pt idx="61">
                  <c:v>44718</c:v>
                </c:pt>
                <c:pt idx="62">
                  <c:v>44725</c:v>
                </c:pt>
                <c:pt idx="63">
                  <c:v>44733</c:v>
                </c:pt>
                <c:pt idx="64">
                  <c:v>44739</c:v>
                </c:pt>
                <c:pt idx="65">
                  <c:v>44747</c:v>
                </c:pt>
                <c:pt idx="66">
                  <c:v>44753</c:v>
                </c:pt>
                <c:pt idx="67">
                  <c:v>44760</c:v>
                </c:pt>
              </c:numCache>
            </c:numRef>
          </c:cat>
          <c:val>
            <c:numRef>
              <c:f>'21'!$AC$15:$AC$82</c:f>
              <c:numCache>
                <c:formatCode>General</c:formatCode>
                <c:ptCount val="68"/>
                <c:pt idx="39" formatCode="0">
                  <c:v>293.12525999999997</c:v>
                </c:pt>
                <c:pt idx="40" formatCode="0">
                  <c:v>290.55318</c:v>
                </c:pt>
                <c:pt idx="41" formatCode="0">
                  <c:v>290.92061999999999</c:v>
                </c:pt>
                <c:pt idx="42" formatCode="0">
                  <c:v>305.15891999999997</c:v>
                </c:pt>
                <c:pt idx="43" formatCode="0">
                  <c:v>293.21711999999997</c:v>
                </c:pt>
                <c:pt idx="44" formatCode="0">
                  <c:v>299.09616</c:v>
                </c:pt>
                <c:pt idx="45" formatCode="0">
                  <c:v>310.48680000000002</c:v>
                </c:pt>
                <c:pt idx="46" formatCode="0">
                  <c:v>328.30763999999999</c:v>
                </c:pt>
                <c:pt idx="47" formatCode="0">
                  <c:v>336.20760000000001</c:v>
                </c:pt>
                <c:pt idx="48" formatCode="0">
                  <c:v>402.80610000000001</c:v>
                </c:pt>
                <c:pt idx="49" formatCode="0">
                  <c:v>374.97251999999997</c:v>
                </c:pt>
                <c:pt idx="50" formatCode="0">
                  <c:v>382.87248</c:v>
                </c:pt>
                <c:pt idx="51" formatCode="0">
                  <c:v>383.23991999999998</c:v>
                </c:pt>
                <c:pt idx="52" formatCode="0">
                  <c:v>378.92250000000001</c:v>
                </c:pt>
                <c:pt idx="53" formatCode="0">
                  <c:v>417.59555999999998</c:v>
                </c:pt>
                <c:pt idx="54" formatCode="0">
                  <c:v>430.45596</c:v>
                </c:pt>
                <c:pt idx="55" formatCode="0">
                  <c:v>420.71879999999999</c:v>
                </c:pt>
                <c:pt idx="56" formatCode="0">
                  <c:v>405.38</c:v>
                </c:pt>
                <c:pt idx="57" formatCode="0">
                  <c:v>429.90479999999997</c:v>
                </c:pt>
                <c:pt idx="58" formatCode="0">
                  <c:v>492.82889999999998</c:v>
                </c:pt>
                <c:pt idx="59" formatCode="0">
                  <c:v>471.7011</c:v>
                </c:pt>
                <c:pt idx="60" formatCode="0">
                  <c:v>434.77337999999997</c:v>
                </c:pt>
                <c:pt idx="61" formatCode="0">
                  <c:v>437.89661999999998</c:v>
                </c:pt>
                <c:pt idx="62" formatCode="0">
                  <c:v>434.31</c:v>
                </c:pt>
                <c:pt idx="63" formatCode="0.00">
                  <c:v>391.59917999999999</c:v>
                </c:pt>
                <c:pt idx="64" formatCode="0.00">
                  <c:v>365.87837999999999</c:v>
                </c:pt>
                <c:pt idx="65" formatCode="0.00">
                  <c:v>322.15301999999997</c:v>
                </c:pt>
                <c:pt idx="66" formatCode="0.00">
                  <c:v>340.61687999999998</c:v>
                </c:pt>
                <c:pt idx="67" formatCode="0.00">
                  <c:v>326.19486000000001</c:v>
                </c:pt>
              </c:numCache>
            </c:numRef>
          </c:val>
          <c:smooth val="0"/>
          <c:extLst>
            <c:ext xmlns:c16="http://schemas.microsoft.com/office/drawing/2014/chart" uri="{C3380CC4-5D6E-409C-BE32-E72D297353CC}">
              <c16:uniqueId val="{00000001-ADD7-4D8E-8E0A-A6B7DC36B6FE}"/>
            </c:ext>
          </c:extLst>
        </c:ser>
        <c:ser>
          <c:idx val="4"/>
          <c:order val="4"/>
          <c:tx>
            <c:strRef>
              <c:f>'21'!$AD$1</c:f>
              <c:strCache>
                <c:ptCount val="1"/>
                <c:pt idx="0">
                  <c:v>sept-23</c:v>
                </c:pt>
              </c:strCache>
            </c:strRef>
          </c:tx>
          <c:spPr>
            <a:ln w="28575" cap="rnd">
              <a:solidFill>
                <a:schemeClr val="accent5"/>
              </a:solidFill>
              <a:round/>
            </a:ln>
            <a:effectLst/>
          </c:spPr>
          <c:marker>
            <c:symbol val="none"/>
          </c:marker>
          <c:val>
            <c:numRef>
              <c:f>'21'!$AD$15:$AD$87</c:f>
              <c:numCache>
                <c:formatCode>General</c:formatCode>
                <c:ptCount val="73"/>
                <c:pt idx="48" formatCode="0">
                  <c:v>306.99612000000002</c:v>
                </c:pt>
                <c:pt idx="49" formatCode="0">
                  <c:v>294.50315999999998</c:v>
                </c:pt>
                <c:pt idx="50" formatCode="0">
                  <c:v>310.02749999999997</c:v>
                </c:pt>
                <c:pt idx="51" formatCode="0">
                  <c:v>323.43905999999998</c:v>
                </c:pt>
                <c:pt idx="52" formatCode="0">
                  <c:v>332.34947999999997</c:v>
                </c:pt>
                <c:pt idx="53" formatCode="0">
                  <c:v>364.22489999999999</c:v>
                </c:pt>
                <c:pt idx="54" formatCode="0">
                  <c:v>383.33177999999998</c:v>
                </c:pt>
                <c:pt idx="55" formatCode="0">
                  <c:v>385.81200000000001</c:v>
                </c:pt>
                <c:pt idx="56" formatCode="0">
                  <c:v>376.63</c:v>
                </c:pt>
                <c:pt idx="57" formatCode="0">
                  <c:v>390.86430000000001</c:v>
                </c:pt>
                <c:pt idx="58" formatCode="0">
                  <c:v>415.66649999999998</c:v>
                </c:pt>
                <c:pt idx="59" formatCode="0">
                  <c:v>411.80838</c:v>
                </c:pt>
                <c:pt idx="60" formatCode="0">
                  <c:v>398.30495999999999</c:v>
                </c:pt>
                <c:pt idx="61" formatCode="0">
                  <c:v>403.81655999999998</c:v>
                </c:pt>
                <c:pt idx="62" formatCode="0">
                  <c:v>405.19</c:v>
                </c:pt>
                <c:pt idx="63" formatCode="0.00">
                  <c:v>368.63418000000001</c:v>
                </c:pt>
                <c:pt idx="64" formatCode="0.00">
                  <c:v>343.09710000000001</c:v>
                </c:pt>
                <c:pt idx="65" formatCode="0.00">
                  <c:v>312.69144</c:v>
                </c:pt>
                <c:pt idx="66" formatCode="0.00">
                  <c:v>328.76693999999998</c:v>
                </c:pt>
                <c:pt idx="67" formatCode="0.00">
                  <c:v>321.41813999999999</c:v>
                </c:pt>
                <c:pt idx="68" formatCode="0.00">
                  <c:v>308.19029999999998</c:v>
                </c:pt>
                <c:pt idx="69" formatCode="0.00">
                  <c:v>317.8356</c:v>
                </c:pt>
                <c:pt idx="70" formatCode="0.00">
                  <c:v>314.80421999999999</c:v>
                </c:pt>
                <c:pt idx="71" formatCode="0.00">
                  <c:v>322.52046000000001</c:v>
                </c:pt>
                <c:pt idx="72" formatCode="0.00">
                  <c:v>314.71235999999999</c:v>
                </c:pt>
              </c:numCache>
            </c:numRef>
          </c:val>
          <c:smooth val="0"/>
          <c:extLst>
            <c:ext xmlns:c16="http://schemas.microsoft.com/office/drawing/2014/chart" uri="{C3380CC4-5D6E-409C-BE32-E72D297353CC}">
              <c16:uniqueId val="{00000001-8125-420E-8611-B4D05F50E02D}"/>
            </c:ext>
          </c:extLst>
        </c:ser>
        <c:ser>
          <c:idx val="5"/>
          <c:order val="5"/>
          <c:tx>
            <c:strRef>
              <c:f>'21'!$AE$1</c:f>
              <c:strCache>
                <c:ptCount val="1"/>
                <c:pt idx="0">
                  <c:v>dic-23</c:v>
                </c:pt>
              </c:strCache>
            </c:strRef>
          </c:tx>
          <c:spPr>
            <a:ln w="28575" cap="rnd">
              <a:solidFill>
                <a:schemeClr val="accent6"/>
              </a:solidFill>
              <a:round/>
            </a:ln>
            <a:effectLst/>
          </c:spPr>
          <c:marker>
            <c:symbol val="none"/>
          </c:marker>
          <c:val>
            <c:numRef>
              <c:f>'21'!$AE$15:$AE$87</c:f>
              <c:numCache>
                <c:formatCode>General</c:formatCode>
                <c:ptCount val="73"/>
                <c:pt idx="65" formatCode="0.00">
                  <c:v>311.12982</c:v>
                </c:pt>
                <c:pt idx="66" formatCode="0.00">
                  <c:v>326.74601999999999</c:v>
                </c:pt>
                <c:pt idx="67" formatCode="0.00">
                  <c:v>321.51</c:v>
                </c:pt>
                <c:pt idx="68" formatCode="0.00">
                  <c:v>308.92518000000001</c:v>
                </c:pt>
                <c:pt idx="69" formatCode="0.00">
                  <c:v>318.38675999999998</c:v>
                </c:pt>
                <c:pt idx="70" formatCode="0.00">
                  <c:v>315.90654000000001</c:v>
                </c:pt>
                <c:pt idx="71" formatCode="0.00">
                  <c:v>322.79604</c:v>
                </c:pt>
                <c:pt idx="72" formatCode="0.00">
                  <c:v>316.09026</c:v>
                </c:pt>
              </c:numCache>
            </c:numRef>
          </c:val>
          <c:smooth val="0"/>
          <c:extLst>
            <c:ext xmlns:c16="http://schemas.microsoft.com/office/drawing/2014/chart" uri="{C3380CC4-5D6E-409C-BE32-E72D297353CC}">
              <c16:uniqueId val="{00000002-8125-420E-8611-B4D05F50E02D}"/>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in val="15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CL"/>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2426900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0">
          <a:solidFill>
            <a:sysClr val="windowText" lastClr="000000"/>
          </a:solidFill>
        </a:defRPr>
      </a:pPr>
      <a:endParaRPr lang="es-CL"/>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2022/23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'28'!$E$6:$E$17</c:f>
              <c:numCache>
                <c:formatCode>#,##0</c:formatCode>
                <c:ptCount val="12"/>
                <c:pt idx="0">
                  <c:v>1180.72</c:v>
                </c:pt>
                <c:pt idx="1">
                  <c:v>1185.81</c:v>
                </c:pt>
                <c:pt idx="2">
                  <c:v>1185.9000000000001</c:v>
                </c:pt>
                <c:pt idx="3">
                  <c:v>1179.6099999999999</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'28'!$F$6:$F$17</c:f>
              <c:numCache>
                <c:formatCode>#,##0</c:formatCode>
                <c:ptCount val="12"/>
                <c:pt idx="0" formatCode="0">
                  <c:v>1184.97</c:v>
                </c:pt>
                <c:pt idx="1">
                  <c:v>1186.28</c:v>
                </c:pt>
                <c:pt idx="2">
                  <c:v>1185.24</c:v>
                </c:pt>
                <c:pt idx="3">
                  <c:v>1184.77</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agosto 2022 (millones de toneladas)</a:t>
            </a:r>
          </a:p>
        </c:rich>
      </c:tx>
      <c:layout>
        <c:manualLayout>
          <c:xMode val="edge"/>
          <c:yMode val="edge"/>
          <c:x val="0.23998504503483828"/>
          <c:y val="9.1497444398397562E-3"/>
        </c:manualLayout>
      </c:layout>
      <c:overlay val="0"/>
      <c:spPr>
        <a:solidFill>
          <a:sysClr val="window" lastClr="FFFFFF"/>
        </a:solidFill>
      </c:spPr>
    </c:title>
    <c:autoTitleDeleted val="0"/>
    <c:plotArea>
      <c:layout>
        <c:manualLayout>
          <c:layoutTarget val="inner"/>
          <c:xMode val="edge"/>
          <c:yMode val="edge"/>
          <c:x val="9.4408864404072201E-2"/>
          <c:y val="0.17109915715981047"/>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5.158068879385877E-2"/>
                  <c:y val="-5.266578715858304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3.0695443645083934E-2"/>
                  <c:y val="-6.5789473684210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dLbl>
              <c:idx val="10"/>
              <c:layout>
                <c:manualLayout>
                  <c:x val="-2.0169240574095994E-2"/>
                  <c:y val="4.82715869361951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DE-4B6C-BCAC-8A9F61EDE11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'29'!$B$6:$B$16</c:f>
              <c:strCache>
                <c:ptCount val="11"/>
                <c:pt idx="0">
                  <c:v>2012/2013</c:v>
                </c:pt>
                <c:pt idx="1">
                  <c:v>2013/14</c:v>
                </c:pt>
                <c:pt idx="2">
                  <c:v>2014/2015</c:v>
                </c:pt>
                <c:pt idx="3">
                  <c:v>2015/2016</c:v>
                </c:pt>
                <c:pt idx="4">
                  <c:v>2016/2017 </c:v>
                </c:pt>
                <c:pt idx="5">
                  <c:v>2017/18 </c:v>
                </c:pt>
                <c:pt idx="6">
                  <c:v>2018/19 </c:v>
                </c:pt>
                <c:pt idx="7">
                  <c:v>2019/20 </c:v>
                </c:pt>
                <c:pt idx="8">
                  <c:v>2020/21 </c:v>
                </c:pt>
                <c:pt idx="9">
                  <c:v>2021/22 estimado</c:v>
                </c:pt>
                <c:pt idx="10">
                  <c:v>2022/23 proyectado</c:v>
                </c:pt>
              </c:strCache>
            </c:strRef>
          </c:cat>
          <c:val>
            <c:numRef>
              <c:f>'29'!$D$6:$D$16</c:f>
              <c:numCache>
                <c:formatCode>#,##0</c:formatCode>
                <c:ptCount val="11"/>
                <c:pt idx="0">
                  <c:v>867.96600000000001</c:v>
                </c:pt>
                <c:pt idx="1">
                  <c:v>990.47</c:v>
                </c:pt>
                <c:pt idx="2">
                  <c:v>1015.57</c:v>
                </c:pt>
                <c:pt idx="3">
                  <c:v>972.21</c:v>
                </c:pt>
                <c:pt idx="4">
                  <c:v>1123.4100000000001</c:v>
                </c:pt>
                <c:pt idx="5">
                  <c:v>1080.0899999999999</c:v>
                </c:pt>
                <c:pt idx="6">
                  <c:v>1124.92</c:v>
                </c:pt>
                <c:pt idx="7">
                  <c:v>1120.1300000000001</c:v>
                </c:pt>
                <c:pt idx="8">
                  <c:v>1129.44</c:v>
                </c:pt>
                <c:pt idx="9">
                  <c:v>1218.76</c:v>
                </c:pt>
                <c:pt idx="10">
                  <c:v>1179.6099999999999</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5.701754385964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dLbl>
              <c:idx val="10"/>
              <c:layout>
                <c:manualLayout>
                  <c:x val="-2.2186164631505592E-2"/>
                  <c:y val="-5.7048239106412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DE-4B6C-BCAC-8A9F61EDE110}"/>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'29'!$B$6:$B$16</c:f>
              <c:strCache>
                <c:ptCount val="11"/>
                <c:pt idx="0">
                  <c:v>2012/2013</c:v>
                </c:pt>
                <c:pt idx="1">
                  <c:v>2013/14</c:v>
                </c:pt>
                <c:pt idx="2">
                  <c:v>2014/2015</c:v>
                </c:pt>
                <c:pt idx="3">
                  <c:v>2015/2016</c:v>
                </c:pt>
                <c:pt idx="4">
                  <c:v>2016/2017 </c:v>
                </c:pt>
                <c:pt idx="5">
                  <c:v>2017/18 </c:v>
                </c:pt>
                <c:pt idx="6">
                  <c:v>2018/19 </c:v>
                </c:pt>
                <c:pt idx="7">
                  <c:v>2019/20 </c:v>
                </c:pt>
                <c:pt idx="8">
                  <c:v>2020/21 </c:v>
                </c:pt>
                <c:pt idx="9">
                  <c:v>2021/22 estimado</c:v>
                </c:pt>
                <c:pt idx="10">
                  <c:v>2022/23 proyectado</c:v>
                </c:pt>
              </c:strCache>
            </c:strRef>
          </c:cat>
          <c:val>
            <c:numRef>
              <c:f>'29'!$E$6:$E$16</c:f>
              <c:numCache>
                <c:formatCode>#,##0</c:formatCode>
                <c:ptCount val="11"/>
                <c:pt idx="0">
                  <c:v>864.69399999999996</c:v>
                </c:pt>
                <c:pt idx="1">
                  <c:v>948.85</c:v>
                </c:pt>
                <c:pt idx="2">
                  <c:v>980.58</c:v>
                </c:pt>
                <c:pt idx="3">
                  <c:v>968.01</c:v>
                </c:pt>
                <c:pt idx="4">
                  <c:v>1084.1400000000001</c:v>
                </c:pt>
                <c:pt idx="5">
                  <c:v>1090.45</c:v>
                </c:pt>
                <c:pt idx="6">
                  <c:v>1144.82</c:v>
                </c:pt>
                <c:pt idx="7">
                  <c:v>1136.17</c:v>
                </c:pt>
                <c:pt idx="8">
                  <c:v>1144.02</c:v>
                </c:pt>
                <c:pt idx="9">
                  <c:v>1199.8</c:v>
                </c:pt>
                <c:pt idx="10">
                  <c:v>1184.77</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'29'!$G$6:$G$16</c:f>
              <c:numCache>
                <c:formatCode>0%</c:formatCode>
                <c:ptCount val="11"/>
                <c:pt idx="0">
                  <c:v>0.1593627341001557</c:v>
                </c:pt>
                <c:pt idx="1">
                  <c:v>0.18446540549085735</c:v>
                </c:pt>
                <c:pt idx="2">
                  <c:v>0.21392441208264495</c:v>
                </c:pt>
                <c:pt idx="3">
                  <c:v>0.22099978306009235</c:v>
                </c:pt>
                <c:pt idx="4">
                  <c:v>0.32326083347169182</c:v>
                </c:pt>
                <c:pt idx="5">
                  <c:v>0.31326516575725616</c:v>
                </c:pt>
                <c:pt idx="6">
                  <c:v>0.28045456927726631</c:v>
                </c:pt>
                <c:pt idx="7">
                  <c:v>0.26965154862388552</c:v>
                </c:pt>
                <c:pt idx="8">
                  <c:v>0.25601825142917078</c:v>
                </c:pt>
                <c:pt idx="9">
                  <c:v>0.25990998499749957</c:v>
                </c:pt>
                <c:pt idx="10">
                  <c:v>0.25885192906640109</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570150560750337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2019/19</c:v>
                </c:pt>
                <c:pt idx="10">
                  <c:v>2020/21</c:v>
                </c:pt>
                <c:pt idx="11">
                  <c:v>2021/22</c:v>
                </c:pt>
              </c:strCache>
            </c:strRef>
          </c:cat>
          <c:val>
            <c:numRef>
              <c:f>'31'!$D$6:$D$17</c:f>
              <c:numCache>
                <c:formatCode>_-* #,##0_-;\-* #,##0_-;_-* \-_-;_-@_-</c:formatCode>
                <c:ptCount val="12"/>
                <c:pt idx="0">
                  <c:v>1379.6980000000001</c:v>
                </c:pt>
                <c:pt idx="1">
                  <c:v>1413.644</c:v>
                </c:pt>
                <c:pt idx="2">
                  <c:v>1411.057</c:v>
                </c:pt>
                <c:pt idx="3">
                  <c:v>1115.732</c:v>
                </c:pt>
                <c:pt idx="4">
                  <c:v>1517.8920000000001</c:v>
                </c:pt>
                <c:pt idx="5">
                  <c:v>1149.0391</c:v>
                </c:pt>
                <c:pt idx="6">
                  <c:v>1039.675</c:v>
                </c:pt>
                <c:pt idx="7">
                  <c:v>1087.9098671827173</c:v>
                </c:pt>
                <c:pt idx="8">
                  <c:v>951.06949999999995</c:v>
                </c:pt>
                <c:pt idx="9">
                  <c:v>565.88379999999995</c:v>
                </c:pt>
                <c:pt idx="10">
                  <c:v>771.68575999999996</c:v>
                </c:pt>
                <c:pt idx="11">
                  <c:v>590.22189327079298</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2019/19</c:v>
                </c:pt>
                <c:pt idx="10">
                  <c:v>2020/21</c:v>
                </c:pt>
                <c:pt idx="11">
                  <c:v>2021/22</c:v>
                </c:pt>
              </c:strCache>
            </c:strRef>
          </c:cat>
          <c:val>
            <c:numRef>
              <c:f>'31'!$C$6:$C$17</c:f>
              <c:numCache>
                <c:formatCode>_-* #,##0_-;\-* #,##0_-;_-* \-_-;_-@_-</c:formatCode>
                <c:ptCount val="12"/>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pt idx="10">
                  <c:v>59.728000000000002</c:v>
                </c:pt>
                <c:pt idx="11">
                  <c:v>48.314</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2019/19</c:v>
                </c:pt>
                <c:pt idx="10">
                  <c:v>2020/21</c:v>
                </c:pt>
                <c:pt idx="11">
                  <c:v>2021/22</c:v>
                </c:pt>
              </c:strCache>
            </c:strRef>
          </c:cat>
          <c:val>
            <c:numRef>
              <c:f>'31'!$E$6:$E$17</c:f>
              <c:numCache>
                <c:formatCode>0.0</c:formatCode>
                <c:ptCount val="12"/>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pt idx="9">
                  <c:v>103.49198046782128</c:v>
                </c:pt>
                <c:pt idx="10">
                  <c:v>129.19999999999999</c:v>
                </c:pt>
                <c:pt idx="11">
                  <c:v>122.16373996580556</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91731699713E-2"/>
          <c:y val="0.85418933938768171"/>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strRef>
              <c:f>'35'!$B$7:$B$19</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'35'!$C$7:$C$19</c:f>
              <c:numCache>
                <c:formatCode>#,##0_);\(#,##0\)</c:formatCode>
                <c:ptCount val="13"/>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pt idx="10">
                  <c:v>565884</c:v>
                </c:pt>
                <c:pt idx="11">
                  <c:v>771960</c:v>
                </c:pt>
                <c:pt idx="12">
                  <c:v>590221.89327079302</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strRef>
              <c:f>'35'!$B$7:$B$19</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'35'!$E$7:$E$18</c:f>
              <c:numCache>
                <c:formatCode>#,##0_);\(#,##0\)</c:formatCode>
                <c:ptCount val="12"/>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pt idx="10">
                  <c:v>2788006.5392800001</c:v>
                </c:pt>
                <c:pt idx="11">
                  <c:v>2341186.7386500002</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'35'!$B$7:$B$15</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'35'!$G$7:$G$18</c:f>
              <c:numCache>
                <c:formatCode>#,##0_);\(#,##0\)</c:formatCode>
                <c:ptCount val="12"/>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c:v>3317777.7</c:v>
                </c:pt>
                <c:pt idx="10">
                  <c:v>3353890.5392800001</c:v>
                </c:pt>
                <c:pt idx="11" formatCode="#,##0_);\(#,##0\)">
                  <c:v>3113146.7386500002</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2018 - 2022</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2018</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2019</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2020</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189863.11424</c:v>
                </c:pt>
                <c:pt idx="1">
                  <c:v>210122.08674999996</c:v>
                </c:pt>
                <c:pt idx="2">
                  <c:v>236367.36278</c:v>
                </c:pt>
                <c:pt idx="3">
                  <c:v>163687.78844</c:v>
                </c:pt>
                <c:pt idx="4">
                  <c:v>154544.45334000001</c:v>
                </c:pt>
                <c:pt idx="5">
                  <c:v>176351.1024</c:v>
                </c:pt>
                <c:pt idx="6">
                  <c:v>314078.46445999999</c:v>
                </c:pt>
                <c:pt idx="7">
                  <c:v>320739.91644</c:v>
                </c:pt>
                <c:pt idx="8">
                  <c:v>269826.26050999999</c:v>
                </c:pt>
                <c:pt idx="9">
                  <c:v>349715.25824</c:v>
                </c:pt>
                <c:pt idx="10">
                  <c:v>211944.91768000001</c:v>
                </c:pt>
                <c:pt idx="11">
                  <c:v>190765.81400000001</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2021</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169319.18</c:v>
                </c:pt>
                <c:pt idx="1">
                  <c:v>228790.80032999997</c:v>
                </c:pt>
                <c:pt idx="2">
                  <c:v>169998.05799999999</c:v>
                </c:pt>
                <c:pt idx="3">
                  <c:v>124958.82113000001</c:v>
                </c:pt>
                <c:pt idx="4">
                  <c:v>137570.77900000001</c:v>
                </c:pt>
                <c:pt idx="5">
                  <c:v>157439.008</c:v>
                </c:pt>
                <c:pt idx="6">
                  <c:v>169547.18582999997</c:v>
                </c:pt>
                <c:pt idx="7">
                  <c:v>176857.652</c:v>
                </c:pt>
                <c:pt idx="8">
                  <c:v>245239.02699000001</c:v>
                </c:pt>
                <c:pt idx="9">
                  <c:v>285503.50107</c:v>
                </c:pt>
                <c:pt idx="10">
                  <c:v>251377.48130000001</c:v>
                </c:pt>
                <c:pt idx="11">
                  <c:v>224585.245</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2022</c:v>
                </c:pt>
              </c:strCache>
            </c:strRef>
          </c:tx>
          <c:invertIfNegative val="0"/>
          <c:val>
            <c:numRef>
              <c:f>'36'!$G$7:$G$18</c:f>
              <c:numCache>
                <c:formatCode>#,##0</c:formatCode>
                <c:ptCount val="12"/>
                <c:pt idx="0">
                  <c:v>166933.17012999998</c:v>
                </c:pt>
                <c:pt idx="1">
                  <c:v>152294.36619</c:v>
                </c:pt>
                <c:pt idx="2">
                  <c:v>134324.87856000001</c:v>
                </c:pt>
                <c:pt idx="3">
                  <c:v>109000.40353999998</c:v>
                </c:pt>
                <c:pt idx="4">
                  <c:v>256508.59538999994</c:v>
                </c:pt>
                <c:pt idx="5">
                  <c:v>261464.76532999999</c:v>
                </c:pt>
                <c:pt idx="6">
                  <c:v>166119.04785</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j-lt"/>
                <a:ea typeface="+mn-ea"/>
                <a:cs typeface="+mn-cs"/>
              </a:defRPr>
            </a:pPr>
            <a:r>
              <a:rPr lang="es-CL" sz="1100" b="1"/>
              <a:t>Gráfico N° 6. Chile. Participación por país de origen en las </a:t>
            </a:r>
          </a:p>
          <a:p>
            <a:pPr>
              <a:defRPr sz="1100" b="1"/>
            </a:pPr>
            <a:r>
              <a:rPr lang="es-CL" sz="1100" b="1"/>
              <a:t>importaciones de maíz grano 2022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j-lt"/>
              <a:ea typeface="+mn-ea"/>
              <a:cs typeface="+mn-cs"/>
            </a:defRPr>
          </a:pPr>
          <a:endParaRPr lang="es-CL"/>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04D-4846-BC24-39C4DCC3BF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04D-4846-BC24-39C4DCC3BFB0}"/>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404D-4846-BC24-39C4DCC3BFB0}"/>
              </c:ext>
            </c:extLst>
          </c:dPt>
          <c:dPt>
            <c:idx val="3"/>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7-404D-4846-BC24-39C4DCC3BFB0}"/>
              </c:ext>
            </c:extLst>
          </c:dPt>
          <c:dLbls>
            <c:dLbl>
              <c:idx val="0"/>
              <c:layout>
                <c:manualLayout>
                  <c:x val="0.21277656396115868"/>
                  <c:y val="1.731948532374230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04D-4846-BC24-39C4DCC3BFB0}"/>
                </c:ext>
              </c:extLst>
            </c:dLbl>
            <c:dLbl>
              <c:idx val="1"/>
              <c:layout>
                <c:manualLayout>
                  <c:x val="0.28351657552268489"/>
                  <c:y val="-7.20507307117606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404D-4846-BC24-39C4DCC3BFB0}"/>
                </c:ext>
              </c:extLst>
            </c:dLbl>
            <c:dLbl>
              <c:idx val="2"/>
              <c:layout>
                <c:manualLayout>
                  <c:x val="-0.24338967576628975"/>
                  <c:y val="5.299662203165579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404D-4846-BC24-39C4DCC3BFB0}"/>
                </c:ext>
              </c:extLst>
            </c:dLbl>
            <c:dLbl>
              <c:idx val="3"/>
              <c:layout>
                <c:manualLayout>
                  <c:x val="0.29012536068206851"/>
                  <c:y val="0.1208388515509464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404D-4846-BC24-39C4DCC3BFB0}"/>
                </c:ext>
              </c:extLst>
            </c:dLbl>
            <c:spPr>
              <a:noFill/>
              <a:ln>
                <a:solidFill>
                  <a:schemeClr val="bg1">
                    <a:lumMod val="85000"/>
                  </a:schemeClr>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es-CL"/>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'[2]37'!$M$10:$P$10</c:f>
              <c:strCache>
                <c:ptCount val="4"/>
                <c:pt idx="0">
                  <c:v>Argentina</c:v>
                </c:pt>
                <c:pt idx="1">
                  <c:v>Estados Unidos</c:v>
                </c:pt>
                <c:pt idx="2">
                  <c:v>Paraguay</c:v>
                </c:pt>
                <c:pt idx="3">
                  <c:v>Otros</c:v>
                </c:pt>
              </c:strCache>
            </c:strRef>
          </c:cat>
          <c:val>
            <c:numRef>
              <c:f>'37'!$M$11:$P$11</c:f>
              <c:numCache>
                <c:formatCode>0.00%</c:formatCode>
                <c:ptCount val="4"/>
                <c:pt idx="0" formatCode="0.0%">
                  <c:v>0.98779242921681509</c:v>
                </c:pt>
                <c:pt idx="1">
                  <c:v>3.3484695642551759E-4</c:v>
                </c:pt>
                <c:pt idx="2">
                  <c:v>0</c:v>
                </c:pt>
                <c:pt idx="3">
                  <c:v>1.1872723826759388E-2</c:v>
                </c:pt>
              </c:numCache>
            </c:numRef>
          </c:val>
          <c:extLst>
            <c:ext xmlns:c16="http://schemas.microsoft.com/office/drawing/2014/chart" uri="{C3380CC4-5D6E-409C-BE32-E72D297353CC}">
              <c16:uniqueId val="{00000008-404D-4846-BC24-39C4DCC3BF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mj-l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agosto 2022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1120040127048598"/>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5.4809598311611699E-3"/>
                  <c:y val="1.79272644876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dLbl>
              <c:idx val="10"/>
              <c:layout>
                <c:manualLayout>
                  <c:x val="-9.7106234220236936E-3"/>
                  <c:y val="3.2479249368459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C6-41C3-B451-399FB8289B3C}"/>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'5'!$C$6:$C$16</c:f>
              <c:numCache>
                <c:formatCode>#,##0</c:formatCode>
                <c:ptCount val="11"/>
                <c:pt idx="0">
                  <c:v>658.649</c:v>
                </c:pt>
                <c:pt idx="1">
                  <c:v>715.36</c:v>
                </c:pt>
                <c:pt idx="2">
                  <c:v>728.26</c:v>
                </c:pt>
                <c:pt idx="3">
                  <c:v>735.21</c:v>
                </c:pt>
                <c:pt idx="4">
                  <c:v>756.4</c:v>
                </c:pt>
                <c:pt idx="5">
                  <c:v>762.88</c:v>
                </c:pt>
                <c:pt idx="6">
                  <c:v>731</c:v>
                </c:pt>
                <c:pt idx="7">
                  <c:v>762.37</c:v>
                </c:pt>
                <c:pt idx="8">
                  <c:v>774.28</c:v>
                </c:pt>
                <c:pt idx="9">
                  <c:v>779.24</c:v>
                </c:pt>
                <c:pt idx="10">
                  <c:v>779.6</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dLbl>
              <c:idx val="9"/>
              <c:layout>
                <c:manualLayout>
                  <c:x val="-2.2335970218706376E-2"/>
                  <c:y val="-5.7553956834532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93-49F6-9ED3-CB5D09FAA67F}"/>
                </c:ext>
              </c:extLst>
            </c:dLbl>
            <c:dLbl>
              <c:idx val="10"/>
              <c:layout>
                <c:manualLayout>
                  <c:x val="-1.1652748106428575E-2"/>
                  <c:y val="-5.774088776614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C6-41C3-B451-399FB8289B3C}"/>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'5'!$D$6:$D$16</c:f>
              <c:numCache>
                <c:formatCode>#,##0</c:formatCode>
                <c:ptCount val="11"/>
                <c:pt idx="0">
                  <c:v>679.38300000000004</c:v>
                </c:pt>
                <c:pt idx="1">
                  <c:v>698.33</c:v>
                </c:pt>
                <c:pt idx="2">
                  <c:v>705.74</c:v>
                </c:pt>
                <c:pt idx="3">
                  <c:v>711.16</c:v>
                </c:pt>
                <c:pt idx="4">
                  <c:v>739.09</c:v>
                </c:pt>
                <c:pt idx="5">
                  <c:v>741.98</c:v>
                </c:pt>
                <c:pt idx="6">
                  <c:v>734.81</c:v>
                </c:pt>
                <c:pt idx="7">
                  <c:v>746.75</c:v>
                </c:pt>
                <c:pt idx="8">
                  <c:v>782.22</c:v>
                </c:pt>
                <c:pt idx="9">
                  <c:v>793.16</c:v>
                </c:pt>
                <c:pt idx="10">
                  <c:v>788.6</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marker>
            <c:spPr>
              <a:solidFill>
                <a:srgbClr val="00B050"/>
              </a:solidFill>
            </c:spPr>
          </c:marker>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'5'!$G$6:$G$16</c:f>
              <c:numCache>
                <c:formatCode>0%</c:formatCode>
                <c:ptCount val="11"/>
                <c:pt idx="0">
                  <c:v>0.26039803763120356</c:v>
                </c:pt>
                <c:pt idx="1">
                  <c:v>0.27793450088067245</c:v>
                </c:pt>
                <c:pt idx="2">
                  <c:v>0.30776206534984551</c:v>
                </c:pt>
                <c:pt idx="3">
                  <c:v>0.34132965858597225</c:v>
                </c:pt>
                <c:pt idx="4">
                  <c:v>0.35459822213803455</c:v>
                </c:pt>
                <c:pt idx="5">
                  <c:v>0.38234184209816974</c:v>
                </c:pt>
                <c:pt idx="6">
                  <c:v>0.38563710346892399</c:v>
                </c:pt>
                <c:pt idx="7">
                  <c:v>0.39749581519919652</c:v>
                </c:pt>
                <c:pt idx="8">
                  <c:v>0.37108486103653698</c:v>
                </c:pt>
                <c:pt idx="9">
                  <c:v>0.34841646073932125</c:v>
                </c:pt>
                <c:pt idx="10">
                  <c:v>0.33900583312198829</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2017 - 2022</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7181372946938335"/>
        </c:manualLayout>
      </c:layout>
      <c:barChart>
        <c:barDir val="col"/>
        <c:grouping val="clustered"/>
        <c:varyColors val="0"/>
        <c:ser>
          <c:idx val="2"/>
          <c:order val="0"/>
          <c:tx>
            <c:strRef>
              <c:f>'38'!$B$8</c:f>
              <c:strCache>
                <c:ptCount val="1"/>
                <c:pt idx="0">
                  <c:v>2017</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2-F3A3-416E-AE85-D0BC37D0BBCB}"/>
            </c:ext>
          </c:extLst>
        </c:ser>
        <c:ser>
          <c:idx val="0"/>
          <c:order val="1"/>
          <c:tx>
            <c:strRef>
              <c:f>'38'!$B$9</c:f>
              <c:strCache>
                <c:ptCount val="1"/>
                <c:pt idx="0">
                  <c:v>2018</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3-F3A3-416E-AE85-D0BC37D0BBCB}"/>
            </c:ext>
          </c:extLst>
        </c:ser>
        <c:ser>
          <c:idx val="1"/>
          <c:order val="2"/>
          <c:tx>
            <c:strRef>
              <c:f>'38'!$B$10</c:f>
              <c:strCache>
                <c:ptCount val="1"/>
                <c:pt idx="0">
                  <c:v>2019 </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4-F3A3-416E-AE85-D0BC37D0BBCB}"/>
            </c:ext>
          </c:extLst>
        </c:ser>
        <c:ser>
          <c:idx val="5"/>
          <c:order val="3"/>
          <c:tx>
            <c:strRef>
              <c:f>'38'!$B$11</c:f>
              <c:strCache>
                <c:ptCount val="1"/>
                <c:pt idx="0">
                  <c:v>2020</c:v>
                </c:pt>
              </c:strCache>
            </c:strRef>
          </c:tx>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38067.715980000001</c:v>
                </c:pt>
                <c:pt idx="1">
                  <c:v>14745.50964</c:v>
                </c:pt>
                <c:pt idx="2">
                  <c:v>42658.128199999999</c:v>
                </c:pt>
              </c:numCache>
            </c:numRef>
          </c:val>
          <c:extLst>
            <c:ext xmlns:c16="http://schemas.microsoft.com/office/drawing/2014/chart" uri="{C3380CC4-5D6E-409C-BE32-E72D297353CC}">
              <c16:uniqueId val="{00000005-F3A3-416E-AE85-D0BC37D0BBCB}"/>
            </c:ext>
          </c:extLst>
        </c:ser>
        <c:ser>
          <c:idx val="3"/>
          <c:order val="4"/>
          <c:tx>
            <c:strRef>
              <c:f>'38'!$B$12</c:f>
              <c:strCache>
                <c:ptCount val="1"/>
                <c:pt idx="0">
                  <c:v>2021</c:v>
                </c:pt>
              </c:strCache>
            </c:strRef>
          </c:tx>
          <c:invertIfNegative val="0"/>
          <c:val>
            <c:numRef>
              <c:f>'38'!$D$12:$F$12</c:f>
              <c:numCache>
                <c:formatCode>#,##0</c:formatCode>
                <c:ptCount val="3"/>
                <c:pt idx="0">
                  <c:v>150229.49423000001</c:v>
                </c:pt>
                <c:pt idx="1">
                  <c:v>24343.472229999999</c:v>
                </c:pt>
                <c:pt idx="2">
                  <c:v>56254.025810000006</c:v>
                </c:pt>
              </c:numCache>
            </c:numRef>
          </c:val>
          <c:extLst>
            <c:ext xmlns:c16="http://schemas.microsoft.com/office/drawing/2014/chart" uri="{C3380CC4-5D6E-409C-BE32-E72D297353CC}">
              <c16:uniqueId val="{00000003-DE12-43EE-BE02-6530F71D274D}"/>
            </c:ext>
          </c:extLst>
        </c:ser>
        <c:ser>
          <c:idx val="4"/>
          <c:order val="5"/>
          <c:tx>
            <c:strRef>
              <c:f>'38'!$B$13</c:f>
              <c:strCache>
                <c:ptCount val="1"/>
                <c:pt idx="0">
                  <c:v>2022*</c:v>
                </c:pt>
              </c:strCache>
            </c:strRef>
          </c:tx>
          <c:invertIfNegative val="0"/>
          <c:val>
            <c:numRef>
              <c:f>'38'!$D$13:$F$13</c:f>
              <c:numCache>
                <c:formatCode>#,##0</c:formatCode>
                <c:ptCount val="3"/>
                <c:pt idx="0">
                  <c:v>100694.69413</c:v>
                </c:pt>
                <c:pt idx="1">
                  <c:v>2981.4173799999999</c:v>
                </c:pt>
                <c:pt idx="2">
                  <c:v>26472.243450000002</c:v>
                </c:pt>
              </c:numCache>
            </c:numRef>
          </c:val>
          <c:extLst>
            <c:ext xmlns:c16="http://schemas.microsoft.com/office/drawing/2014/chart" uri="{C3380CC4-5D6E-409C-BE32-E72D297353CC}">
              <c16:uniqueId val="{00000001-00B1-494E-A1D5-088669502365}"/>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7.967102035094277E-2"/>
          <c:h val="0.58815665835364883"/>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2942973549217876"/>
          <c:y val="0.18283556660680569"/>
          <c:w val="0.84070594018557043"/>
          <c:h val="0.5851636966431828"/>
        </c:manualLayout>
      </c:layout>
      <c:lineChart>
        <c:grouping val="standard"/>
        <c:varyColors val="0"/>
        <c:ser>
          <c:idx val="1"/>
          <c:order val="0"/>
          <c:tx>
            <c:strRef>
              <c:f>'39'!$E$7</c:f>
              <c:strCache>
                <c:ptCount val="1"/>
                <c:pt idx="0">
                  <c:v>Maíz partido</c:v>
                </c:pt>
              </c:strCache>
            </c:strRef>
          </c:tx>
          <c:cat>
            <c:strRef>
              <c:f>'39'!$C$8:$C$13</c:f>
              <c:strCache>
                <c:ptCount val="6"/>
                <c:pt idx="0">
                  <c:v>2017</c:v>
                </c:pt>
                <c:pt idx="1">
                  <c:v>2018</c:v>
                </c:pt>
                <c:pt idx="2">
                  <c:v>2019</c:v>
                </c:pt>
                <c:pt idx="3">
                  <c:v>2020</c:v>
                </c:pt>
                <c:pt idx="4">
                  <c:v>2021</c:v>
                </c:pt>
                <c:pt idx="5">
                  <c:v>2022*</c:v>
                </c:pt>
              </c:strCache>
            </c:strRef>
          </c:cat>
          <c:val>
            <c:numRef>
              <c:f>'39'!$E$8:$E$13</c:f>
              <c:numCache>
                <c:formatCode>#,##0</c:formatCode>
                <c:ptCount val="6"/>
                <c:pt idx="0">
                  <c:v>287</c:v>
                </c:pt>
                <c:pt idx="1">
                  <c:v>342.94811407654373</c:v>
                </c:pt>
                <c:pt idx="2">
                  <c:v>345.8535247035349</c:v>
                </c:pt>
                <c:pt idx="3" formatCode="0">
                  <c:v>257.31901991061619</c:v>
                </c:pt>
                <c:pt idx="4" formatCode="0">
                  <c:v>264.49502859820183</c:v>
                </c:pt>
                <c:pt idx="5" formatCode="0">
                  <c:v>299.48438975884017</c:v>
                </c:pt>
              </c:numCache>
            </c:numRef>
          </c:val>
          <c:smooth val="0"/>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cat>
            <c:strRef>
              <c:f>'39'!$C$8:$C$13</c:f>
              <c:strCache>
                <c:ptCount val="6"/>
                <c:pt idx="0">
                  <c:v>2017</c:v>
                </c:pt>
                <c:pt idx="1">
                  <c:v>2018</c:v>
                </c:pt>
                <c:pt idx="2">
                  <c:v>2019</c:v>
                </c:pt>
                <c:pt idx="3">
                  <c:v>2020</c:v>
                </c:pt>
                <c:pt idx="4">
                  <c:v>2021</c:v>
                </c:pt>
                <c:pt idx="5">
                  <c:v>2022*</c:v>
                </c:pt>
              </c:strCache>
            </c:strRef>
          </c:cat>
          <c:val>
            <c:numRef>
              <c:f>'39'!$F$8:$F$13</c:f>
              <c:numCache>
                <c:formatCode>#,##0</c:formatCode>
                <c:ptCount val="6"/>
                <c:pt idx="0">
                  <c:v>178</c:v>
                </c:pt>
                <c:pt idx="1">
                  <c:v>169.25566820801745</c:v>
                </c:pt>
                <c:pt idx="2">
                  <c:v>207.776432</c:v>
                </c:pt>
                <c:pt idx="3" formatCode="0">
                  <c:v>200.62101157614845</c:v>
                </c:pt>
                <c:pt idx="4" formatCode="0">
                  <c:v>268.66382933764186</c:v>
                </c:pt>
                <c:pt idx="5" formatCode="0">
                  <c:v>426.22410753639855</c:v>
                </c:pt>
              </c:numCache>
            </c:numRef>
          </c:val>
          <c:smooth val="0"/>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cat>
            <c:strRef>
              <c:f>'39'!$C$8:$C$13</c:f>
              <c:strCache>
                <c:ptCount val="6"/>
                <c:pt idx="0">
                  <c:v>2017</c:v>
                </c:pt>
                <c:pt idx="1">
                  <c:v>2018</c:v>
                </c:pt>
                <c:pt idx="2">
                  <c:v>2019</c:v>
                </c:pt>
                <c:pt idx="3">
                  <c:v>2020</c:v>
                </c:pt>
                <c:pt idx="4">
                  <c:v>2021</c:v>
                </c:pt>
                <c:pt idx="5">
                  <c:v>2022*</c:v>
                </c:pt>
              </c:strCache>
            </c:strRef>
          </c:cat>
          <c:val>
            <c:numRef>
              <c:f>'39'!$G$8:$G$13</c:f>
              <c:numCache>
                <c:formatCode>#,##0</c:formatCode>
                <c:ptCount val="6"/>
                <c:pt idx="0">
                  <c:v>351</c:v>
                </c:pt>
                <c:pt idx="1">
                  <c:v>399.55360741689088</c:v>
                </c:pt>
                <c:pt idx="2">
                  <c:v>393.02788645411334</c:v>
                </c:pt>
                <c:pt idx="3" formatCode="0">
                  <c:v>382.46888508762504</c:v>
                </c:pt>
                <c:pt idx="4" formatCode="0">
                  <c:v>470.49695920919117</c:v>
                </c:pt>
                <c:pt idx="5" formatCode="0">
                  <c:v>549.0070180569644</c:v>
                </c:pt>
              </c:numCache>
            </c:numRef>
          </c:val>
          <c:smooth val="0"/>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marker val="1"/>
        <c:smooth val="0"/>
        <c:axId val="946216448"/>
        <c:axId val="984100224"/>
        <c:extLst>
          <c:ext xmlns:c15="http://schemas.microsoft.com/office/drawing/2012/chart" uri="{02D57815-91ED-43cb-92C2-25804820EDAC}">
            <c15:filteredLineSeries>
              <c15:ser>
                <c:idx val="3"/>
                <c:order val="3"/>
                <c:tx>
                  <c:strRef>
                    <c:extLst>
                      <c:ext uri="{02D57815-91ED-43cb-92C2-25804820EDAC}">
                        <c15:formulaRef>
                          <c15:sqref>'37'!#REF!</c15:sqref>
                        </c15:formulaRef>
                      </c:ext>
                    </c:extLst>
                    <c:strCache>
                      <c:ptCount val="1"/>
                      <c:pt idx="0">
                        <c:v>#¡REF!</c:v>
                      </c:pt>
                    </c:strCache>
                  </c:strRef>
                </c:tx>
                <c:cat>
                  <c:strRef>
                    <c:extLst>
                      <c:ext uri="{02D57815-91ED-43cb-92C2-25804820EDAC}">
                        <c15:formulaRef>
                          <c15:sqref>'39'!$C$8:$C$13</c15:sqref>
                        </c15:formulaRef>
                      </c:ext>
                    </c:extLst>
                    <c:strCache>
                      <c:ptCount val="6"/>
                      <c:pt idx="0">
                        <c:v>2017</c:v>
                      </c:pt>
                      <c:pt idx="1">
                        <c:v>2018</c:v>
                      </c:pt>
                      <c:pt idx="2">
                        <c:v>2019</c:v>
                      </c:pt>
                      <c:pt idx="3">
                        <c:v>2020</c:v>
                      </c:pt>
                      <c:pt idx="4">
                        <c:v>2021</c:v>
                      </c:pt>
                      <c:pt idx="5">
                        <c:v>2022*</c:v>
                      </c:pt>
                    </c:strCache>
                  </c:strRef>
                </c:cat>
                <c:val>
                  <c:numRef>
                    <c:extLst>
                      <c:ext uri="{02D57815-91ED-43cb-92C2-25804820EDAC}">
                        <c15:formulaRef>
                          <c15:sqref>'37'!#REF!</c15:sqref>
                        </c15:formulaRef>
                      </c:ext>
                    </c:extLst>
                    <c:numCache>
                      <c:formatCode>General</c:formatCode>
                      <c:ptCount val="1"/>
                      <c:pt idx="0">
                        <c:v>1</c:v>
                      </c:pt>
                    </c:numCache>
                  </c:numRef>
                </c:val>
                <c:smooth val="0"/>
                <c:extLst>
                  <c:ext xmlns:c16="http://schemas.microsoft.com/office/drawing/2014/chart" uri="{C3380CC4-5D6E-409C-BE32-E72D297353CC}">
                    <c16:uniqueId val="{00000004-3991-432A-9A38-D3DA5DA21343}"/>
                  </c:ext>
                </c:extLst>
              </c15:ser>
            </c15:filteredLineSeries>
          </c:ext>
        </c:extLst>
      </c:line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6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5203972310478748"/>
          <c:w val="0.95348687664041998"/>
          <c:h val="9.727801568663567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2018 - 2022</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3"/>
          <c:order val="0"/>
          <c:tx>
            <c:strRef>
              <c:f>'40'!$C$6</c:f>
              <c:strCache>
                <c:ptCount val="1"/>
                <c:pt idx="0">
                  <c:v>2018</c:v>
                </c:pt>
              </c:strCache>
            </c:strRef>
          </c:tx>
          <c:val>
            <c:numRef>
              <c:f>'40'!$C$7:$C$18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0-D41B-4B8E-A67C-354E7B9DC70B}"/>
            </c:ext>
          </c:extLst>
        </c:ser>
        <c:ser>
          <c:idx val="5"/>
          <c:order val="1"/>
          <c:tx>
            <c:strRef>
              <c:f>'40'!$D$6</c:f>
              <c:strCache>
                <c:ptCount val="1"/>
                <c:pt idx="0">
                  <c:v>2019</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0-8C46-4ACD-8E92-028C8AB7B211}"/>
            </c:ext>
          </c:extLst>
        </c:ser>
        <c:ser>
          <c:idx val="0"/>
          <c:order val="2"/>
          <c:tx>
            <c:strRef>
              <c:f>'40'!$E$6</c:f>
              <c:strCache>
                <c:ptCount val="1"/>
                <c:pt idx="0">
                  <c:v>2020</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14667</c:v>
                </c:pt>
                <c:pt idx="1">
                  <c:v>14667</c:v>
                </c:pt>
                <c:pt idx="2">
                  <c:v>15658.064516129034</c:v>
                </c:pt>
                <c:pt idx="3">
                  <c:v>16630</c:v>
                </c:pt>
                <c:pt idx="4">
                  <c:v>16008</c:v>
                </c:pt>
                <c:pt idx="5">
                  <c:v>15900</c:v>
                </c:pt>
                <c:pt idx="6">
                  <c:v>15500</c:v>
                </c:pt>
                <c:pt idx="7">
                  <c:v>15500</c:v>
                </c:pt>
                <c:pt idx="8">
                  <c:v>16475</c:v>
                </c:pt>
                <c:pt idx="9">
                  <c:v>18000</c:v>
                </c:pt>
                <c:pt idx="10">
                  <c:v>19000</c:v>
                </c:pt>
              </c:numCache>
            </c:numRef>
          </c:val>
          <c:smooth val="0"/>
          <c:extLst>
            <c:ext xmlns:c16="http://schemas.microsoft.com/office/drawing/2014/chart" uri="{C3380CC4-5D6E-409C-BE32-E72D297353CC}">
              <c16:uniqueId val="{00000001-8C46-4ACD-8E92-028C8AB7B211}"/>
            </c:ext>
          </c:extLst>
        </c:ser>
        <c:ser>
          <c:idx val="1"/>
          <c:order val="3"/>
          <c:tx>
            <c:strRef>
              <c:f>'40'!$F$6</c:f>
              <c:strCache>
                <c:ptCount val="1"/>
                <c:pt idx="0">
                  <c:v>2021</c:v>
                </c:pt>
              </c:strCache>
            </c:strRef>
          </c:tx>
          <c:val>
            <c:numRef>
              <c:f>'40'!$F$7:$F$18</c:f>
              <c:numCache>
                <c:formatCode>#,##0_ ;\-#,##0\ </c:formatCode>
                <c:ptCount val="12"/>
                <c:pt idx="2">
                  <c:v>20766.666666666668</c:v>
                </c:pt>
                <c:pt idx="3">
                  <c:v>20484.313725490196</c:v>
                </c:pt>
                <c:pt idx="4">
                  <c:v>20700</c:v>
                </c:pt>
                <c:pt idx="5">
                  <c:v>21105</c:v>
                </c:pt>
                <c:pt idx="6">
                  <c:v>22454.545454545456</c:v>
                </c:pt>
                <c:pt idx="7">
                  <c:v>23875</c:v>
                </c:pt>
                <c:pt idx="8">
                  <c:v>23722.222222222223</c:v>
                </c:pt>
                <c:pt idx="9">
                  <c:v>24605.263157894737</c:v>
                </c:pt>
                <c:pt idx="10">
                  <c:v>27000</c:v>
                </c:pt>
              </c:numCache>
            </c:numRef>
          </c:val>
          <c:smooth val="0"/>
          <c:extLst>
            <c:ext xmlns:c16="http://schemas.microsoft.com/office/drawing/2014/chart" uri="{C3380CC4-5D6E-409C-BE32-E72D297353CC}">
              <c16:uniqueId val="{00000002-8C46-4ACD-8E92-028C8AB7B211}"/>
            </c:ext>
          </c:extLst>
        </c:ser>
        <c:ser>
          <c:idx val="2"/>
          <c:order val="4"/>
          <c:tx>
            <c:strRef>
              <c:f>'40'!$G$6</c:f>
              <c:strCache>
                <c:ptCount val="1"/>
                <c:pt idx="0">
                  <c:v>2022</c:v>
                </c:pt>
              </c:strCache>
            </c:strRef>
          </c:tx>
          <c:val>
            <c:numRef>
              <c:f>'40'!$G$7:$G$17</c:f>
              <c:numCache>
                <c:formatCode>#,##0_ ;\-#,##0\ </c:formatCode>
                <c:ptCount val="11"/>
                <c:pt idx="2">
                  <c:v>30508.333333333332</c:v>
                </c:pt>
                <c:pt idx="3">
                  <c:v>30635.616438356163</c:v>
                </c:pt>
                <c:pt idx="4" formatCode="#,##0">
                  <c:v>30819.512195121952</c:v>
                </c:pt>
                <c:pt idx="5" formatCode="#,##0">
                  <c:v>30119.23076923077</c:v>
                </c:pt>
                <c:pt idx="6" formatCode="#,##0">
                  <c:v>30428.571428571428</c:v>
                </c:pt>
              </c:numCache>
            </c:numRef>
          </c:val>
          <c:smooth val="0"/>
          <c:extLst>
            <c:ext xmlns:c16="http://schemas.microsoft.com/office/drawing/2014/chart" uri="{C3380CC4-5D6E-409C-BE32-E72D297353CC}">
              <c16:uniqueId val="{00000000-BED7-4F68-AA74-4EC02DD3B059}"/>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32000"/>
          <c:min val="1080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314319988769636"/>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'42'!$B$6:$B$23</c:f>
              <c:numCache>
                <c:formatCode>mmm/yyyy;@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'42'!$C$6:$C$23</c:f>
              <c:numCache>
                <c:formatCode>#,##0</c:formatCode>
                <c:ptCount val="18"/>
                <c:pt idx="0">
                  <c:v>184869.58</c:v>
                </c:pt>
                <c:pt idx="1">
                  <c:v>179089.39290000001</c:v>
                </c:pt>
                <c:pt idx="2">
                  <c:v>171009.28909999999</c:v>
                </c:pt>
                <c:pt idx="3">
                  <c:v>181563.52499999999</c:v>
                </c:pt>
                <c:pt idx="4">
                  <c:v>192388.54860000001</c:v>
                </c:pt>
                <c:pt idx="5">
                  <c:v>180596.0478</c:v>
                </c:pt>
                <c:pt idx="6">
                  <c:v>177929.32400000002</c:v>
                </c:pt>
                <c:pt idx="7">
                  <c:v>185521.557</c:v>
                </c:pt>
                <c:pt idx="8">
                  <c:v>188502.19650000002</c:v>
                </c:pt>
                <c:pt idx="9">
                  <c:v>195199.30009999999</c:v>
                </c:pt>
                <c:pt idx="10">
                  <c:v>204373.93</c:v>
                </c:pt>
                <c:pt idx="11">
                  <c:v>220601.37600000002</c:v>
                </c:pt>
                <c:pt idx="12">
                  <c:v>223951.0815</c:v>
                </c:pt>
                <c:pt idx="13">
                  <c:v>231798.5747</c:v>
                </c:pt>
                <c:pt idx="14">
                  <c:v>268487.88050000003</c:v>
                </c:pt>
                <c:pt idx="15">
                  <c:v>257577.92</c:v>
                </c:pt>
                <c:pt idx="16">
                  <c:v>267303.033</c:v>
                </c:pt>
                <c:pt idx="17">
                  <c:v>256130.12200000003</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'42'!$B$6:$B$23</c:f>
              <c:numCache>
                <c:formatCode>mmm/yyyy;@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'42'!$D$6:$D$23</c:f>
              <c:numCache>
                <c:formatCode>#,##0</c:formatCode>
                <c:ptCount val="18"/>
                <c:pt idx="0">
                  <c:v>177879.99039999998</c:v>
                </c:pt>
                <c:pt idx="1">
                  <c:v>182803.71109999999</c:v>
                </c:pt>
                <c:pt idx="2">
                  <c:v>182130.01380000002</c:v>
                </c:pt>
                <c:pt idx="3">
                  <c:v>195253.34399999998</c:v>
                </c:pt>
                <c:pt idx="4">
                  <c:v>222666.7212</c:v>
                </c:pt>
                <c:pt idx="5">
                  <c:v>220533.9516</c:v>
                </c:pt>
                <c:pt idx="6">
                  <c:v>212749.74000000002</c:v>
                </c:pt>
                <c:pt idx="7">
                  <c:v>204455.82940000002</c:v>
                </c:pt>
                <c:pt idx="8">
                  <c:v>219102.948</c:v>
                </c:pt>
                <c:pt idx="9">
                  <c:v>212974.7886</c:v>
                </c:pt>
                <c:pt idx="10">
                  <c:v>217262.08320000002</c:v>
                </c:pt>
                <c:pt idx="11">
                  <c:v>232463.58239999998</c:v>
                </c:pt>
                <c:pt idx="12">
                  <c:v>233388.21550000002</c:v>
                </c:pt>
                <c:pt idx="13">
                  <c:v>243073.34260000003</c:v>
                </c:pt>
                <c:pt idx="14">
                  <c:v>287860.24609999999</c:v>
                </c:pt>
                <c:pt idx="15">
                  <c:v>290109.35920000001</c:v>
                </c:pt>
                <c:pt idx="16">
                  <c:v>298815.402</c:v>
                </c:pt>
                <c:pt idx="17">
                  <c:v>293286.65975200001</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'42'!$B$6:$B$23</c:f>
              <c:numCache>
                <c:formatCode>mmm/yyyy;@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'42'!$E$6:$E$23</c:f>
              <c:numCache>
                <c:formatCode>#,##0</c:formatCode>
                <c:ptCount val="18"/>
                <c:pt idx="2">
                  <c:v>207666.66666666669</c:v>
                </c:pt>
                <c:pt idx="3">
                  <c:v>204843.13725490196</c:v>
                </c:pt>
                <c:pt idx="4">
                  <c:v>207000</c:v>
                </c:pt>
                <c:pt idx="5">
                  <c:v>211050</c:v>
                </c:pt>
                <c:pt idx="6">
                  <c:v>224545.45454545456</c:v>
                </c:pt>
                <c:pt idx="7">
                  <c:v>238750</c:v>
                </c:pt>
                <c:pt idx="8">
                  <c:v>237222.22222222222</c:v>
                </c:pt>
                <c:pt idx="9">
                  <c:v>246052.63157894736</c:v>
                </c:pt>
                <c:pt idx="10">
                  <c:v>270000</c:v>
                </c:pt>
                <c:pt idx="14">
                  <c:v>305083.33333333331</c:v>
                </c:pt>
                <c:pt idx="15">
                  <c:v>306181.81818181818</c:v>
                </c:pt>
                <c:pt idx="16">
                  <c:v>308195.12195121951</c:v>
                </c:pt>
                <c:pt idx="17">
                  <c:v>301192.30769230769</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'42'!$B$6:$B$23</c:f>
              <c:numCache>
                <c:formatCode>mmm/yyyy;@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'42'!$F$6:$F$23</c:f>
              <c:numCache>
                <c:formatCode>#,##0</c:formatCode>
                <c:ptCount val="18"/>
                <c:pt idx="0">
                  <c:v>211783.83736774194</c:v>
                </c:pt>
                <c:pt idx="1">
                  <c:v>207290.11847500002</c:v>
                </c:pt>
                <c:pt idx="2">
                  <c:v>200314.10971612902</c:v>
                </c:pt>
                <c:pt idx="3">
                  <c:v>214592.74980000002</c:v>
                </c:pt>
                <c:pt idx="4">
                  <c:v>229326.1886774193</c:v>
                </c:pt>
                <c:pt idx="5">
                  <c:v>221365.48629333329</c:v>
                </c:pt>
                <c:pt idx="6">
                  <c:v>218950.94433548389</c:v>
                </c:pt>
                <c:pt idx="7">
                  <c:v>229297.24854838711</c:v>
                </c:pt>
                <c:pt idx="8">
                  <c:v>240269.99028666667</c:v>
                </c:pt>
                <c:pt idx="9">
                  <c:v>254696.19292580648</c:v>
                </c:pt>
                <c:pt idx="10">
                  <c:v>257811.95759666667</c:v>
                </c:pt>
                <c:pt idx="11">
                  <c:v>278468.04696774192</c:v>
                </c:pt>
                <c:pt idx="12">
                  <c:v>281692.06228064513</c:v>
                </c:pt>
                <c:pt idx="13">
                  <c:v>289365.90606785711</c:v>
                </c:pt>
                <c:pt idx="14">
                  <c:v>325961.54034516128</c:v>
                </c:pt>
                <c:pt idx="15">
                  <c:v>313187.45085741091</c:v>
                </c:pt>
                <c:pt idx="16">
                  <c:v>328317.9417258529</c:v>
                </c:pt>
                <c:pt idx="17">
                  <c:v>323023.16319260158</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'42'!$B$6:$B$23</c:f>
              <c:numCache>
                <c:formatCode>mmm/yyyy;@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'42'!$G$6:$G$23</c:f>
              <c:numCache>
                <c:formatCode>#,##0</c:formatCode>
                <c:ptCount val="18"/>
                <c:pt idx="0">
                  <c:v>204608.6494516129</c:v>
                </c:pt>
                <c:pt idx="1">
                  <c:v>210700.34007499999</c:v>
                </c:pt>
                <c:pt idx="2">
                  <c:v>219557.6423870968</c:v>
                </c:pt>
                <c:pt idx="3">
                  <c:v>223486.54144</c:v>
                </c:pt>
                <c:pt idx="4">
                  <c:v>253766.05066451611</c:v>
                </c:pt>
                <c:pt idx="5">
                  <c:v>261293.41720666667</c:v>
                </c:pt>
                <c:pt idx="6">
                  <c:v>253709.40120645161</c:v>
                </c:pt>
                <c:pt idx="7">
                  <c:v>260123.74867419357</c:v>
                </c:pt>
                <c:pt idx="8">
                  <c:v>273469.78865666664</c:v>
                </c:pt>
                <c:pt idx="9">
                  <c:v>270655.19530322577</c:v>
                </c:pt>
                <c:pt idx="10">
                  <c:v>268216.5852733333</c:v>
                </c:pt>
                <c:pt idx="11">
                  <c:v>309285.57103225804</c:v>
                </c:pt>
                <c:pt idx="12">
                  <c:v>340306.0012483871</c:v>
                </c:pt>
                <c:pt idx="13">
                  <c:v>307708.69703571423</c:v>
                </c:pt>
                <c:pt idx="14">
                  <c:v>351935.53192903224</c:v>
                </c:pt>
                <c:pt idx="15">
                  <c:v>353409.80923928082</c:v>
                </c:pt>
                <c:pt idx="16">
                  <c:v>368536.53333264327</c:v>
                </c:pt>
                <c:pt idx="17">
                  <c:v>358602.98037731141</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extLst>
          <c:ext xmlns:c15="http://schemas.microsoft.com/office/drawing/2012/chart" uri="{02D57815-91ED-43cb-92C2-25804820EDAC}">
            <c15:filteredLineSeries>
              <c15:ser>
                <c:idx val="5"/>
                <c:order val="5"/>
                <c:cat>
                  <c:numRef>
                    <c:extLst>
                      <c:ext uri="{02D57815-91ED-43cb-92C2-25804820EDAC}">
                        <c15:formulaRef>
                          <c15:sqref>'42'!$B$6:$B$23</c15:sqref>
                        </c15:formulaRef>
                      </c:ext>
                    </c:extLst>
                    <c:numCache>
                      <c:formatCode>mmm/yyyy;@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Lit>
                    <c:formatCode>General</c:formatCode>
                    <c:ptCount val="1"/>
                    <c:pt idx="0">
                      <c:v>204373.93</c:v>
                    </c:pt>
                  </c:numLit>
                </c:val>
                <c:smooth val="0"/>
                <c:extLst>
                  <c:ext xmlns:c16="http://schemas.microsoft.com/office/drawing/2014/chart" uri="{C3380CC4-5D6E-409C-BE32-E72D297353CC}">
                    <c16:uniqueId val="{00000001-62C6-4DCE-A2E5-38F90A3FE4F0}"/>
                  </c:ext>
                </c:extLst>
              </c15:ser>
            </c15:filteredLineSeries>
            <c15:filteredLineSeries>
              <c15:ser>
                <c:idx val="6"/>
                <c:order val="6"/>
                <c:cat>
                  <c:numRef>
                    <c:extLst xmlns:c15="http://schemas.microsoft.com/office/drawing/2012/chart">
                      <c:ext xmlns:c15="http://schemas.microsoft.com/office/drawing/2012/chart" uri="{02D57815-91ED-43cb-92C2-25804820EDAC}">
                        <c15:formulaRef>
                          <c15:sqref>'42'!$B$6:$B$23</c15:sqref>
                        </c15:formulaRef>
                      </c:ext>
                    </c:extLst>
                    <c:numCache>
                      <c:formatCode>mmm/yyyy;@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Lit>
                    <c:formatCode>General</c:formatCode>
                    <c:ptCount val="1"/>
                    <c:pt idx="0">
                      <c:v>217262.08320000002</c:v>
                    </c:pt>
                  </c:numLit>
                </c:val>
                <c:smooth val="0"/>
                <c:extLst xmlns:c15="http://schemas.microsoft.com/office/drawing/2012/chart">
                  <c:ext xmlns:c16="http://schemas.microsoft.com/office/drawing/2014/chart" uri="{C3380CC4-5D6E-409C-BE32-E72D297353CC}">
                    <c16:uniqueId val="{00000002-62C6-4DCE-A2E5-38F90A3FE4F0}"/>
                  </c:ext>
                </c:extLst>
              </c15:ser>
            </c15:filteredLineSeries>
            <c15:filteredLineSeries>
              <c15:ser>
                <c:idx val="7"/>
                <c:order val="7"/>
                <c:cat>
                  <c:numRef>
                    <c:extLst xmlns:c15="http://schemas.microsoft.com/office/drawing/2012/chart">
                      <c:ext xmlns:c15="http://schemas.microsoft.com/office/drawing/2012/chart" uri="{02D57815-91ED-43cb-92C2-25804820EDAC}">
                        <c15:formulaRef>
                          <c15:sqref>'42'!$B$6:$B$23</c15:sqref>
                        </c15:formulaRef>
                      </c:ext>
                    </c:extLst>
                    <c:numCache>
                      <c:formatCode>mmm/yyyy;@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Lit>
                    <c:formatCode>General</c:formatCode>
                    <c:ptCount val="1"/>
                    <c:pt idx="0">
                      <c:v>270000</c:v>
                    </c:pt>
                  </c:numLit>
                </c:val>
                <c:smooth val="0"/>
                <c:extLst xmlns:c15="http://schemas.microsoft.com/office/drawing/2012/chart">
                  <c:ext xmlns:c16="http://schemas.microsoft.com/office/drawing/2014/chart" uri="{C3380CC4-5D6E-409C-BE32-E72D297353CC}">
                    <c16:uniqueId val="{00000003-62C6-4DCE-A2E5-38F90A3FE4F0}"/>
                  </c:ext>
                </c:extLst>
              </c15:ser>
            </c15:filteredLineSeries>
            <c15:filteredLineSeries>
              <c15:ser>
                <c:idx val="8"/>
                <c:order val="8"/>
                <c:cat>
                  <c:numRef>
                    <c:extLst xmlns:c15="http://schemas.microsoft.com/office/drawing/2012/chart">
                      <c:ext xmlns:c15="http://schemas.microsoft.com/office/drawing/2012/chart" uri="{02D57815-91ED-43cb-92C2-25804820EDAC}">
                        <c15:formulaRef>
                          <c15:sqref>'42'!$B$6:$B$23</c15:sqref>
                        </c15:formulaRef>
                      </c:ext>
                    </c:extLst>
                    <c:numCache>
                      <c:formatCode>mmm/yyyy;@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Lit>
                    <c:formatCode>General</c:formatCode>
                    <c:ptCount val="1"/>
                    <c:pt idx="0">
                      <c:v>257811.95759666667</c:v>
                    </c:pt>
                  </c:numLit>
                </c:val>
                <c:smooth val="0"/>
                <c:extLst xmlns:c15="http://schemas.microsoft.com/office/drawing/2012/chart">
                  <c:ext xmlns:c16="http://schemas.microsoft.com/office/drawing/2014/chart" uri="{C3380CC4-5D6E-409C-BE32-E72D297353CC}">
                    <c16:uniqueId val="{00000004-62C6-4DCE-A2E5-38F90A3FE4F0}"/>
                  </c:ext>
                </c:extLst>
              </c15:ser>
            </c15:filteredLineSeries>
            <c15:filteredLineSeries>
              <c15:ser>
                <c:idx val="9"/>
                <c:order val="9"/>
                <c:cat>
                  <c:numRef>
                    <c:extLst xmlns:c15="http://schemas.microsoft.com/office/drawing/2012/chart">
                      <c:ext xmlns:c15="http://schemas.microsoft.com/office/drawing/2012/chart" uri="{02D57815-91ED-43cb-92C2-25804820EDAC}">
                        <c15:formulaRef>
                          <c15:sqref>'42'!$B$6:$B$23</c15:sqref>
                        </c15:formulaRef>
                      </c:ext>
                    </c:extLst>
                    <c:numCache>
                      <c:formatCode>mmm/yyyy;@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Lit>
                    <c:formatCode>General</c:formatCode>
                    <c:ptCount val="1"/>
                    <c:pt idx="0">
                      <c:v>268216.5852733333</c:v>
                    </c:pt>
                  </c:numLit>
                </c:val>
                <c:smooth val="0"/>
                <c:extLst xmlns:c15="http://schemas.microsoft.com/office/drawing/2012/chart">
                  <c:ext xmlns:c16="http://schemas.microsoft.com/office/drawing/2014/chart" uri="{C3380CC4-5D6E-409C-BE32-E72D297353CC}">
                    <c16:uniqueId val="{00000005-62C6-4DCE-A2E5-38F90A3FE4F0}"/>
                  </c:ext>
                </c:extLst>
              </c15:ser>
            </c15:filteredLineSeries>
          </c:ext>
        </c:extLst>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400000"/>
          <c:min val="15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9296024189444939E-2"/>
              <c:y val="0.41808484621914849"/>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640605997300197"/>
          <c:y val="0.18050906571269046"/>
          <c:w val="0.18201327344542184"/>
          <c:h val="0.74996450428964501"/>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r>
              <a:rPr lang="es-CL" b="1"/>
              <a:t>Gráfico N° 11. Evolución de los precios del maíz en el mercado de futuros de Chicago desde el 09 de agosto de 2021 hasta el 12 de agosto de 2022</a:t>
            </a:r>
          </a:p>
          <a:p>
            <a:pPr algn="ctr">
              <a:defRPr b="1"/>
            </a:pPr>
            <a:r>
              <a:rPr lang="es-CL" b="1"/>
              <a:t>(precios diarios en USD/tonelada)</a:t>
            </a:r>
          </a:p>
        </c:rich>
      </c:tx>
      <c:layout>
        <c:manualLayout>
          <c:xMode val="edge"/>
          <c:yMode val="edge"/>
          <c:x val="0.10408723309571723"/>
          <c:y val="1.4247551202137132E-2"/>
        </c:manualLayout>
      </c:layout>
      <c:overlay val="0"/>
      <c:spPr>
        <a:noFill/>
        <a:ln>
          <a:noFill/>
        </a:ln>
        <a:effectLst/>
      </c:spPr>
      <c:txPr>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endParaRPr lang="es-CL"/>
        </a:p>
      </c:txPr>
    </c:title>
    <c:autoTitleDeleted val="0"/>
    <c:plotArea>
      <c:layout>
        <c:manualLayout>
          <c:layoutTarget val="inner"/>
          <c:xMode val="edge"/>
          <c:yMode val="edge"/>
          <c:x val="0.12566780552636644"/>
          <c:y val="0.21650724647842884"/>
          <c:w val="0.74972856747136507"/>
          <c:h val="0.49826555949761103"/>
        </c:manualLayout>
      </c:layout>
      <c:lineChart>
        <c:grouping val="standard"/>
        <c:varyColors val="0"/>
        <c:ser>
          <c:idx val="1"/>
          <c:order val="0"/>
          <c:tx>
            <c:strRef>
              <c:f>'43'!$Q$1</c:f>
              <c:strCache>
                <c:ptCount val="1"/>
                <c:pt idx="0">
                  <c:v>jul-22</c:v>
                </c:pt>
              </c:strCache>
            </c:strRef>
          </c:tx>
          <c:spPr>
            <a:ln w="28575" cap="rnd">
              <a:solidFill>
                <a:schemeClr val="accent2"/>
              </a:solidFill>
              <a:round/>
            </a:ln>
            <a:effectLst/>
          </c:spPr>
          <c:marker>
            <c:symbol val="none"/>
          </c:marker>
          <c:cat>
            <c:numRef>
              <c:f>'43'!$G$15:$G$79</c:f>
              <c:numCache>
                <c:formatCode>m/d/yyyy</c:formatCode>
                <c:ptCount val="65"/>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pt idx="55" formatCode="dd/mm/yyyy;@">
                  <c:v>44733</c:v>
                </c:pt>
                <c:pt idx="56" formatCode="dd/mm/yyyy;@">
                  <c:v>44739</c:v>
                </c:pt>
                <c:pt idx="57" formatCode="dd/mm/yyyy;@">
                  <c:v>44747</c:v>
                </c:pt>
                <c:pt idx="58" formatCode="dd/mm/yyyy;@">
                  <c:v>44753</c:v>
                </c:pt>
                <c:pt idx="59" formatCode="dd/mm/yyyy;@">
                  <c:v>44760</c:v>
                </c:pt>
                <c:pt idx="60" formatCode="dd/mm/yyyy;@">
                  <c:v>44767</c:v>
                </c:pt>
                <c:pt idx="61" formatCode="dd/mm/yyyy;@">
                  <c:v>44774</c:v>
                </c:pt>
                <c:pt idx="62" formatCode="dd/mm/yyyy;@">
                  <c:v>44781</c:v>
                </c:pt>
                <c:pt idx="63" formatCode="dd/mm/yyyy;@">
                  <c:v>44788</c:v>
                </c:pt>
                <c:pt idx="64" formatCode="dd/mm/yyyy;@">
                  <c:v>44795</c:v>
                </c:pt>
              </c:numCache>
            </c:numRef>
          </c:cat>
          <c:val>
            <c:numRef>
              <c:f>'43'!$Q$15:$Q$74</c:f>
            </c:numRef>
          </c:val>
          <c:smooth val="0"/>
          <c:extLst>
            <c:ext xmlns:c16="http://schemas.microsoft.com/office/drawing/2014/chart" uri="{C3380CC4-5D6E-409C-BE32-E72D297353CC}">
              <c16:uniqueId val="{00000001-1B85-4849-BB64-68DB753FBA4B}"/>
            </c:ext>
          </c:extLst>
        </c:ser>
        <c:ser>
          <c:idx val="2"/>
          <c:order val="1"/>
          <c:tx>
            <c:strRef>
              <c:f>'43'!$M$1</c:f>
              <c:strCache>
                <c:ptCount val="1"/>
                <c:pt idx="0">
                  <c:v>mar-22</c:v>
                </c:pt>
              </c:strCache>
            </c:strRef>
          </c:tx>
          <c:spPr>
            <a:ln w="28575" cap="rnd">
              <a:solidFill>
                <a:schemeClr val="accent3"/>
              </a:solidFill>
              <a:round/>
            </a:ln>
            <a:effectLst/>
          </c:spPr>
          <c:marker>
            <c:symbol val="none"/>
          </c:marker>
          <c:cat>
            <c:numRef>
              <c:f>'43'!$G$15:$G$79</c:f>
              <c:numCache>
                <c:formatCode>m/d/yyyy</c:formatCode>
                <c:ptCount val="65"/>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pt idx="55" formatCode="dd/mm/yyyy;@">
                  <c:v>44733</c:v>
                </c:pt>
                <c:pt idx="56" formatCode="dd/mm/yyyy;@">
                  <c:v>44739</c:v>
                </c:pt>
                <c:pt idx="57" formatCode="dd/mm/yyyy;@">
                  <c:v>44747</c:v>
                </c:pt>
                <c:pt idx="58" formatCode="dd/mm/yyyy;@">
                  <c:v>44753</c:v>
                </c:pt>
                <c:pt idx="59" formatCode="dd/mm/yyyy;@">
                  <c:v>44760</c:v>
                </c:pt>
                <c:pt idx="60" formatCode="dd/mm/yyyy;@">
                  <c:v>44767</c:v>
                </c:pt>
                <c:pt idx="61" formatCode="dd/mm/yyyy;@">
                  <c:v>44774</c:v>
                </c:pt>
                <c:pt idx="62" formatCode="dd/mm/yyyy;@">
                  <c:v>44781</c:v>
                </c:pt>
                <c:pt idx="63" formatCode="dd/mm/yyyy;@">
                  <c:v>44788</c:v>
                </c:pt>
                <c:pt idx="64" formatCode="dd/mm/yyyy;@">
                  <c:v>44795</c:v>
                </c:pt>
              </c:numCache>
            </c:numRef>
          </c:cat>
          <c:val>
            <c:numRef>
              <c:f>'43'!$M$15:$M$54</c:f>
            </c:numRef>
          </c:val>
          <c:smooth val="0"/>
          <c:extLst>
            <c:ext xmlns:c16="http://schemas.microsoft.com/office/drawing/2014/chart" uri="{C3380CC4-5D6E-409C-BE32-E72D297353CC}">
              <c16:uniqueId val="{00000003-1BC0-4B13-9657-49CA371905FE}"/>
            </c:ext>
          </c:extLst>
        </c:ser>
        <c:ser>
          <c:idx val="3"/>
          <c:order val="2"/>
          <c:tx>
            <c:strRef>
              <c:f>'43'!$V$1</c:f>
              <c:strCache>
                <c:ptCount val="1"/>
                <c:pt idx="0">
                  <c:v>dic-22</c:v>
                </c:pt>
              </c:strCache>
            </c:strRef>
          </c:tx>
          <c:spPr>
            <a:ln w="28575" cap="rnd">
              <a:solidFill>
                <a:schemeClr val="accent4"/>
              </a:solidFill>
              <a:round/>
            </a:ln>
            <a:effectLst/>
          </c:spPr>
          <c:marker>
            <c:symbol val="none"/>
          </c:marker>
          <c:cat>
            <c:numRef>
              <c:f>'43'!$G$15:$G$79</c:f>
              <c:numCache>
                <c:formatCode>m/d/yyyy</c:formatCode>
                <c:ptCount val="65"/>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pt idx="55" formatCode="dd/mm/yyyy;@">
                  <c:v>44733</c:v>
                </c:pt>
                <c:pt idx="56" formatCode="dd/mm/yyyy;@">
                  <c:v>44739</c:v>
                </c:pt>
                <c:pt idx="57" formatCode="dd/mm/yyyy;@">
                  <c:v>44747</c:v>
                </c:pt>
                <c:pt idx="58" formatCode="dd/mm/yyyy;@">
                  <c:v>44753</c:v>
                </c:pt>
                <c:pt idx="59" formatCode="dd/mm/yyyy;@">
                  <c:v>44760</c:v>
                </c:pt>
                <c:pt idx="60" formatCode="dd/mm/yyyy;@">
                  <c:v>44767</c:v>
                </c:pt>
                <c:pt idx="61" formatCode="dd/mm/yyyy;@">
                  <c:v>44774</c:v>
                </c:pt>
                <c:pt idx="62" formatCode="dd/mm/yyyy;@">
                  <c:v>44781</c:v>
                </c:pt>
                <c:pt idx="63" formatCode="dd/mm/yyyy;@">
                  <c:v>44788</c:v>
                </c:pt>
                <c:pt idx="64" formatCode="dd/mm/yyyy;@">
                  <c:v>44795</c:v>
                </c:pt>
              </c:numCache>
            </c:numRef>
          </c:cat>
          <c:val>
            <c:numRef>
              <c:f>'43'!$V$15:$V$79</c:f>
              <c:numCache>
                <c:formatCode>General</c:formatCode>
                <c:ptCount val="65"/>
                <c:pt idx="10" formatCode="0">
                  <c:v>190.88507999999999</c:v>
                </c:pt>
                <c:pt idx="11" formatCode="0">
                  <c:v>190.15019999999998</c:v>
                </c:pt>
                <c:pt idx="12" formatCode="0">
                  <c:v>183.90371999999999</c:v>
                </c:pt>
                <c:pt idx="13" formatCode="0">
                  <c:v>187.66997999999998</c:v>
                </c:pt>
                <c:pt idx="14" formatCode="0">
                  <c:v>182.70954</c:v>
                </c:pt>
                <c:pt idx="15" formatCode="0">
                  <c:v>183.16883999999999</c:v>
                </c:pt>
                <c:pt idx="16" formatCode="0">
                  <c:v>184.36302000000001</c:v>
                </c:pt>
                <c:pt idx="17" formatCode="0">
                  <c:v>190.33392000000001</c:v>
                </c:pt>
                <c:pt idx="18" formatCode="0">
                  <c:v>196.30482000000001</c:v>
                </c:pt>
                <c:pt idx="19" formatCode="0">
                  <c:v>193.73274000000001</c:v>
                </c:pt>
                <c:pt idx="20" formatCode="0">
                  <c:v>193.91646</c:v>
                </c:pt>
                <c:pt idx="21" formatCode="0">
                  <c:v>195.93737999999999</c:v>
                </c:pt>
                <c:pt idx="22" formatCode="0">
                  <c:v>204.02106000000001</c:v>
                </c:pt>
                <c:pt idx="23" formatCode="0">
                  <c:v>197.86643999999998</c:v>
                </c:pt>
                <c:pt idx="24" formatCode="0">
                  <c:v>202.5513</c:v>
                </c:pt>
                <c:pt idx="25" formatCode="0">
                  <c:v>205.30709999999999</c:v>
                </c:pt>
                <c:pt idx="26" formatCode="0">
                  <c:v>204.38849999999999</c:v>
                </c:pt>
                <c:pt idx="27" formatCode="0">
                  <c:v>203.01059999999998</c:v>
                </c:pt>
                <c:pt idx="28" formatCode="0">
                  <c:v>199.33619999999999</c:v>
                </c:pt>
                <c:pt idx="29" formatCode="0">
                  <c:v>200.16293999999999</c:v>
                </c:pt>
                <c:pt idx="30" formatCode="0">
                  <c:v>204.66407999999998</c:v>
                </c:pt>
                <c:pt idx="31" formatCode="0">
                  <c:v>201.17339999999999</c:v>
                </c:pt>
                <c:pt idx="32" formatCode="0">
                  <c:v>204.66407999999998</c:v>
                </c:pt>
                <c:pt idx="33" formatCode="0">
                  <c:v>204.93966</c:v>
                </c:pt>
                <c:pt idx="34" formatCode="0">
                  <c:v>208.5222</c:v>
                </c:pt>
                <c:pt idx="35" formatCode="0">
                  <c:v>210.72683999999998</c:v>
                </c:pt>
                <c:pt idx="36" formatCode="0">
                  <c:v>213.48264</c:v>
                </c:pt>
                <c:pt idx="37" formatCode="0">
                  <c:v>219.82097999999999</c:v>
                </c:pt>
                <c:pt idx="38" formatCode="0">
                  <c:v>222.57677999999999</c:v>
                </c:pt>
                <c:pt idx="39" formatCode="0">
                  <c:v>223.12794</c:v>
                </c:pt>
                <c:pt idx="40" formatCode="0">
                  <c:v>236.17205999999999</c:v>
                </c:pt>
                <c:pt idx="41" formatCode="0">
                  <c:v>239.75459999999998</c:v>
                </c:pt>
                <c:pt idx="42" formatCode="0">
                  <c:v>243.98015999999998</c:v>
                </c:pt>
                <c:pt idx="43" formatCode="0">
                  <c:v>244.16388000000001</c:v>
                </c:pt>
                <c:pt idx="44" formatCode="0">
                  <c:v>256.84055999999998</c:v>
                </c:pt>
                <c:pt idx="45" formatCode="0">
                  <c:v>263.82191999999998</c:v>
                </c:pt>
                <c:pt idx="46" formatCode="0">
                  <c:v>275.48813999999999</c:v>
                </c:pt>
                <c:pt idx="47" formatCode="0">
                  <c:v>269.70096000000001</c:v>
                </c:pt>
                <c:pt idx="48" formatCode="0">
                  <c:v>272.73</c:v>
                </c:pt>
                <c:pt idx="49" formatCode="0">
                  <c:v>261.15798000000001</c:v>
                </c:pt>
                <c:pt idx="50" formatCode="0">
                  <c:v>281.27531999999997</c:v>
                </c:pt>
                <c:pt idx="51" formatCode="0">
                  <c:v>271.53816</c:v>
                </c:pt>
                <c:pt idx="52" formatCode="0">
                  <c:v>261.43356</c:v>
                </c:pt>
                <c:pt idx="53" formatCode="0">
                  <c:v>258.1266</c:v>
                </c:pt>
                <c:pt idx="54" formatCode="0">
                  <c:v>265.11</c:v>
                </c:pt>
                <c:pt idx="55" formatCode="0">
                  <c:v>257.75916000000001</c:v>
                </c:pt>
                <c:pt idx="56" formatCode="0">
                  <c:v>239.93832</c:v>
                </c:pt>
                <c:pt idx="57" formatCode="0">
                  <c:v>212.56404000000001</c:v>
                </c:pt>
                <c:pt idx="58" formatCode="0">
                  <c:v>231.11975999999999</c:v>
                </c:pt>
                <c:pt idx="59" formatCode="0">
                  <c:v>224.41397999999998</c:v>
                </c:pt>
                <c:pt idx="60" formatCode="0">
                  <c:v>214.4931</c:v>
                </c:pt>
                <c:pt idx="61" formatCode="0">
                  <c:v>224.04653999999999</c:v>
                </c:pt>
                <c:pt idx="62" formatCode="0">
                  <c:v>223.12794</c:v>
                </c:pt>
                <c:pt idx="63" formatCode="0">
                  <c:v>230.84417999999999</c:v>
                </c:pt>
                <c:pt idx="64" formatCode="0">
                  <c:v>231.11975999999999</c:v>
                </c:pt>
              </c:numCache>
            </c:numRef>
          </c:val>
          <c:smooth val="0"/>
          <c:extLst>
            <c:ext xmlns:c16="http://schemas.microsoft.com/office/drawing/2014/chart" uri="{C3380CC4-5D6E-409C-BE32-E72D297353CC}">
              <c16:uniqueId val="{00000004-1BC0-4B13-9657-49CA371905FE}"/>
            </c:ext>
          </c:extLst>
        </c:ser>
        <c:ser>
          <c:idx val="0"/>
          <c:order val="3"/>
          <c:tx>
            <c:strRef>
              <c:f>'43'!$W$1</c:f>
              <c:strCache>
                <c:ptCount val="1"/>
                <c:pt idx="0">
                  <c:v>mar-23</c:v>
                </c:pt>
              </c:strCache>
            </c:strRef>
          </c:tx>
          <c:spPr>
            <a:ln w="28575" cap="rnd">
              <a:solidFill>
                <a:schemeClr val="accent1"/>
              </a:solidFill>
              <a:round/>
            </a:ln>
            <a:effectLst/>
          </c:spPr>
          <c:marker>
            <c:symbol val="none"/>
          </c:marker>
          <c:cat>
            <c:numRef>
              <c:f>'43'!$G$15:$G$79</c:f>
              <c:numCache>
                <c:formatCode>m/d/yyyy</c:formatCode>
                <c:ptCount val="65"/>
                <c:pt idx="0">
                  <c:v>44348</c:v>
                </c:pt>
                <c:pt idx="1">
                  <c:v>44354</c:v>
                </c:pt>
                <c:pt idx="2">
                  <c:v>44361</c:v>
                </c:pt>
                <c:pt idx="3">
                  <c:v>44368</c:v>
                </c:pt>
                <c:pt idx="4">
                  <c:v>44375</c:v>
                </c:pt>
                <c:pt idx="5">
                  <c:v>44383</c:v>
                </c:pt>
                <c:pt idx="6">
                  <c:v>44389</c:v>
                </c:pt>
                <c:pt idx="7">
                  <c:v>44396</c:v>
                </c:pt>
                <c:pt idx="8">
                  <c:v>44403</c:v>
                </c:pt>
                <c:pt idx="9">
                  <c:v>44410</c:v>
                </c:pt>
                <c:pt idx="10">
                  <c:v>44417</c:v>
                </c:pt>
                <c:pt idx="11">
                  <c:v>44424</c:v>
                </c:pt>
                <c:pt idx="12">
                  <c:v>44431</c:v>
                </c:pt>
                <c:pt idx="13">
                  <c:v>44438</c:v>
                </c:pt>
                <c:pt idx="14">
                  <c:v>44446</c:v>
                </c:pt>
                <c:pt idx="15">
                  <c:v>44452</c:v>
                </c:pt>
                <c:pt idx="16">
                  <c:v>44459</c:v>
                </c:pt>
                <c:pt idx="17">
                  <c:v>44466</c:v>
                </c:pt>
                <c:pt idx="18">
                  <c:v>44473</c:v>
                </c:pt>
                <c:pt idx="19">
                  <c:v>44480</c:v>
                </c:pt>
                <c:pt idx="20">
                  <c:v>44487</c:v>
                </c:pt>
                <c:pt idx="21">
                  <c:v>44494</c:v>
                </c:pt>
                <c:pt idx="22">
                  <c:v>44501</c:v>
                </c:pt>
                <c:pt idx="23">
                  <c:v>44508</c:v>
                </c:pt>
                <c:pt idx="24">
                  <c:v>44515</c:v>
                </c:pt>
                <c:pt idx="25">
                  <c:v>44522</c:v>
                </c:pt>
                <c:pt idx="26">
                  <c:v>44529</c:v>
                </c:pt>
                <c:pt idx="27">
                  <c:v>44536</c:v>
                </c:pt>
                <c:pt idx="28">
                  <c:v>44543</c:v>
                </c:pt>
                <c:pt idx="29">
                  <c:v>44550</c:v>
                </c:pt>
                <c:pt idx="30">
                  <c:v>44557</c:v>
                </c:pt>
                <c:pt idx="31">
                  <c:v>44564</c:v>
                </c:pt>
                <c:pt idx="32">
                  <c:v>44571</c:v>
                </c:pt>
                <c:pt idx="33">
                  <c:v>44579</c:v>
                </c:pt>
                <c:pt idx="34">
                  <c:v>44585</c:v>
                </c:pt>
                <c:pt idx="35">
                  <c:v>44592</c:v>
                </c:pt>
                <c:pt idx="36">
                  <c:v>44599</c:v>
                </c:pt>
                <c:pt idx="37">
                  <c:v>44606</c:v>
                </c:pt>
                <c:pt idx="38">
                  <c:v>44614</c:v>
                </c:pt>
                <c:pt idx="39">
                  <c:v>44620</c:v>
                </c:pt>
                <c:pt idx="40">
                  <c:v>44627</c:v>
                </c:pt>
                <c:pt idx="41">
                  <c:v>44634</c:v>
                </c:pt>
                <c:pt idx="42">
                  <c:v>44641</c:v>
                </c:pt>
                <c:pt idx="43">
                  <c:v>44648</c:v>
                </c:pt>
                <c:pt idx="44">
                  <c:v>44655</c:v>
                </c:pt>
                <c:pt idx="45">
                  <c:v>44662</c:v>
                </c:pt>
                <c:pt idx="46">
                  <c:v>44669</c:v>
                </c:pt>
                <c:pt idx="47">
                  <c:v>44676</c:v>
                </c:pt>
                <c:pt idx="48">
                  <c:v>44683</c:v>
                </c:pt>
                <c:pt idx="49">
                  <c:v>44690</c:v>
                </c:pt>
                <c:pt idx="50">
                  <c:v>44697</c:v>
                </c:pt>
                <c:pt idx="51" formatCode="dd/mm/yyyy;@">
                  <c:v>44704</c:v>
                </c:pt>
                <c:pt idx="52" formatCode="dd/mm/yyyy;@">
                  <c:v>44712</c:v>
                </c:pt>
                <c:pt idx="53" formatCode="dd/mm/yyyy;@">
                  <c:v>44718</c:v>
                </c:pt>
                <c:pt idx="54" formatCode="dd/mm/yyyy;@">
                  <c:v>44725</c:v>
                </c:pt>
                <c:pt idx="55" formatCode="dd/mm/yyyy;@">
                  <c:v>44733</c:v>
                </c:pt>
                <c:pt idx="56" formatCode="dd/mm/yyyy;@">
                  <c:v>44739</c:v>
                </c:pt>
                <c:pt idx="57" formatCode="dd/mm/yyyy;@">
                  <c:v>44747</c:v>
                </c:pt>
                <c:pt idx="58" formatCode="dd/mm/yyyy;@">
                  <c:v>44753</c:v>
                </c:pt>
                <c:pt idx="59" formatCode="dd/mm/yyyy;@">
                  <c:v>44760</c:v>
                </c:pt>
                <c:pt idx="60" formatCode="dd/mm/yyyy;@">
                  <c:v>44767</c:v>
                </c:pt>
                <c:pt idx="61" formatCode="dd/mm/yyyy;@">
                  <c:v>44774</c:v>
                </c:pt>
                <c:pt idx="62" formatCode="dd/mm/yyyy;@">
                  <c:v>44781</c:v>
                </c:pt>
                <c:pt idx="63" formatCode="dd/mm/yyyy;@">
                  <c:v>44788</c:v>
                </c:pt>
                <c:pt idx="64" formatCode="dd/mm/yyyy;@">
                  <c:v>44795</c:v>
                </c:pt>
              </c:numCache>
            </c:numRef>
          </c:cat>
          <c:val>
            <c:numRef>
              <c:f>'43'!$W$15:$W$79</c:f>
              <c:numCache>
                <c:formatCode>General</c:formatCode>
                <c:ptCount val="65"/>
                <c:pt idx="31" formatCode="0">
                  <c:v>203.83733999999998</c:v>
                </c:pt>
                <c:pt idx="32" formatCode="0">
                  <c:v>207.51174</c:v>
                </c:pt>
                <c:pt idx="33" formatCode="0">
                  <c:v>207.78731999999999</c:v>
                </c:pt>
                <c:pt idx="34" formatCode="0">
                  <c:v>211.27799999999999</c:v>
                </c:pt>
                <c:pt idx="35" formatCode="0">
                  <c:v>213.48264</c:v>
                </c:pt>
                <c:pt idx="36" formatCode="0">
                  <c:v>215.96286000000001</c:v>
                </c:pt>
                <c:pt idx="37" formatCode="0">
                  <c:v>222.39305999999999</c:v>
                </c:pt>
                <c:pt idx="38" formatCode="0">
                  <c:v>225.14885999999998</c:v>
                </c:pt>
                <c:pt idx="39" formatCode="0">
                  <c:v>224.96513999999999</c:v>
                </c:pt>
                <c:pt idx="40" formatCode="0">
                  <c:v>234.97788</c:v>
                </c:pt>
                <c:pt idx="41" formatCode="0">
                  <c:v>239.01972000000001</c:v>
                </c:pt>
                <c:pt idx="42" formatCode="0">
                  <c:v>244.25574</c:v>
                </c:pt>
                <c:pt idx="43" formatCode="0">
                  <c:v>244.80689999999998</c:v>
                </c:pt>
                <c:pt idx="44" formatCode="0">
                  <c:v>257.57544000000001</c:v>
                </c:pt>
                <c:pt idx="45" formatCode="0">
                  <c:v>264.37308000000002</c:v>
                </c:pt>
                <c:pt idx="46" formatCode="0">
                  <c:v>276.03929999999997</c:v>
                </c:pt>
                <c:pt idx="47" formatCode="0">
                  <c:v>270.98699999999997</c:v>
                </c:pt>
                <c:pt idx="48" formatCode="0">
                  <c:v>274.11</c:v>
                </c:pt>
                <c:pt idx="49" formatCode="0">
                  <c:v>262.62774000000002</c:v>
                </c:pt>
                <c:pt idx="50" formatCode="0">
                  <c:v>282.19391999999999</c:v>
                </c:pt>
                <c:pt idx="51" formatCode="0">
                  <c:v>272.64047999999997</c:v>
                </c:pt>
                <c:pt idx="52" formatCode="0">
                  <c:v>263.27076</c:v>
                </c:pt>
                <c:pt idx="53" formatCode="0">
                  <c:v>259.87194</c:v>
                </c:pt>
                <c:pt idx="54" formatCode="0">
                  <c:v>266.95</c:v>
                </c:pt>
                <c:pt idx="55" formatCode="0">
                  <c:v>259.68822</c:v>
                </c:pt>
                <c:pt idx="56" formatCode="0">
                  <c:v>242.14295999999999</c:v>
                </c:pt>
                <c:pt idx="57" formatCode="0">
                  <c:v>214.95239999999998</c:v>
                </c:pt>
                <c:pt idx="58" formatCode="0">
                  <c:v>232.77323999999999</c:v>
                </c:pt>
                <c:pt idx="59" formatCode="0">
                  <c:v>226.52676</c:v>
                </c:pt>
                <c:pt idx="60" formatCode="0">
                  <c:v>217.06518</c:v>
                </c:pt>
                <c:pt idx="61" formatCode="0">
                  <c:v>226.61861999999999</c:v>
                </c:pt>
                <c:pt idx="62" formatCode="0">
                  <c:v>226.06745999999998</c:v>
                </c:pt>
                <c:pt idx="63" formatCode="0">
                  <c:v>233.59997999999999</c:v>
                </c:pt>
                <c:pt idx="64" formatCode="0">
                  <c:v>233.78369999999998</c:v>
                </c:pt>
              </c:numCache>
            </c:numRef>
          </c:val>
          <c:smooth val="0"/>
          <c:extLst>
            <c:ext xmlns:c16="http://schemas.microsoft.com/office/drawing/2014/chart" uri="{C3380CC4-5D6E-409C-BE32-E72D297353CC}">
              <c16:uniqueId val="{00000000-3D21-4679-A9F7-FC8E57BBF8AD}"/>
            </c:ext>
          </c:extLst>
        </c:ser>
        <c:ser>
          <c:idx val="4"/>
          <c:order val="4"/>
          <c:tx>
            <c:strRef>
              <c:f>'43'!$X$1</c:f>
              <c:strCache>
                <c:ptCount val="1"/>
                <c:pt idx="0">
                  <c:v>sept-23</c:v>
                </c:pt>
              </c:strCache>
            </c:strRef>
          </c:tx>
          <c:spPr>
            <a:ln w="28575" cap="rnd">
              <a:solidFill>
                <a:schemeClr val="accent5"/>
              </a:solidFill>
              <a:round/>
            </a:ln>
            <a:effectLst/>
          </c:spPr>
          <c:marker>
            <c:symbol val="none"/>
          </c:marker>
          <c:val>
            <c:numRef>
              <c:f>'43'!$X$15:$X$79</c:f>
              <c:numCache>
                <c:formatCode>General</c:formatCode>
                <c:ptCount val="65"/>
                <c:pt idx="54" formatCode="0">
                  <c:v>247.65</c:v>
                </c:pt>
                <c:pt idx="55" formatCode="0">
                  <c:v>239.2953</c:v>
                </c:pt>
                <c:pt idx="56" formatCode="0">
                  <c:v>227.62907999999999</c:v>
                </c:pt>
                <c:pt idx="57" formatCode="0">
                  <c:v>206.59314000000001</c:v>
                </c:pt>
                <c:pt idx="58" formatCode="0">
                  <c:v>216.97332</c:v>
                </c:pt>
                <c:pt idx="59" formatCode="0">
                  <c:v>215.68727999999999</c:v>
                </c:pt>
                <c:pt idx="60" formatCode="0">
                  <c:v>208.15475999999998</c:v>
                </c:pt>
                <c:pt idx="61" formatCode="0">
                  <c:v>217.24889999999999</c:v>
                </c:pt>
                <c:pt idx="62" formatCode="0">
                  <c:v>217.06518</c:v>
                </c:pt>
                <c:pt idx="63" formatCode="0">
                  <c:v>222.57677999999999</c:v>
                </c:pt>
                <c:pt idx="64" formatCode="0">
                  <c:v>222.20934</c:v>
                </c:pt>
              </c:numCache>
            </c:numRef>
          </c:val>
          <c:smooth val="0"/>
          <c:extLst>
            <c:ext xmlns:c16="http://schemas.microsoft.com/office/drawing/2014/chart" uri="{C3380CC4-5D6E-409C-BE32-E72D297353CC}">
              <c16:uniqueId val="{00000000-07A1-4751-9F12-4F386671AEA6}"/>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4080000" spcFirstLastPara="1" vertOverflow="ellipsis" wrap="square" anchor="ctr" anchorCtr="1"/>
          <a:lstStyle/>
          <a:p>
            <a:pPr>
              <a:defRPr sz="800" b="0" i="0" u="none" strike="noStrike" kern="1200" baseline="0">
                <a:solidFill>
                  <a:sysClr val="windowText" lastClr="000000"/>
                </a:solidFill>
                <a:latin typeface="+mj-lt"/>
                <a:ea typeface="+mn-ea"/>
                <a:cs typeface="+mn-cs"/>
              </a:defRPr>
            </a:pPr>
            <a:endParaRPr lang="es-CL"/>
          </a:p>
        </c:txPr>
        <c:crossAx val="1271414912"/>
        <c:crosses val="autoZero"/>
        <c:auto val="0"/>
        <c:lblOffset val="100"/>
        <c:baseTimeUnit val="days"/>
        <c:majorUnit val="15"/>
        <c:majorTimeUnit val="days"/>
      </c:dateAx>
      <c:valAx>
        <c:axId val="1271414912"/>
        <c:scaling>
          <c:orientation val="minMax"/>
          <c:max val="300"/>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crossAx val="1189118800"/>
        <c:crossesAt val="44046"/>
        <c:crossBetween val="between"/>
      </c:valAx>
      <c:spPr>
        <a:noFill/>
        <a:ln>
          <a:noFill/>
        </a:ln>
        <a:effectLst/>
      </c:spPr>
    </c:plotArea>
    <c:legend>
      <c:legendPos val="r"/>
      <c:layout>
        <c:manualLayout>
          <c:xMode val="edge"/>
          <c:yMode val="edge"/>
          <c:x val="0.13422578285340891"/>
          <c:y val="0.88873075557868653"/>
          <c:w val="0.72109963531062204"/>
          <c:h val="0.11126937226557733"/>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mj-lt"/>
        </a:defRPr>
      </a:pPr>
      <a:endParaRPr lang="es-CL"/>
    </a:p>
  </c:txPr>
  <c:printSettings>
    <c:headerFooter/>
    <c:pageMargins b="0.74803149606299213" l="0.70866141732283472" r="0.70866141732283472" t="0.74803149606299213" header="0.31496062992125984" footer="0.31496062992125984"/>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2022/23</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'44'!$B$6:$B$16</c:f>
              <c:numCache>
                <c:formatCode>mmm\-yy</c:formatCode>
                <c:ptCount val="11"/>
                <c:pt idx="0">
                  <c:v>44682</c:v>
                </c:pt>
                <c:pt idx="1">
                  <c:v>44713</c:v>
                </c:pt>
                <c:pt idx="2">
                  <c:v>44743</c:v>
                </c:pt>
                <c:pt idx="3">
                  <c:v>44774</c:v>
                </c:pt>
                <c:pt idx="4">
                  <c:v>44805</c:v>
                </c:pt>
                <c:pt idx="5">
                  <c:v>44835</c:v>
                </c:pt>
                <c:pt idx="6">
                  <c:v>44866</c:v>
                </c:pt>
                <c:pt idx="7">
                  <c:v>44896</c:v>
                </c:pt>
                <c:pt idx="8">
                  <c:v>44927</c:v>
                </c:pt>
                <c:pt idx="9">
                  <c:v>44958</c:v>
                </c:pt>
                <c:pt idx="10">
                  <c:v>44986</c:v>
                </c:pt>
              </c:numCache>
            </c:numRef>
          </c:cat>
          <c:val>
            <c:numRef>
              <c:f>'44'!$D$6:$D$16</c:f>
              <c:numCache>
                <c:formatCode>0</c:formatCode>
                <c:ptCount val="11"/>
                <c:pt idx="0">
                  <c:v>514.63</c:v>
                </c:pt>
                <c:pt idx="1">
                  <c:v>515.35</c:v>
                </c:pt>
                <c:pt idx="2">
                  <c:v>514.76</c:v>
                </c:pt>
                <c:pt idx="3">
                  <c:v>512.44000000000005</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'44'!$B$6:$B$16</c:f>
              <c:numCache>
                <c:formatCode>mmm\-yy</c:formatCode>
                <c:ptCount val="11"/>
                <c:pt idx="0">
                  <c:v>44682</c:v>
                </c:pt>
                <c:pt idx="1">
                  <c:v>44713</c:v>
                </c:pt>
                <c:pt idx="2">
                  <c:v>44743</c:v>
                </c:pt>
                <c:pt idx="3">
                  <c:v>44774</c:v>
                </c:pt>
                <c:pt idx="4">
                  <c:v>44805</c:v>
                </c:pt>
                <c:pt idx="5">
                  <c:v>44835</c:v>
                </c:pt>
                <c:pt idx="6">
                  <c:v>44866</c:v>
                </c:pt>
                <c:pt idx="7">
                  <c:v>44896</c:v>
                </c:pt>
                <c:pt idx="8">
                  <c:v>44927</c:v>
                </c:pt>
                <c:pt idx="9">
                  <c:v>44958</c:v>
                </c:pt>
                <c:pt idx="10">
                  <c:v>44986</c:v>
                </c:pt>
              </c:numCache>
            </c:numRef>
          </c:cat>
          <c:val>
            <c:numRef>
              <c:f>'44'!$E$6:$E$17</c:f>
              <c:numCache>
                <c:formatCode>0</c:formatCode>
                <c:ptCount val="12"/>
                <c:pt idx="0">
                  <c:v>518.44000000000005</c:v>
                </c:pt>
                <c:pt idx="1">
                  <c:v>519.22</c:v>
                </c:pt>
                <c:pt idx="2">
                  <c:v>518.63</c:v>
                </c:pt>
                <c:pt idx="3">
                  <c:v>518.74</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min val="200"/>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1718930743"/>
          <c:y val="0.82341670245861076"/>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agosto 2022 (millones de toneladas)</a:t>
            </a:r>
          </a:p>
        </c:rich>
      </c:tx>
      <c:layout>
        <c:manualLayout>
          <c:xMode val="edge"/>
          <c:yMode val="edge"/>
          <c:x val="0.18641703462030643"/>
          <c:y val="6.662165883973023E-2"/>
        </c:manualLayout>
      </c:layout>
      <c:overlay val="0"/>
    </c:title>
    <c:autoTitleDeleted val="0"/>
    <c:plotArea>
      <c:layout>
        <c:manualLayout>
          <c:layoutTarget val="inner"/>
          <c:xMode val="edge"/>
          <c:yMode val="edge"/>
          <c:x val="0.10638999103558483"/>
          <c:y val="0.19577666428060128"/>
          <c:w val="0.79658494757765896"/>
          <c:h val="0.49224229833045735"/>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1.5309791986104226E-2"/>
                  <c:y val="3.25779456940079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dLbl>
              <c:idx val="9"/>
              <c:layout>
                <c:manualLayout>
                  <c:x val="-9.899832404412197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1A-4206-82A7-48DD457D717E}"/>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'45'!$D$6:$D$15</c:f>
              <c:numCache>
                <c:formatCode>0</c:formatCode>
                <c:ptCount val="10"/>
                <c:pt idx="0">
                  <c:v>478.42</c:v>
                </c:pt>
                <c:pt idx="1">
                  <c:v>478.7</c:v>
                </c:pt>
                <c:pt idx="2">
                  <c:v>472.94</c:v>
                </c:pt>
                <c:pt idx="3">
                  <c:v>490.95</c:v>
                </c:pt>
                <c:pt idx="4">
                  <c:v>494.92</c:v>
                </c:pt>
                <c:pt idx="5">
                  <c:v>497.34</c:v>
                </c:pt>
                <c:pt idx="6">
                  <c:v>498.82</c:v>
                </c:pt>
                <c:pt idx="7">
                  <c:v>509.26</c:v>
                </c:pt>
                <c:pt idx="8">
                  <c:v>513.65</c:v>
                </c:pt>
                <c:pt idx="9">
                  <c:v>512.44000000000005</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18827129593E-2"/>
                  <c:y val="3.471556697124089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77991568769E-2"/>
                  <c:y val="-2.188284311994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dLbl>
              <c:idx val="9"/>
              <c:layout>
                <c:manualLayout>
                  <c:x val="-9.8998324044121972E-3"/>
                  <c:y val="-3.93093153510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1A-4206-82A7-48DD457D717E}"/>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'45'!$E$6:$E$15</c:f>
              <c:numCache>
                <c:formatCode>0</c:formatCode>
                <c:ptCount val="10"/>
                <c:pt idx="0">
                  <c:v>481.56</c:v>
                </c:pt>
                <c:pt idx="1">
                  <c:v>478.09</c:v>
                </c:pt>
                <c:pt idx="2">
                  <c:v>468.09</c:v>
                </c:pt>
                <c:pt idx="3">
                  <c:v>483.69</c:v>
                </c:pt>
                <c:pt idx="4">
                  <c:v>482.28</c:v>
                </c:pt>
                <c:pt idx="5">
                  <c:v>484.59</c:v>
                </c:pt>
                <c:pt idx="6">
                  <c:v>493.74</c:v>
                </c:pt>
                <c:pt idx="7">
                  <c:v>503.55</c:v>
                </c:pt>
                <c:pt idx="8">
                  <c:v>516.71</c:v>
                </c:pt>
                <c:pt idx="9">
                  <c:v>518.74</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spPr>
            <a:ln w="38100">
              <a:prstDash val="dash"/>
            </a:ln>
          </c:spPr>
          <c:marker>
            <c:symbol val="none"/>
          </c:marker>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'45'!$G$6:$G$15</c:f>
              <c:numCache>
                <c:formatCode>0%</c:formatCode>
                <c:ptCount val="10"/>
                <c:pt idx="0">
                  <c:v>0.22319129495805301</c:v>
                </c:pt>
                <c:pt idx="1">
                  <c:v>0.23922274048819261</c:v>
                </c:pt>
                <c:pt idx="2">
                  <c:v>0.28357794441239936</c:v>
                </c:pt>
                <c:pt idx="3">
                  <c:v>0.30988856498997291</c:v>
                </c:pt>
                <c:pt idx="4">
                  <c:v>0.33700340051422412</c:v>
                </c:pt>
                <c:pt idx="5">
                  <c:v>0.36420479167956421</c:v>
                </c:pt>
                <c:pt idx="6">
                  <c:v>0.36808846761453395</c:v>
                </c:pt>
                <c:pt idx="7">
                  <c:v>0.37311091252110018</c:v>
                </c:pt>
                <c:pt idx="8">
                  <c:v>0.35768612955042478</c:v>
                </c:pt>
                <c:pt idx="9">
                  <c:v>0.3441415738134711</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20"/>
          <c:min val="430"/>
        </c:scaling>
        <c:delete val="0"/>
        <c:axPos val="l"/>
        <c:title>
          <c:tx>
            <c:rich>
              <a:bodyPr/>
              <a:lstStyle/>
              <a:p>
                <a:pPr>
                  <a:defRPr/>
                </a:pPr>
                <a:r>
                  <a:rPr lang="en-US"/>
                  <a:t>millones de toneladas</a:t>
                </a:r>
              </a:p>
            </c:rich>
          </c:tx>
          <c:layout>
            <c:manualLayout>
              <c:xMode val="edge"/>
              <c:yMode val="edge"/>
              <c:x val="2.8280001559028729E-2"/>
              <c:y val="0.33016645258050037"/>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layout>
            <c:manualLayout>
              <c:xMode val="edge"/>
              <c:yMode val="edge"/>
              <c:x val="0.97305748918423818"/>
              <c:y val="0.2833078915490599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6.092980473165218E-2"/>
          <c:y val="0.81288984020673394"/>
          <c:w val="0.85964111158748102"/>
          <c:h val="0.13648218636347587"/>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'47'!$D$6:$D$19</c:f>
              <c:numCache>
                <c:formatCode>_(* #,##0.0_);_(* \(#,##0.0\);_(* "-"_);_(@_)</c:formatCode>
                <c:ptCount val="14"/>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169.71341999999999</c:v>
                </c:pt>
                <c:pt idx="12">
                  <c:v>146.08510000000001</c:v>
                </c:pt>
                <c:pt idx="13">
                  <c:v>100.557000672749</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'47'!$C$6:$C$19</c:f>
              <c:numCache>
                <c:formatCode>_(* #,##0.0_);_(* \(#,##0.0\);_(* "-"_);_(@_)</c:formatCode>
                <c:ptCount val="14"/>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pt idx="12">
                  <c:v>22.965</c:v>
                </c:pt>
                <c:pt idx="13">
                  <c:v>20.712</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'47'!$E$6:$E$19</c:f>
              <c:numCache>
                <c:formatCode>_(* #,##0.0_);_(* \(#,##0.0\);_(* "-"_);_(@_)</c:formatCode>
                <c:ptCount val="14"/>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64.3</c:v>
                </c:pt>
                <c:pt idx="12">
                  <c:v>63.612061833224473</c:v>
                </c:pt>
                <c:pt idx="13">
                  <c:v>48.550116199666228</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8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2011 - 2022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strRef>
              <c:f>'50'!$B$8:$B$19</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'50'!$C$8:$C$19</c:f>
              <c:numCache>
                <c:formatCode>#,##0_);\(#,##0\)</c:formatCode>
                <c:ptCount val="12"/>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pt idx="9">
                  <c:v>95030.040000000008</c:v>
                </c:pt>
                <c:pt idx="10">
                  <c:v>81807.656000000017</c:v>
                </c:pt>
                <c:pt idx="11">
                  <c:v>56311.920376739443</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strRef>
              <c:f>'50'!$B$8:$B$19</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'50'!$D$8:$D$18</c:f>
              <c:numCache>
                <c:formatCode>#,##0_);\(#,##0\)</c:formatCode>
                <c:ptCount val="11"/>
                <c:pt idx="0">
                  <c:v>83594.012600000002</c:v>
                </c:pt>
                <c:pt idx="1">
                  <c:v>93846.020999999993</c:v>
                </c:pt>
                <c:pt idx="2">
                  <c:v>90685.751000000004</c:v>
                </c:pt>
                <c:pt idx="3">
                  <c:v>90177</c:v>
                </c:pt>
                <c:pt idx="4">
                  <c:v>118644</c:v>
                </c:pt>
                <c:pt idx="5">
                  <c:v>103903.446</c:v>
                </c:pt>
                <c:pt idx="6">
                  <c:v>133366.25400000002</c:v>
                </c:pt>
                <c:pt idx="7">
                  <c:v>126281.10111</c:v>
                </c:pt>
                <c:pt idx="8">
                  <c:v>126281.10111</c:v>
                </c:pt>
                <c:pt idx="9">
                  <c:v>167355.36387</c:v>
                </c:pt>
                <c:pt idx="10">
                  <c:v>131208.58575</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'50'!$B$8:$B$18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'50'!$F$8:$F$18</c:f>
              <c:numCache>
                <c:formatCode>#,##0_);\(#,##0\)</c:formatCode>
                <c:ptCount val="11"/>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pt idx="9">
                  <c:v>262223.40387000004</c:v>
                </c:pt>
                <c:pt idx="10">
                  <c:v>212994.08449000001</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1408154569394859"/>
        </c:manualLayout>
      </c:layout>
      <c:barChart>
        <c:barDir val="col"/>
        <c:grouping val="clustered"/>
        <c:varyColors val="0"/>
        <c:ser>
          <c:idx val="3"/>
          <c:order val="0"/>
          <c:tx>
            <c:strRef>
              <c:f>'51'!$C$5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'51'!$C$6:$C$17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1"/>
          <c:tx>
            <c:strRef>
              <c:f>'51'!$D$5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'51'!$D$6:$D$17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2-A453-4D06-A852-C7D20D31BD6A}"/>
            </c:ext>
          </c:extLst>
        </c:ser>
        <c:ser>
          <c:idx val="0"/>
          <c:order val="2"/>
          <c:tx>
            <c:strRef>
              <c:f>'51'!$E$5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8803</c:v>
                </c:pt>
                <c:pt idx="1">
                  <c:v>10115</c:v>
                </c:pt>
                <c:pt idx="2">
                  <c:v>10593.363869999997</c:v>
                </c:pt>
                <c:pt idx="3">
                  <c:v>16660</c:v>
                </c:pt>
                <c:pt idx="4">
                  <c:v>14952</c:v>
                </c:pt>
                <c:pt idx="5">
                  <c:v>15182</c:v>
                </c:pt>
                <c:pt idx="6">
                  <c:v>19199</c:v>
                </c:pt>
                <c:pt idx="7">
                  <c:v>19294</c:v>
                </c:pt>
                <c:pt idx="8">
                  <c:v>21882</c:v>
                </c:pt>
                <c:pt idx="9">
                  <c:v>13942</c:v>
                </c:pt>
                <c:pt idx="10">
                  <c:v>6854</c:v>
                </c:pt>
                <c:pt idx="11">
                  <c:v>9879</c:v>
                </c:pt>
              </c:numCache>
            </c:numRef>
          </c:val>
          <c:extLst>
            <c:ext xmlns:c16="http://schemas.microsoft.com/office/drawing/2014/chart" uri="{C3380CC4-5D6E-409C-BE32-E72D297353CC}">
              <c16:uniqueId val="{00000001-A494-400D-8B28-34807900769C}"/>
            </c:ext>
          </c:extLst>
        </c:ser>
        <c:ser>
          <c:idx val="1"/>
          <c:order val="3"/>
          <c:tx>
            <c:strRef>
              <c:f>'51'!$F$5</c:f>
              <c:strCache>
                <c:ptCount val="1"/>
                <c:pt idx="0">
                  <c:v>2021</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8285</c:v>
                </c:pt>
                <c:pt idx="1">
                  <c:v>10165</c:v>
                </c:pt>
                <c:pt idx="2">
                  <c:v>8486</c:v>
                </c:pt>
                <c:pt idx="3">
                  <c:v>7510</c:v>
                </c:pt>
                <c:pt idx="4">
                  <c:v>12437</c:v>
                </c:pt>
                <c:pt idx="5">
                  <c:v>11749.450769999998</c:v>
                </c:pt>
                <c:pt idx="6">
                  <c:v>14191</c:v>
                </c:pt>
                <c:pt idx="7">
                  <c:v>14413</c:v>
                </c:pt>
                <c:pt idx="8">
                  <c:v>10322</c:v>
                </c:pt>
                <c:pt idx="9">
                  <c:v>13685</c:v>
                </c:pt>
                <c:pt idx="10">
                  <c:v>9525.1349799999989</c:v>
                </c:pt>
                <c:pt idx="11">
                  <c:v>10440</c:v>
                </c:pt>
              </c:numCache>
            </c:numRef>
          </c:val>
          <c:extLst>
            <c:ext xmlns:c16="http://schemas.microsoft.com/office/drawing/2014/chart" uri="{C3380CC4-5D6E-409C-BE32-E72D297353CC}">
              <c16:uniqueId val="{00000002-A494-400D-8B28-34807900769C}"/>
            </c:ext>
          </c:extLst>
        </c:ser>
        <c:ser>
          <c:idx val="2"/>
          <c:order val="4"/>
          <c:tx>
            <c:strRef>
              <c:f>'51'!$G$5</c:f>
              <c:strCache>
                <c:ptCount val="1"/>
                <c:pt idx="0">
                  <c:v>2022</c:v>
                </c:pt>
              </c:strCache>
            </c:strRef>
          </c:tx>
          <c:invertIfNegative val="0"/>
          <c:val>
            <c:numRef>
              <c:f>'51'!$G$6:$G$17</c:f>
              <c:numCache>
                <c:formatCode>#,##0</c:formatCode>
                <c:ptCount val="12"/>
                <c:pt idx="0">
                  <c:v>7846</c:v>
                </c:pt>
                <c:pt idx="1">
                  <c:v>7834</c:v>
                </c:pt>
                <c:pt idx="2">
                  <c:v>14581.501040000001</c:v>
                </c:pt>
                <c:pt idx="3">
                  <c:v>14602.845460000002</c:v>
                </c:pt>
                <c:pt idx="4">
                  <c:v>15988.013730000001</c:v>
                </c:pt>
                <c:pt idx="5">
                  <c:v>13953.49475</c:v>
                </c:pt>
                <c:pt idx="6">
                  <c:v>11142.037920000001</c:v>
                </c:pt>
              </c:numCache>
            </c:numRef>
          </c:val>
          <c:extLst>
            <c:ext xmlns:c16="http://schemas.microsoft.com/office/drawing/2014/chart" uri="{C3380CC4-5D6E-409C-BE32-E72D297353CC}">
              <c16:uniqueId val="{00000001-6043-483F-9B20-8BDF2D1F9613}"/>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0.22331785551798294"/>
          <c:y val="0.74198869788137667"/>
          <c:w val="0.61202099737532811"/>
          <c:h val="0.2154293620906082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panadero</a:t>
            </a:r>
            <a:r>
              <a:rPr lang="es-CL" baseline="0"/>
              <a:t> </a:t>
            </a:r>
            <a:r>
              <a:rPr lang="es-CL"/>
              <a:t>(qqm/ha)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2865850102070577"/>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'7'!$D$7:$D$17</c:f>
              <c:numCache>
                <c:formatCode>#,##0</c:formatCode>
                <c:ptCount val="11"/>
                <c:pt idx="0">
                  <c:v>1114.4113</c:v>
                </c:pt>
                <c:pt idx="1">
                  <c:v>1365.1233</c:v>
                </c:pt>
                <c:pt idx="2">
                  <c:v>1236.0917400000001</c:v>
                </c:pt>
                <c:pt idx="3">
                  <c:v>1333.2125000000001</c:v>
                </c:pt>
                <c:pt idx="4">
                  <c:v>1531.0056</c:v>
                </c:pt>
                <c:pt idx="5">
                  <c:v>1221.2691400000001</c:v>
                </c:pt>
                <c:pt idx="6">
                  <c:v>1281.3397</c:v>
                </c:pt>
                <c:pt idx="7">
                  <c:v>1204.8561999999999</c:v>
                </c:pt>
                <c:pt idx="8">
                  <c:v>1086.1401000000001</c:v>
                </c:pt>
                <c:pt idx="9" formatCode="[$-10C0A]#,##0;\(#,##0\)">
                  <c:v>1203.3828000000001</c:v>
                </c:pt>
                <c:pt idx="10" formatCode="[$-10C0A]#,###,##0">
                  <c:v>1009.74269228811</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'7'!$C$7:$C$17</c:f>
              <c:numCache>
                <c:formatCode>#,##0</c:formatCode>
                <c:ptCount val="11"/>
                <c:pt idx="0">
                  <c:v>228.58699999999999</c:v>
                </c:pt>
                <c:pt idx="1">
                  <c:v>238.41</c:v>
                </c:pt>
                <c:pt idx="2">
                  <c:v>236.12200000000001</c:v>
                </c:pt>
                <c:pt idx="3">
                  <c:v>241.16</c:v>
                </c:pt>
                <c:pt idx="4">
                  <c:v>257.786</c:v>
                </c:pt>
                <c:pt idx="5">
                  <c:v>205.18899999999999</c:v>
                </c:pt>
                <c:pt idx="6">
                  <c:v>208.23699999999999</c:v>
                </c:pt>
                <c:pt idx="7">
                  <c:v>195.40299999999999</c:v>
                </c:pt>
                <c:pt idx="8">
                  <c:v>183.07300000000001</c:v>
                </c:pt>
                <c:pt idx="9">
                  <c:v>204.99299999999999</c:v>
                </c:pt>
                <c:pt idx="10">
                  <c:v>173.10599999999999</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
hectárea) </c:v>
                </c:pt>
              </c:strCache>
            </c:strRef>
          </c:tx>
          <c:marker>
            <c:symbol val="none"/>
          </c:marker>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'7'!$E$7:$E$17</c:f>
              <c:numCache>
                <c:formatCode>#,##0</c:formatCode>
                <c:ptCount val="11"/>
                <c:pt idx="0">
                  <c:v>48.8</c:v>
                </c:pt>
                <c:pt idx="1">
                  <c:v>57.259481565370578</c:v>
                </c:pt>
                <c:pt idx="2">
                  <c:v>52.349706507652819</c:v>
                </c:pt>
                <c:pt idx="3">
                  <c:v>55.283318129042961</c:v>
                </c:pt>
                <c:pt idx="4">
                  <c:v>59.4</c:v>
                </c:pt>
                <c:pt idx="5">
                  <c:v>59.51923056304188</c:v>
                </c:pt>
                <c:pt idx="6">
                  <c:v>61.532758347459868</c:v>
                </c:pt>
                <c:pt idx="7">
                  <c:v>61.660066631525616</c:v>
                </c:pt>
                <c:pt idx="8">
                  <c:v>59.328251571777379</c:v>
                </c:pt>
                <c:pt idx="9">
                  <c:v>58.7</c:v>
                </c:pt>
                <c:pt idx="10">
                  <c:v>58.330889298355451</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3.6790296756080983E-2"/>
          <c:y val="0.80146754803797671"/>
          <c:w val="0.9358939603301677"/>
          <c:h val="0.1718126437898966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solidFill>
                  <a:sysClr val="windowText" lastClr="000000"/>
                </a:solidFill>
              </a:defRPr>
            </a:pPr>
            <a:r>
              <a:rPr lang="es-CL" sz="900" b="1">
                <a:solidFill>
                  <a:sysClr val="windowText" lastClr="000000"/>
                </a:solidFill>
              </a:rPr>
              <a:t>Gráfico N° 6. Chile. Participación por país de origen </a:t>
            </a:r>
          </a:p>
          <a:p>
            <a:pPr>
              <a:defRPr sz="900" b="1">
                <a:solidFill>
                  <a:sysClr val="windowText" lastClr="000000"/>
                </a:solidFill>
              </a:defRPr>
            </a:pPr>
            <a:r>
              <a:rPr lang="es-CL" sz="900" b="1">
                <a:solidFill>
                  <a:sysClr val="windowText" lastClr="000000"/>
                </a:solidFill>
              </a:rPr>
              <a:t>en las importaciones de arroz  2022 (%)</a:t>
            </a:r>
          </a:p>
        </c:rich>
      </c:tx>
      <c:layout>
        <c:manualLayout>
          <c:xMode val="edge"/>
          <c:yMode val="edge"/>
          <c:x val="0.25903777179367732"/>
          <c:y val="2.7514180791435222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29487844322489992"/>
          <c:y val="0.24043966756023155"/>
          <c:w val="0.48631360473880159"/>
          <c:h val="0.75102244556676945"/>
        </c:manualLayout>
      </c:layout>
      <c:pie3DChart>
        <c:varyColors val="1"/>
        <c:ser>
          <c:idx val="0"/>
          <c:order val="0"/>
          <c:tx>
            <c:v>2018</c:v>
          </c:tx>
          <c:spPr>
            <a:blipFill>
              <a:blip xmlns:r="http://schemas.openxmlformats.org/officeDocument/2006/relationships" r:embed="rId1"/>
              <a:stretch>
                <a:fillRect/>
              </a:stretch>
            </a:blipFill>
            <a:ln>
              <a:noFill/>
            </a:ln>
          </c:spPr>
          <c:explosion val="3"/>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explosion val="24"/>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3.8444018380739076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006590085330244E-2"/>
                  <c:y val="-3.150177732585988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6.8898963387152359E-3"/>
                  <c:y val="-1.28068303094983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0.1029859146394578"/>
                  <c:y val="2.094135244833986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a:lstStyle/>
              <a:p>
                <a:pPr>
                  <a:defRPr>
                    <a:solidFill>
                      <a:sysClr val="windowText" lastClr="000000"/>
                    </a:solidFil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'52'!$R$2:$V$2</c:f>
              <c:numCache>
                <c:formatCode>0%</c:formatCode>
                <c:ptCount val="5"/>
                <c:pt idx="0">
                  <c:v>0.53472146954578148</c:v>
                </c:pt>
                <c:pt idx="1">
                  <c:v>8.5563008682615405E-2</c:v>
                </c:pt>
                <c:pt idx="2">
                  <c:v>6.6900909648911003E-3</c:v>
                </c:pt>
                <c:pt idx="3">
                  <c:v>0.3627885076029933</c:v>
                </c:pt>
                <c:pt idx="4">
                  <c:v>1.0236923203718717E-2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spPr>
        <a:noFill/>
      </c:spPr>
    </c:plotArea>
    <c:plotVisOnly val="1"/>
    <c:dispBlanksAs val="zero"/>
    <c:showDLblsOverMax val="0"/>
  </c:chart>
  <c:txPr>
    <a:bodyPr/>
    <a:lstStyle/>
    <a:p>
      <a:pPr>
        <a:defRPr sz="1000" b="0" i="0" u="none" strike="noStrike" baseline="0">
          <a:solidFill>
            <a:srgbClr val="FF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numRef>
              <c:f>'53'!$B$12:$B$14</c:f>
              <c:numCache>
                <c:formatCode>General</c:formatCode>
                <c:ptCount val="3"/>
                <c:pt idx="0">
                  <c:v>2019</c:v>
                </c:pt>
                <c:pt idx="1">
                  <c:v>2020</c:v>
                </c:pt>
                <c:pt idx="2">
                  <c:v>2021</c:v>
                </c:pt>
              </c:numCache>
            </c:numRef>
          </c:cat>
          <c:val>
            <c:numRef>
              <c:f>'53'!$E$12:$E$14</c:f>
              <c:numCache>
                <c:formatCode>#,##0</c:formatCode>
                <c:ptCount val="3"/>
                <c:pt idx="0">
                  <c:v>36413</c:v>
                </c:pt>
                <c:pt idx="1">
                  <c:v>52918.822890000003</c:v>
                </c:pt>
                <c:pt idx="2">
                  <c:v>53219.585890000002</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numRef>
              <c:f>'53'!$B$12:$B$14</c:f>
              <c:numCache>
                <c:formatCode>General</c:formatCode>
                <c:ptCount val="3"/>
                <c:pt idx="0">
                  <c:v>2019</c:v>
                </c:pt>
                <c:pt idx="1">
                  <c:v>2020</c:v>
                </c:pt>
                <c:pt idx="2">
                  <c:v>2021</c:v>
                </c:pt>
              </c:numCache>
            </c:numRef>
          </c:cat>
          <c:val>
            <c:numRef>
              <c:f>'53'!$F$12:$F$14</c:f>
              <c:numCache>
                <c:formatCode>#,##0</c:formatCode>
                <c:ptCount val="3"/>
                <c:pt idx="0">
                  <c:v>84744.584040000016</c:v>
                </c:pt>
                <c:pt idx="1">
                  <c:v>100601.82218000002</c:v>
                </c:pt>
                <c:pt idx="2">
                  <c:v>62602.326540000002</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numRef>
              <c:f>'53'!$B$12:$B$14</c:f>
              <c:numCache>
                <c:formatCode>General</c:formatCode>
                <c:ptCount val="3"/>
                <c:pt idx="0">
                  <c:v>2019</c:v>
                </c:pt>
                <c:pt idx="1">
                  <c:v>2020</c:v>
                </c:pt>
                <c:pt idx="2">
                  <c:v>2021</c:v>
                </c:pt>
              </c:numCache>
            </c:numRef>
          </c:cat>
          <c:val>
            <c:numRef>
              <c:f>'53'!$G$12:$G$14</c:f>
              <c:numCache>
                <c:formatCode>#,##0</c:formatCode>
                <c:ptCount val="3"/>
                <c:pt idx="0">
                  <c:v>5123.49629</c:v>
                </c:pt>
                <c:pt idx="1">
                  <c:v>13833.749479999999</c:v>
                </c:pt>
                <c:pt idx="2">
                  <c:v>15387.177729999999</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numRef>
              <c:f>'53'!$B$12:$B$14</c:f>
              <c:numCache>
                <c:formatCode>General</c:formatCode>
                <c:ptCount val="3"/>
                <c:pt idx="0">
                  <c:v>2019</c:v>
                </c:pt>
                <c:pt idx="1">
                  <c:v>2020</c:v>
                </c:pt>
                <c:pt idx="2">
                  <c:v>2021</c:v>
                </c:pt>
              </c:numCache>
            </c:numRef>
          </c:cat>
          <c:val>
            <c:numRef>
              <c:f>'53'!$H$12:$H$14</c:f>
              <c:numCache>
                <c:formatCode>#,##0</c:formatCode>
                <c:ptCount val="3"/>
                <c:pt idx="0">
                  <c:v>126281.55284999999</c:v>
                </c:pt>
                <c:pt idx="1">
                  <c:v>167354.39455000003</c:v>
                </c:pt>
                <c:pt idx="2">
                  <c:v>131209.09016000002</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numRef>
              <c:f>'53'!$B$12:$B$14</c:f>
              <c:numCache>
                <c:formatCode>General</c:formatCode>
                <c:ptCount val="3"/>
                <c:pt idx="0">
                  <c:v>2019</c:v>
                </c:pt>
                <c:pt idx="1">
                  <c:v>2020</c:v>
                </c:pt>
                <c:pt idx="2">
                  <c:v>2021</c:v>
                </c:pt>
              </c:numCache>
            </c:numRef>
          </c:cat>
          <c:val>
            <c:numRef>
              <c:f>'53'!$I$12:$I$14</c:f>
              <c:numCache>
                <c:formatCode>#,##0</c:formatCode>
                <c:ptCount val="3"/>
                <c:pt idx="0">
                  <c:v>27380.79</c:v>
                </c:pt>
                <c:pt idx="1">
                  <c:v>30916.17628</c:v>
                </c:pt>
                <c:pt idx="2">
                  <c:v>41152.463060000002</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2020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0"/>
          <c:order val="0"/>
          <c:tx>
            <c:strRef>
              <c:f>'53'!$E$7</c:f>
              <c:strCache>
                <c:ptCount val="1"/>
                <c:pt idx="0">
                  <c:v>Arroz semi o blanqueado, grano partido &lt; que 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'53'!$E$12:$E$15</c15:sqref>
                  </c15:fullRef>
                </c:ext>
              </c:extLst>
              <c:f>'53'!$E$13:$E$15</c:f>
              <c:numCache>
                <c:formatCode>#,##0</c:formatCode>
                <c:ptCount val="3"/>
                <c:pt idx="0">
                  <c:v>52918.822890000003</c:v>
                </c:pt>
                <c:pt idx="1">
                  <c:v>53219.585890000002</c:v>
                </c:pt>
                <c:pt idx="2">
                  <c:v>33758.836840000004</c:v>
                </c:pt>
              </c:numCache>
            </c:numRef>
          </c:val>
          <c:extLst>
            <c:ext xmlns:c16="http://schemas.microsoft.com/office/drawing/2014/chart" uri="{C3380CC4-5D6E-409C-BE32-E72D297353CC}">
              <c16:uniqueId val="{00000001-8034-4CA6-8332-B140C058BD42}"/>
            </c:ext>
          </c:extLst>
        </c:ser>
        <c:ser>
          <c:idx val="1"/>
          <c:order val="1"/>
          <c:tx>
            <c:strRef>
              <c:f>'53'!$F$7</c:f>
              <c:strCache>
                <c:ptCount val="1"/>
                <c:pt idx="0">
                  <c:v>Arroz semi o blanqueado, grano partido &gt; que 5% pero &lt; que 15%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'53'!$F$12:$F$15</c15:sqref>
                  </c15:fullRef>
                </c:ext>
              </c:extLst>
              <c:f>'53'!$F$13:$F$15</c:f>
              <c:numCache>
                <c:formatCode>#,##0</c:formatCode>
                <c:ptCount val="3"/>
                <c:pt idx="0">
                  <c:v>100601.82218000002</c:v>
                </c:pt>
                <c:pt idx="1">
                  <c:v>62602.326540000002</c:v>
                </c:pt>
                <c:pt idx="2">
                  <c:v>40907.014460000006</c:v>
                </c:pt>
              </c:numCache>
            </c:numRef>
          </c:val>
          <c:extLst>
            <c:ext xmlns:c16="http://schemas.microsoft.com/office/drawing/2014/chart" uri="{C3380CC4-5D6E-409C-BE32-E72D297353CC}">
              <c16:uniqueId val="{00000002-8034-4CA6-8332-B140C058BD42}"/>
            </c:ext>
          </c:extLst>
        </c:ser>
        <c:ser>
          <c:idx val="2"/>
          <c:order val="2"/>
          <c:tx>
            <c:strRef>
              <c:f>'53'!$G$7</c:f>
              <c:strCache>
                <c:ptCount val="1"/>
                <c:pt idx="0">
                  <c:v>Arroz semi o blanqueado, grano partido &gt; que 15% en peso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'53'!$G$12:$G$15</c15:sqref>
                  </c15:fullRef>
                </c:ext>
              </c:extLst>
              <c:f>'53'!$G$13:$G$15</c:f>
              <c:numCache>
                <c:formatCode>#,##0</c:formatCode>
                <c:ptCount val="3"/>
                <c:pt idx="0">
                  <c:v>13833.749479999999</c:v>
                </c:pt>
                <c:pt idx="1">
                  <c:v>15387.177729999999</c:v>
                </c:pt>
                <c:pt idx="2">
                  <c:v>11282.157929999998</c:v>
                </c:pt>
              </c:numCache>
            </c:numRef>
          </c:val>
          <c:extLst>
            <c:ext xmlns:c16="http://schemas.microsoft.com/office/drawing/2014/chart" uri="{C3380CC4-5D6E-409C-BE32-E72D297353CC}">
              <c16:uniqueId val="{00000003-8034-4CA6-8332-B140C058BD42}"/>
            </c:ext>
          </c:extLst>
        </c:ser>
        <c:ser>
          <c:idx val="3"/>
          <c:order val="3"/>
          <c:tx>
            <c:strRef>
              <c:f>'53'!$H$7</c:f>
              <c:strCache>
                <c:ptCount val="1"/>
                <c:pt idx="0">
                  <c:v>Arroz semi o blanqueado (total)</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'53'!$H$12:$H$15</c15:sqref>
                  </c15:fullRef>
                </c:ext>
              </c:extLst>
              <c:f>'53'!$H$13:$H$15</c:f>
              <c:numCache>
                <c:formatCode>#,##0</c:formatCode>
                <c:ptCount val="3"/>
                <c:pt idx="0">
                  <c:v>167354.39455000003</c:v>
                </c:pt>
                <c:pt idx="1">
                  <c:v>131209.09016000002</c:v>
                </c:pt>
                <c:pt idx="2">
                  <c:v>85948.009229999996</c:v>
                </c:pt>
              </c:numCache>
            </c:numRef>
          </c:val>
          <c:extLst>
            <c:ext xmlns:c16="http://schemas.microsoft.com/office/drawing/2014/chart" uri="{C3380CC4-5D6E-409C-BE32-E72D297353CC}">
              <c16:uniqueId val="{00000004-8034-4CA6-8332-B140C058BD42}"/>
            </c:ext>
          </c:extLst>
        </c:ser>
        <c:ser>
          <c:idx val="4"/>
          <c:order val="4"/>
          <c:tx>
            <c:strRef>
              <c:f>'53'!$I$7</c:f>
              <c:strCache>
                <c:ptCount val="1"/>
                <c:pt idx="0">
                  <c:v>Arroz partido</c:v>
                </c:pt>
              </c:strCache>
            </c:strRef>
          </c:tx>
          <c:invertIfNegative val="0"/>
          <c:cat>
            <c:strRef>
              <c:extLst>
                <c:ext xmlns:c15="http://schemas.microsoft.com/office/drawing/2012/chart" uri="{02D57815-91ED-43cb-92C2-25804820EDAC}">
                  <c15:fullRef>
                    <c15:sqref>'53'!$B$12:$B$15</c15:sqref>
                  </c15:fullRef>
                </c:ext>
              </c:extLst>
              <c:f>'53'!$B$13:$B$15</c:f>
              <c:strCache>
                <c:ptCount val="3"/>
                <c:pt idx="0">
                  <c:v>2020</c:v>
                </c:pt>
                <c:pt idx="1">
                  <c:v>2021</c:v>
                </c:pt>
                <c:pt idx="2">
                  <c:v>2022*</c:v>
                </c:pt>
              </c:strCache>
            </c:strRef>
          </c:cat>
          <c:val>
            <c:numRef>
              <c:extLst>
                <c:ext xmlns:c15="http://schemas.microsoft.com/office/drawing/2012/chart" uri="{02D57815-91ED-43cb-92C2-25804820EDAC}">
                  <c15:fullRef>
                    <c15:sqref>'53'!$I$12:$I$15</c15:sqref>
                  </c15:fullRef>
                </c:ext>
              </c:extLst>
              <c:f>'53'!$I$13:$I$15</c:f>
              <c:numCache>
                <c:formatCode>#,##0</c:formatCode>
                <c:ptCount val="3"/>
                <c:pt idx="0">
                  <c:v>30916.17628</c:v>
                </c:pt>
                <c:pt idx="1">
                  <c:v>41152.463060000002</c:v>
                </c:pt>
                <c:pt idx="2">
                  <c:v>13084.02036</c:v>
                </c:pt>
              </c:numCache>
            </c:numRef>
          </c:val>
          <c:extLst>
            <c:ext xmlns:c16="http://schemas.microsoft.com/office/drawing/2014/chart" uri="{C3380CC4-5D6E-409C-BE32-E72D297353CC}">
              <c16:uniqueId val="{00000005-8034-4CA6-8332-B140C058BD42}"/>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5316611838614511"/>
          <c:y val="0.15128359950303535"/>
          <c:w val="0.24683388161385486"/>
          <c:h val="0.79161381480921666"/>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2020 - 2022</a:t>
            </a:r>
          </a:p>
        </c:rich>
      </c:tx>
      <c:layout>
        <c:manualLayout>
          <c:xMode val="edge"/>
          <c:yMode val="edge"/>
          <c:x val="0.1299936663642636"/>
          <c:y val="2.6280750784469294E-2"/>
        </c:manualLayout>
      </c:layout>
      <c:overlay val="0"/>
      <c:spPr>
        <a:noFill/>
        <a:ln w="25400">
          <a:noFill/>
        </a:ln>
      </c:spPr>
    </c:title>
    <c:autoTitleDeleted val="0"/>
    <c:plotArea>
      <c:layout>
        <c:manualLayout>
          <c:layoutTarget val="inner"/>
          <c:xMode val="edge"/>
          <c:yMode val="edge"/>
          <c:x val="0.10939653995669822"/>
          <c:y val="0.14732618788990423"/>
          <c:w val="0.83248776491502374"/>
          <c:h val="0.4337954836830637"/>
        </c:manualLayout>
      </c:layout>
      <c:barChart>
        <c:barDir val="col"/>
        <c:grouping val="clustered"/>
        <c:varyColors val="0"/>
        <c:ser>
          <c:idx val="0"/>
          <c:order val="0"/>
          <c:tx>
            <c:strRef>
              <c:f>'54'!$C$8</c:f>
              <c:strCache>
                <c:ptCount val="1"/>
                <c:pt idx="0">
                  <c:v>Arroz semi o blanqueado, grano partido &lt; que 5% en peso</c:v>
                </c:pt>
              </c:strCache>
            </c:strRef>
          </c:tx>
          <c:invertIfNegative val="0"/>
          <c:cat>
            <c:strRef>
              <c:f>'54'!$B$14:$B$16</c:f>
              <c:strCache>
                <c:ptCount val="3"/>
                <c:pt idx="0">
                  <c:v>2020</c:v>
                </c:pt>
                <c:pt idx="1">
                  <c:v>2021</c:v>
                </c:pt>
                <c:pt idx="2">
                  <c:v>2022*</c:v>
                </c:pt>
              </c:strCache>
            </c:strRef>
          </c:cat>
          <c:val>
            <c:numRef>
              <c:f>'54'!$C$14:$C$16</c:f>
              <c:numCache>
                <c:formatCode>#,##0</c:formatCode>
                <c:ptCount val="3"/>
                <c:pt idx="0">
                  <c:v>572.19839573180616</c:v>
                </c:pt>
                <c:pt idx="1">
                  <c:v>629.16241319891003</c:v>
                </c:pt>
                <c:pt idx="2">
                  <c:v>632.17946961693303</c:v>
                </c:pt>
              </c:numCache>
            </c:numRef>
          </c:val>
          <c:extLst>
            <c:ext xmlns:c16="http://schemas.microsoft.com/office/drawing/2014/chart" uri="{C3380CC4-5D6E-409C-BE32-E72D297353CC}">
              <c16:uniqueId val="{00000001-E40E-4F4B-A47C-77386582CED4}"/>
            </c:ext>
          </c:extLst>
        </c:ser>
        <c:ser>
          <c:idx val="1"/>
          <c:order val="1"/>
          <c:tx>
            <c:strRef>
              <c:f>'54'!$D$8</c:f>
              <c:strCache>
                <c:ptCount val="1"/>
                <c:pt idx="0">
                  <c:v>Arroz semi o blanqueado, grano partido &gt; que 5% pero &lt; que 15% en peso</c:v>
                </c:pt>
              </c:strCache>
            </c:strRef>
          </c:tx>
          <c:invertIfNegative val="0"/>
          <c:cat>
            <c:strRef>
              <c:f>'54'!$B$14:$B$16</c:f>
              <c:strCache>
                <c:ptCount val="3"/>
                <c:pt idx="0">
                  <c:v>2020</c:v>
                </c:pt>
                <c:pt idx="1">
                  <c:v>2021</c:v>
                </c:pt>
                <c:pt idx="2">
                  <c:v>2022*</c:v>
                </c:pt>
              </c:strCache>
            </c:strRef>
          </c:cat>
          <c:val>
            <c:numRef>
              <c:f>'54'!$D$14:$D$16</c:f>
              <c:numCache>
                <c:formatCode>#,##0</c:formatCode>
                <c:ptCount val="3"/>
                <c:pt idx="0">
                  <c:v>505.45948706494579</c:v>
                </c:pt>
                <c:pt idx="1">
                  <c:v>534.64074898148556</c:v>
                </c:pt>
                <c:pt idx="2">
                  <c:v>509.75539524425767</c:v>
                </c:pt>
              </c:numCache>
            </c:numRef>
          </c:val>
          <c:extLst>
            <c:ext xmlns:c16="http://schemas.microsoft.com/office/drawing/2014/chart" uri="{C3380CC4-5D6E-409C-BE32-E72D297353CC}">
              <c16:uniqueId val="{00000002-E40E-4F4B-A47C-77386582CED4}"/>
            </c:ext>
          </c:extLst>
        </c:ser>
        <c:ser>
          <c:idx val="2"/>
          <c:order val="2"/>
          <c:tx>
            <c:strRef>
              <c:f>'54'!$E$8</c:f>
              <c:strCache>
                <c:ptCount val="1"/>
                <c:pt idx="0">
                  <c:v>Arroz semi o blanqueado, grano partido &gt; que 15% en peso</c:v>
                </c:pt>
              </c:strCache>
            </c:strRef>
          </c:tx>
          <c:invertIfNegative val="0"/>
          <c:cat>
            <c:strRef>
              <c:f>'54'!$B$14:$B$16</c:f>
              <c:strCache>
                <c:ptCount val="3"/>
                <c:pt idx="0">
                  <c:v>2020</c:v>
                </c:pt>
                <c:pt idx="1">
                  <c:v>2021</c:v>
                </c:pt>
                <c:pt idx="2">
                  <c:v>2022*</c:v>
                </c:pt>
              </c:strCache>
            </c:strRef>
          </c:cat>
          <c:val>
            <c:numRef>
              <c:f>'54'!$E$14:$E$16</c:f>
              <c:numCache>
                <c:formatCode>#,##0</c:formatCode>
                <c:ptCount val="3"/>
                <c:pt idx="0">
                  <c:v>574.76875640634387</c:v>
                </c:pt>
                <c:pt idx="1">
                  <c:v>640.48616495179488</c:v>
                </c:pt>
                <c:pt idx="2">
                  <c:v>533.00923344586431</c:v>
                </c:pt>
              </c:numCache>
            </c:numRef>
          </c:val>
          <c:extLst>
            <c:ext xmlns:c16="http://schemas.microsoft.com/office/drawing/2014/chart" uri="{C3380CC4-5D6E-409C-BE32-E72D297353CC}">
              <c16:uniqueId val="{00000003-E40E-4F4B-A47C-77386582CED4}"/>
            </c:ext>
          </c:extLst>
        </c:ser>
        <c:ser>
          <c:idx val="3"/>
          <c:order val="3"/>
          <c:tx>
            <c:strRef>
              <c:f>'54'!$G$8</c:f>
              <c:strCache>
                <c:ptCount val="1"/>
                <c:pt idx="0">
                  <c:v>Arroz partido</c:v>
                </c:pt>
              </c:strCache>
            </c:strRef>
          </c:tx>
          <c:invertIfNegative val="0"/>
          <c:cat>
            <c:strRef>
              <c:f>'54'!$B$14:$B$16</c:f>
              <c:strCache>
                <c:ptCount val="3"/>
                <c:pt idx="0">
                  <c:v>2020</c:v>
                </c:pt>
                <c:pt idx="1">
                  <c:v>2021</c:v>
                </c:pt>
                <c:pt idx="2">
                  <c:v>2022*</c:v>
                </c:pt>
              </c:strCache>
            </c:strRef>
          </c:cat>
          <c:val>
            <c:numRef>
              <c:f>'54'!$G$14:$G$16</c:f>
              <c:numCache>
                <c:formatCode>#,##0</c:formatCode>
                <c:ptCount val="3"/>
                <c:pt idx="0">
                  <c:v>380.60525246744896</c:v>
                </c:pt>
                <c:pt idx="1">
                  <c:v>428.26342897370228</c:v>
                </c:pt>
                <c:pt idx="2">
                  <c:v>421.84709909540027</c:v>
                </c:pt>
              </c:numCache>
            </c:numRef>
          </c:val>
          <c:extLst>
            <c:ext xmlns:c16="http://schemas.microsoft.com/office/drawing/2014/chart" uri="{C3380CC4-5D6E-409C-BE32-E72D297353CC}">
              <c16:uniqueId val="{00000004-E40E-4F4B-A47C-77386582CED4}"/>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1.6730207005857849E-2"/>
          <c:y val="0.6757748180768508"/>
          <c:w val="0.95056083884337306"/>
          <c:h val="0.1785140033833677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2019 - 2022</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0"/>
          <c:order val="0"/>
          <c:tx>
            <c:strRef>
              <c:f>'55'!$E$6</c:f>
              <c:strCache>
                <c:ptCount val="1"/>
                <c:pt idx="0">
                  <c:v>2019</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'55'!$E$7:$E$15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2-E7D9-4A0B-8D41-9B4083B305DE}"/>
            </c:ext>
          </c:extLst>
        </c:ser>
        <c:ser>
          <c:idx val="1"/>
          <c:order val="1"/>
          <c:tx>
            <c:strRef>
              <c:f>'55'!$F$6</c:f>
              <c:strCache>
                <c:ptCount val="1"/>
                <c:pt idx="0">
                  <c:v>2020</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'55'!$F$7:$F$15</c:f>
              <c:numCache>
                <c:formatCode>#,##0</c:formatCode>
                <c:ptCount val="9"/>
                <c:pt idx="2">
                  <c:v>229324.07407407404</c:v>
                </c:pt>
                <c:pt idx="3">
                  <c:v>237888.88888888888</c:v>
                </c:pt>
                <c:pt idx="4">
                  <c:v>236881.7204301075</c:v>
                </c:pt>
                <c:pt idx="5">
                  <c:v>228216.66666666669</c:v>
                </c:pt>
                <c:pt idx="6">
                  <c:v>235423.07692307691</c:v>
                </c:pt>
                <c:pt idx="7">
                  <c:v>229000</c:v>
                </c:pt>
              </c:numCache>
            </c:numRef>
          </c:val>
          <c:smooth val="0"/>
          <c:extLst>
            <c:ext xmlns:c16="http://schemas.microsoft.com/office/drawing/2014/chart" uri="{C3380CC4-5D6E-409C-BE32-E72D297353CC}">
              <c16:uniqueId val="{00000003-E7D9-4A0B-8D41-9B4083B305DE}"/>
            </c:ext>
          </c:extLst>
        </c:ser>
        <c:ser>
          <c:idx val="2"/>
          <c:order val="2"/>
          <c:tx>
            <c:strRef>
              <c:f>'55'!$G$6</c:f>
              <c:strCache>
                <c:ptCount val="1"/>
                <c:pt idx="0">
                  <c:v>2021</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'55'!$G$7:$G$15</c:f>
              <c:numCache>
                <c:formatCode>#,##0</c:formatCode>
                <c:ptCount val="9"/>
                <c:pt idx="2">
                  <c:v>232700</c:v>
                </c:pt>
                <c:pt idx="3">
                  <c:v>230633.33333333331</c:v>
                </c:pt>
                <c:pt idx="4">
                  <c:v>225316.66666666669</c:v>
                </c:pt>
                <c:pt idx="5">
                  <c:v>227433.33333333331</c:v>
                </c:pt>
                <c:pt idx="6">
                  <c:v>228000</c:v>
                </c:pt>
                <c:pt idx="7">
                  <c:v>235700</c:v>
                </c:pt>
              </c:numCache>
            </c:numRef>
          </c:val>
          <c:smooth val="0"/>
          <c:extLst>
            <c:ext xmlns:c16="http://schemas.microsoft.com/office/drawing/2014/chart" uri="{C3380CC4-5D6E-409C-BE32-E72D297353CC}">
              <c16:uniqueId val="{00000000-D835-4D7D-8CFC-B47108B45EB2}"/>
            </c:ext>
          </c:extLst>
        </c:ser>
        <c:ser>
          <c:idx val="3"/>
          <c:order val="3"/>
          <c:tx>
            <c:strRef>
              <c:f>'55'!$H$6</c:f>
              <c:strCache>
                <c:ptCount val="1"/>
                <c:pt idx="0">
                  <c:v>2022</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'55'!$H$7:$H$16</c:f>
              <c:numCache>
                <c:formatCode>#,##0</c:formatCode>
                <c:ptCount val="10"/>
                <c:pt idx="3">
                  <c:v>258366.66666666663</c:v>
                </c:pt>
                <c:pt idx="4">
                  <c:v>267000.00000000006</c:v>
                </c:pt>
                <c:pt idx="5">
                  <c:v>257133.33333333328</c:v>
                </c:pt>
                <c:pt idx="6">
                  <c:v>278380.64516129036</c:v>
                </c:pt>
              </c:numCache>
            </c:numRef>
          </c:val>
          <c:smooth val="0"/>
          <c:extLst>
            <c:ext xmlns:c16="http://schemas.microsoft.com/office/drawing/2014/chart" uri="{C3380CC4-5D6E-409C-BE32-E72D297353CC}">
              <c16:uniqueId val="{00000001-46FE-4033-8AB7-C45E7EEC0357}"/>
            </c:ext>
          </c:extLst>
        </c:ser>
        <c:dLbls>
          <c:showLegendKey val="0"/>
          <c:showVal val="0"/>
          <c:showCatName val="0"/>
          <c:showSerName val="0"/>
          <c:showPercent val="0"/>
          <c:showBubbleSize val="0"/>
        </c:dLbls>
        <c:marker val="1"/>
        <c:smooth val="0"/>
        <c:axId val="955393536"/>
        <c:axId val="948506560"/>
        <c:extLst/>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85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4492156778408335"/>
          <c:y val="0.81712454975021431"/>
          <c:w val="0.75275231402235554"/>
          <c:h val="0.1470934274808569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683719268819208"/>
          <c:y val="0.18478714550925038"/>
          <c:w val="0.79878864782189996"/>
          <c:h val="0.48770041902656913"/>
        </c:manualLayout>
      </c:layout>
      <c:lineChart>
        <c:grouping val="standard"/>
        <c:varyColors val="0"/>
        <c:ser>
          <c:idx val="0"/>
          <c:order val="0"/>
          <c:tx>
            <c:strRef>
              <c:f>'57'!$F$5</c:f>
              <c:strCache>
                <c:ptCount val="1"/>
                <c:pt idx="0">
                  <c:v> Precio promedio nacional paddy </c:v>
                </c:pt>
              </c:strCache>
            </c:strRef>
          </c:tx>
          <c:marker>
            <c:symbol val="none"/>
          </c:marker>
          <c:cat>
            <c:numRef>
              <c:f>'57'!$B$6:$B$36</c:f>
              <c:numCache>
                <c:formatCode>mmm\-yy</c:formatCode>
                <c:ptCount val="31"/>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numCache>
            </c:numRef>
          </c:cat>
          <c:val>
            <c:numRef>
              <c:f>'57'!$F$6:$F$36</c:f>
              <c:numCache>
                <c:formatCode>#,##0_ ;\-#,##0\ </c:formatCode>
                <c:ptCount val="31"/>
                <c:pt idx="2">
                  <c:v>273.0146006096337</c:v>
                </c:pt>
                <c:pt idx="3">
                  <c:v>278.76079693558427</c:v>
                </c:pt>
                <c:pt idx="4">
                  <c:v>291.13165082048687</c:v>
                </c:pt>
                <c:pt idx="5">
                  <c:v>296.44767383187002</c:v>
                </c:pt>
                <c:pt idx="6">
                  <c:v>296.91741108406711</c:v>
                </c:pt>
                <c:pt idx="7">
                  <c:v>291.84614992480823</c:v>
                </c:pt>
                <c:pt idx="14">
                  <c:v>320.36014703250407</c:v>
                </c:pt>
                <c:pt idx="15">
                  <c:v>325.82232582232575</c:v>
                </c:pt>
                <c:pt idx="16">
                  <c:v>316.43935750174597</c:v>
                </c:pt>
                <c:pt idx="17">
                  <c:v>313.03621732228555</c:v>
                </c:pt>
                <c:pt idx="18">
                  <c:v>303.82175790203075</c:v>
                </c:pt>
                <c:pt idx="19">
                  <c:v>302.24536116845979</c:v>
                </c:pt>
                <c:pt idx="27">
                  <c:v>316.96764484574862</c:v>
                </c:pt>
                <c:pt idx="28">
                  <c:v>314.3432345565642</c:v>
                </c:pt>
                <c:pt idx="29">
                  <c:v>299.76955749598761</c:v>
                </c:pt>
                <c:pt idx="30">
                  <c:v>291.89234165657308</c:v>
                </c:pt>
              </c:numCache>
            </c:numRef>
          </c:val>
          <c:smooth val="0"/>
          <c:extLst>
            <c:ext xmlns:c16="http://schemas.microsoft.com/office/drawing/2014/chart" uri="{C3380CC4-5D6E-409C-BE32-E72D297353CC}">
              <c16:uniqueId val="{00000001-4932-4948-A180-8B34C69193A6}"/>
            </c:ext>
          </c:extLst>
        </c:ser>
        <c:ser>
          <c:idx val="1"/>
          <c:order val="1"/>
          <c:tx>
            <c:strRef>
              <c:f>'57'!$H$5</c:f>
              <c:strCache>
                <c:ptCount val="1"/>
                <c:pt idx="0">
                  <c:v> Costo de importación CIF* (convertido a paddy)   </c:v>
                </c:pt>
              </c:strCache>
            </c:strRef>
          </c:tx>
          <c:marker>
            <c:symbol val="none"/>
          </c:marker>
          <c:cat>
            <c:numRef>
              <c:f>'57'!$B$6:$B$36</c:f>
              <c:numCache>
                <c:formatCode>mmm\-yy</c:formatCode>
                <c:ptCount val="31"/>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numCache>
            </c:numRef>
          </c:cat>
          <c:val>
            <c:numRef>
              <c:f>'57'!$H$6:$H$36</c:f>
              <c:numCache>
                <c:formatCode>#,##0_ ;\-#,##0\ </c:formatCode>
                <c:ptCount val="31"/>
                <c:pt idx="0">
                  <c:v>274.48368246273719</c:v>
                </c:pt>
                <c:pt idx="1">
                  <c:v>275.57255579491635</c:v>
                </c:pt>
                <c:pt idx="2">
                  <c:v>279.38143110268618</c:v>
                </c:pt>
                <c:pt idx="3">
                  <c:v>274.53684838669943</c:v>
                </c:pt>
                <c:pt idx="4">
                  <c:v>276.04764983328954</c:v>
                </c:pt>
                <c:pt idx="5">
                  <c:v>286.34651605249962</c:v>
                </c:pt>
                <c:pt idx="6">
                  <c:v>302.12193539207453</c:v>
                </c:pt>
                <c:pt idx="7">
                  <c:v>309.02589498002465</c:v>
                </c:pt>
                <c:pt idx="8">
                  <c:v>309.20908809427397</c:v>
                </c:pt>
                <c:pt idx="9">
                  <c:v>345.45503111228254</c:v>
                </c:pt>
                <c:pt idx="10">
                  <c:v>371.20894649863055</c:v>
                </c:pt>
                <c:pt idx="11">
                  <c:v>295.2279398551205</c:v>
                </c:pt>
                <c:pt idx="12">
                  <c:v>296.21729982123884</c:v>
                </c:pt>
                <c:pt idx="13">
                  <c:v>322.11223322174328</c:v>
                </c:pt>
                <c:pt idx="14">
                  <c:v>325.01477707275012</c:v>
                </c:pt>
                <c:pt idx="15">
                  <c:v>336.67181786593119</c:v>
                </c:pt>
                <c:pt idx="16">
                  <c:v>310.97171391931886</c:v>
                </c:pt>
                <c:pt idx="17">
                  <c:v>354.96485849299859</c:v>
                </c:pt>
                <c:pt idx="18">
                  <c:v>333.34257000960605</c:v>
                </c:pt>
                <c:pt idx="19">
                  <c:v>340.56061818418544</c:v>
                </c:pt>
                <c:pt idx="20">
                  <c:v>332.64204505919133</c:v>
                </c:pt>
                <c:pt idx="21">
                  <c:v>319.75940031748729</c:v>
                </c:pt>
                <c:pt idx="22">
                  <c:v>339.86128636663625</c:v>
                </c:pt>
                <c:pt idx="23">
                  <c:v>333.58556491424247</c:v>
                </c:pt>
                <c:pt idx="24">
                  <c:v>315.40702538079842</c:v>
                </c:pt>
                <c:pt idx="25">
                  <c:v>308.6469367025648</c:v>
                </c:pt>
                <c:pt idx="26">
                  <c:v>308.36571347605326</c:v>
                </c:pt>
                <c:pt idx="27">
                  <c:v>310.57885537936716</c:v>
                </c:pt>
                <c:pt idx="28">
                  <c:v>319.10531857475871</c:v>
                </c:pt>
                <c:pt idx="29">
                  <c:v>318.89339079281837</c:v>
                </c:pt>
                <c:pt idx="30">
                  <c:v>326.3605533499163</c:v>
                </c:pt>
              </c:numCache>
            </c:numRef>
          </c:val>
          <c:smooth val="0"/>
          <c:extLst>
            <c:ext xmlns:c16="http://schemas.microsoft.com/office/drawing/2014/chart" uri="{C3380CC4-5D6E-409C-BE32-E72D297353CC}">
              <c16:uniqueId val="{00000002-4932-4948-A180-8B34C69193A6}"/>
            </c:ext>
          </c:extLst>
        </c:ser>
        <c:ser>
          <c:idx val="2"/>
          <c:order val="2"/>
          <c:tx>
            <c:strRef>
              <c:f>'57'!$I$5</c:f>
              <c:strCache>
                <c:ptCount val="1"/>
                <c:pt idx="0">
                  <c:v> Costo de importación CAI (Odepa)** </c:v>
                </c:pt>
              </c:strCache>
            </c:strRef>
          </c:tx>
          <c:marker>
            <c:symbol val="none"/>
          </c:marker>
          <c:cat>
            <c:numRef>
              <c:f>'57'!$B$6:$B$36</c:f>
              <c:numCache>
                <c:formatCode>mmm\-yy</c:formatCode>
                <c:ptCount val="31"/>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numCache>
            </c:numRef>
          </c:cat>
          <c:val>
            <c:numRef>
              <c:f>'57'!$I$6:$I$36</c:f>
              <c:numCache>
                <c:formatCode>#,##0_ ;\-#,##0\ </c:formatCode>
                <c:ptCount val="31"/>
                <c:pt idx="0">
                  <c:v>268.46766124576266</c:v>
                </c:pt>
                <c:pt idx="1">
                  <c:v>269.76252324376497</c:v>
                </c:pt>
                <c:pt idx="2">
                  <c:v>268.34214893235429</c:v>
                </c:pt>
                <c:pt idx="3">
                  <c:v>274.10297874335004</c:v>
                </c:pt>
                <c:pt idx="4">
                  <c:v>285.47388583449589</c:v>
                </c:pt>
                <c:pt idx="5">
                  <c:v>294.44192148551821</c:v>
                </c:pt>
                <c:pt idx="6">
                  <c:v>295.17158767983892</c:v>
                </c:pt>
                <c:pt idx="7">
                  <c:v>323.55908414821954</c:v>
                </c:pt>
                <c:pt idx="8">
                  <c:v>399.7482975605551</c:v>
                </c:pt>
                <c:pt idx="9">
                  <c:v>404.84333117663368</c:v>
                </c:pt>
                <c:pt idx="10">
                  <c:v>385.96019122371985</c:v>
                </c:pt>
                <c:pt idx="11">
                  <c:v>380.64937613685606</c:v>
                </c:pt>
                <c:pt idx="12">
                  <c:v>354.63184719282259</c:v>
                </c:pt>
                <c:pt idx="13">
                  <c:v>346.645816900304</c:v>
                </c:pt>
                <c:pt idx="14">
                  <c:v>323.65679107525546</c:v>
                </c:pt>
                <c:pt idx="15">
                  <c:v>323.81323726778271</c:v>
                </c:pt>
                <c:pt idx="16">
                  <c:v>313.9434403710859</c:v>
                </c:pt>
                <c:pt idx="17">
                  <c:v>311.01889320156727</c:v>
                </c:pt>
                <c:pt idx="18">
                  <c:v>306.60507126141908</c:v>
                </c:pt>
                <c:pt idx="19">
                  <c:v>304.83743804463126</c:v>
                </c:pt>
                <c:pt idx="20">
                  <c:v>300.36581890262835</c:v>
                </c:pt>
                <c:pt idx="21">
                  <c:v>294.88614859040638</c:v>
                </c:pt>
                <c:pt idx="22">
                  <c:v>274.59154525571</c:v>
                </c:pt>
                <c:pt idx="23">
                  <c:v>275.22231745047623</c:v>
                </c:pt>
                <c:pt idx="24">
                  <c:v>266.40188147517387</c:v>
                </c:pt>
                <c:pt idx="25">
                  <c:v>274.23891360105068</c:v>
                </c:pt>
                <c:pt idx="26">
                  <c:v>294.40171076440697</c:v>
                </c:pt>
                <c:pt idx="27">
                  <c:v>304.41770736448223</c:v>
                </c:pt>
                <c:pt idx="28">
                  <c:v>296.43473791218946</c:v>
                </c:pt>
                <c:pt idx="29">
                  <c:v>294.29385089158933</c:v>
                </c:pt>
                <c:pt idx="30">
                  <c:v>292.0738630826794</c:v>
                </c:pt>
              </c:numCache>
            </c:numRef>
          </c:val>
          <c:smooth val="0"/>
          <c:extLst>
            <c:ext xmlns:c16="http://schemas.microsoft.com/office/drawing/2014/chart" uri="{C3380CC4-5D6E-409C-BE32-E72D297353CC}">
              <c16:uniqueId val="{00000003-4932-4948-A180-8B34C69193A6}"/>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410"/>
          <c:min val="240"/>
        </c:scaling>
        <c:delete val="0"/>
        <c:axPos val="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30"/>
      </c:valAx>
      <c:spPr>
        <a:solidFill>
          <a:srgbClr val="FFFFFF"/>
        </a:solidFill>
        <a:ln w="12700">
          <a:solidFill>
            <a:srgbClr val="808080"/>
          </a:solidFill>
          <a:prstDash val="solid"/>
        </a:ln>
      </c:spPr>
    </c:plotArea>
    <c:legend>
      <c:legendPos val="r"/>
      <c:layout>
        <c:manualLayout>
          <c:xMode val="edge"/>
          <c:yMode val="edge"/>
          <c:x val="3.8720670707528458E-2"/>
          <c:y val="0.88827220254986339"/>
          <c:w val="0.89743589743589747"/>
          <c:h val="0.11172779745013664"/>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2012 - 2022</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strRef>
              <c:f>'11'!$B$8:$B$18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'11'!$C$8:$C$18</c:f>
              <c:numCache>
                <c:formatCode>#,##0_);\(#,##0\)</c:formatCode>
                <c:ptCount val="11"/>
                <c:pt idx="0">
                  <c:v>1114411.3</c:v>
                </c:pt>
                <c:pt idx="1">
                  <c:v>1365123.3</c:v>
                </c:pt>
                <c:pt idx="2">
                  <c:v>1236091.7399999998</c:v>
                </c:pt>
                <c:pt idx="3">
                  <c:v>1333212.5</c:v>
                </c:pt>
                <c:pt idx="4">
                  <c:v>1531005.6</c:v>
                </c:pt>
                <c:pt idx="5">
                  <c:v>1221269.1400000001</c:v>
                </c:pt>
                <c:pt idx="6">
                  <c:v>1281339.7</c:v>
                </c:pt>
                <c:pt idx="7">
                  <c:v>1204856.2</c:v>
                </c:pt>
                <c:pt idx="8">
                  <c:v>1086140.1000000001</c:v>
                </c:pt>
                <c:pt idx="9" formatCode="#,##0">
                  <c:v>1203308.9100000001</c:v>
                </c:pt>
                <c:pt idx="10" formatCode="[$-10C0A]#,###,##0">
                  <c:v>1009742.69228811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strRef>
              <c:f>'11'!$B$8:$B$18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'11'!$E$8:$E$17</c:f>
              <c:numCache>
                <c:formatCode>#,##0_);\(#,##0\)</c:formatCode>
                <c:ptCount val="10"/>
                <c:pt idx="0">
                  <c:v>681390</c:v>
                </c:pt>
                <c:pt idx="1">
                  <c:v>745918</c:v>
                </c:pt>
                <c:pt idx="2">
                  <c:v>708601</c:v>
                </c:pt>
                <c:pt idx="3">
                  <c:v>690802</c:v>
                </c:pt>
                <c:pt idx="4">
                  <c:v>619305</c:v>
                </c:pt>
                <c:pt idx="5">
                  <c:v>1004093</c:v>
                </c:pt>
                <c:pt idx="6" formatCode="#,##0">
                  <c:v>1068897</c:v>
                </c:pt>
                <c:pt idx="7" formatCode="#,##0">
                  <c:v>1115798</c:v>
                </c:pt>
                <c:pt idx="8" formatCode="#,##0">
                  <c:v>1136918.7700699999</c:v>
                </c:pt>
                <c:pt idx="9" formatCode="#,##0">
                  <c:v>932545</c:v>
                </c:pt>
              </c:numCache>
            </c:numRef>
          </c:val>
          <c:extLst>
            <c:ext xmlns:c16="http://schemas.microsoft.com/office/drawing/2014/chart" uri="{C3380CC4-5D6E-409C-BE32-E72D297353CC}">
              <c16:uniqueId val="{00000001-6BBD-4A4C-AE8C-03F3FC4DE203}"/>
            </c:ext>
          </c:extLst>
        </c:ser>
        <c:ser>
          <c:idx val="1"/>
          <c:order val="3"/>
          <c:tx>
            <c:strRef>
              <c:f>'11'!$G$6:$G$7</c:f>
              <c:strCache>
                <c:ptCount val="2"/>
                <c:pt idx="0">
                  <c:v>Stocks (inicial-final)</c:v>
                </c:pt>
              </c:strCache>
            </c:strRef>
          </c:tx>
          <c:invertIfNegative val="0"/>
          <c:cat>
            <c:strRef>
              <c:f>'11'!$B$8:$B$18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'11'!$G$8:$G$17</c:f>
              <c:numCache>
                <c:formatCode>0.0%</c:formatCode>
                <c:ptCount val="10"/>
                <c:pt idx="6" formatCode="#,##0_);\(#,##0\)">
                  <c:v>-62244</c:v>
                </c:pt>
                <c:pt idx="7" formatCode="#,##0_);\(#,##0\)">
                  <c:v>23046</c:v>
                </c:pt>
                <c:pt idx="8" formatCode="#,##0_);\(#,##0\)">
                  <c:v>-34318</c:v>
                </c:pt>
              </c:numCache>
            </c:numRef>
          </c:val>
          <c:extLst>
            <c:ext xmlns:c16="http://schemas.microsoft.com/office/drawing/2014/chart" uri="{C3380CC4-5D6E-409C-BE32-E72D297353CC}">
              <c16:uniqueId val="{00000000-88BA-4E20-9AAE-DAA98D434795}"/>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'11'!$B$8:$B$11</c:f>
              <c:numCache>
                <c:formatCode>General</c:formatCode>
                <c:ptCount val="4"/>
                <c:pt idx="0">
                  <c:v>2012</c:v>
                </c:pt>
                <c:pt idx="1">
                  <c:v>2013</c:v>
                </c:pt>
                <c:pt idx="2">
                  <c:v>2014</c:v>
                </c:pt>
                <c:pt idx="3">
                  <c:v>2015</c:v>
                </c:pt>
              </c:numCache>
            </c:numRef>
          </c:cat>
          <c:val>
            <c:numRef>
              <c:f>'11'!$I$8:$I$17</c:f>
              <c:numCache>
                <c:formatCode>#,##0_);\(#,##0\)</c:formatCode>
                <c:ptCount val="10"/>
                <c:pt idx="0">
                  <c:v>1795801.3</c:v>
                </c:pt>
                <c:pt idx="1">
                  <c:v>2111041.2999999998</c:v>
                </c:pt>
                <c:pt idx="2">
                  <c:v>1944692.7399999998</c:v>
                </c:pt>
                <c:pt idx="3">
                  <c:v>2024014.5</c:v>
                </c:pt>
                <c:pt idx="4">
                  <c:v>2150310.6</c:v>
                </c:pt>
                <c:pt idx="5">
                  <c:v>2225362.14</c:v>
                </c:pt>
                <c:pt idx="6">
                  <c:v>2287992.7000000002</c:v>
                </c:pt>
                <c:pt idx="7">
                  <c:v>2343700.2000000002</c:v>
                </c:pt>
                <c:pt idx="8">
                  <c:v>2188740.8700700002</c:v>
                </c:pt>
                <c:pt idx="9">
                  <c:v>2135853.91</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0.1762649975011446"/>
          <c:y val="0.84181862341834135"/>
          <c:w val="0.70225568009058792"/>
          <c:h val="6.348070670270693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9 de agosto del 2021</a:t>
            </a:r>
            <a:r>
              <a:rPr lang="es-CL" sz="900" b="1" baseline="0"/>
              <a:t> </a:t>
            </a:r>
            <a:r>
              <a:rPr lang="es-CL" sz="900" b="1"/>
              <a:t>hasta el 12</a:t>
            </a:r>
            <a:r>
              <a:rPr lang="es-CL" sz="900" b="1" baseline="0"/>
              <a:t> de agosto</a:t>
            </a:r>
            <a:r>
              <a:rPr lang="es-CL" sz="900" b="1"/>
              <a:t> de 2022</a:t>
            </a:r>
          </a:p>
          <a:p>
            <a:pPr>
              <a:defRPr sz="900" b="1"/>
            </a:pPr>
            <a:r>
              <a:rPr lang="es-CL" sz="900" b="1"/>
              <a:t>(precios en USD/tonelada)</a:t>
            </a:r>
          </a:p>
        </c:rich>
      </c:tx>
      <c:layout>
        <c:manualLayout>
          <c:xMode val="edge"/>
          <c:yMode val="edge"/>
          <c:x val="0.1351863414761218"/>
          <c:y val="4.6424925332609286E-2"/>
        </c:manualLayout>
      </c:layout>
      <c:overlay val="0"/>
      <c:spPr>
        <a:noFill/>
        <a:ln w="25400">
          <a:noFill/>
        </a:ln>
      </c:spPr>
    </c:title>
    <c:autoTitleDeleted val="0"/>
    <c:plotArea>
      <c:layout>
        <c:manualLayout>
          <c:layoutTarget val="inner"/>
          <c:xMode val="edge"/>
          <c:yMode val="edge"/>
          <c:x val="0.12320020811327533"/>
          <c:y val="0.17972607451458686"/>
          <c:w val="0.80490883743389641"/>
          <c:h val="0.48874929631010611"/>
        </c:manualLayout>
      </c:layout>
      <c:lineChart>
        <c:grouping val="standard"/>
        <c:varyColors val="0"/>
        <c:ser>
          <c:idx val="0"/>
          <c:order val="0"/>
          <c:tx>
            <c:strRef>
              <c:f>'58'!$M$1</c:f>
              <c:strCache>
                <c:ptCount val="1"/>
                <c:pt idx="0">
                  <c:v>mar-22</c:v>
                </c:pt>
              </c:strCache>
            </c:strRef>
          </c:tx>
          <c:marker>
            <c:symbol val="none"/>
          </c:marker>
          <c:cat>
            <c:numRef>
              <c:f>'58'!$G$36:$G$67</c:f>
              <c:numCache>
                <c:formatCode>m/d/yyyy</c:formatCode>
                <c:ptCount val="32"/>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numCache>
            </c:numRef>
          </c:cat>
          <c:val>
            <c:numRef>
              <c:f>'58'!$M$13:$M$42</c:f>
            </c:numRef>
          </c:val>
          <c:smooth val="0"/>
          <c:extLst>
            <c:ext xmlns:c16="http://schemas.microsoft.com/office/drawing/2014/chart" uri="{C3380CC4-5D6E-409C-BE32-E72D297353CC}">
              <c16:uniqueId val="{00000005-A34F-49D0-B6B1-1E83FB4BB203}"/>
            </c:ext>
          </c:extLst>
        </c:ser>
        <c:ser>
          <c:idx val="1"/>
          <c:order val="1"/>
          <c:tx>
            <c:strRef>
              <c:f>'58'!$Q$1</c:f>
              <c:strCache>
                <c:ptCount val="1"/>
                <c:pt idx="0">
                  <c:v>nov-22</c:v>
                </c:pt>
              </c:strCache>
            </c:strRef>
          </c:tx>
          <c:marker>
            <c:symbol val="none"/>
          </c:marker>
          <c:cat>
            <c:numRef>
              <c:f>'58'!$G$36:$G$67</c:f>
              <c:numCache>
                <c:formatCode>m/d/yyyy</c:formatCode>
                <c:ptCount val="32"/>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numCache>
            </c:numRef>
          </c:cat>
          <c:val>
            <c:numRef>
              <c:f>'58'!$Q$36:$Q$62</c:f>
              <c:numCache>
                <c:formatCode>0</c:formatCode>
                <c:ptCount val="27"/>
                <c:pt idx="0">
                  <c:v>314.7101359812342</c:v>
                </c:pt>
                <c:pt idx="1">
                  <c:v>318.78869115857424</c:v>
                </c:pt>
                <c:pt idx="2">
                  <c:v>321.10354679976717</c:v>
                </c:pt>
                <c:pt idx="3">
                  <c:v>329.59135081747473</c:v>
                </c:pt>
                <c:pt idx="4">
                  <c:v>325.9537205241715</c:v>
                </c:pt>
                <c:pt idx="5">
                  <c:v>331.90620645866767</c:v>
                </c:pt>
                <c:pt idx="6">
                  <c:v>337.74846117215469</c:v>
                </c:pt>
                <c:pt idx="7">
                  <c:v>345.02372175876116</c:v>
                </c:pt>
                <c:pt idx="8">
                  <c:v>350.53528280922063</c:v>
                </c:pt>
                <c:pt idx="9">
                  <c:v>351.19667013527572</c:v>
                </c:pt>
                <c:pt idx="10">
                  <c:v>353.40129455545951</c:v>
                </c:pt>
                <c:pt idx="11">
                  <c:v>354.94453164958821</c:v>
                </c:pt>
                <c:pt idx="12">
                  <c:v>353.62175699747786</c:v>
                </c:pt>
                <c:pt idx="13">
                  <c:v>371.47921480096653</c:v>
                </c:pt>
                <c:pt idx="14">
                  <c:v>372.14060212702162</c:v>
                </c:pt>
                <c:pt idx="15">
                  <c:v>380.74</c:v>
                </c:pt>
                <c:pt idx="16">
                  <c:v>376.43961974637995</c:v>
                </c:pt>
                <c:pt idx="17">
                  <c:v>395.28915853895126</c:v>
                </c:pt>
                <c:pt idx="18">
                  <c:v>387.79343551032645</c:v>
                </c:pt>
                <c:pt idx="19">
                  <c:v>394.07661510785022</c:v>
                </c:pt>
                <c:pt idx="20">
                  <c:v>388.12412917335399</c:v>
                </c:pt>
                <c:pt idx="21">
                  <c:v>372.58</c:v>
                </c:pt>
                <c:pt idx="22">
                  <c:v>368.28250939170005</c:v>
                </c:pt>
                <c:pt idx="23">
                  <c:v>367.84158450766324</c:v>
                </c:pt>
                <c:pt idx="24">
                  <c:v>360.56632392105678</c:v>
                </c:pt>
                <c:pt idx="25">
                  <c:v>369.93597770683789</c:v>
                </c:pt>
                <c:pt idx="26">
                  <c:v>381.84094957583022</c:v>
                </c:pt>
              </c:numCache>
            </c:numRef>
          </c:val>
          <c:smooth val="0"/>
          <c:extLst>
            <c:ext xmlns:c16="http://schemas.microsoft.com/office/drawing/2014/chart" uri="{C3380CC4-5D6E-409C-BE32-E72D297353CC}">
              <c16:uniqueId val="{00000000-E284-4E12-AB1F-66A98FE9BCCA}"/>
            </c:ext>
          </c:extLst>
        </c:ser>
        <c:ser>
          <c:idx val="3"/>
          <c:order val="2"/>
          <c:tx>
            <c:strRef>
              <c:f>'58'!$R$1</c:f>
              <c:strCache>
                <c:ptCount val="1"/>
                <c:pt idx="0">
                  <c:v>ene-23</c:v>
                </c:pt>
              </c:strCache>
            </c:strRef>
          </c:tx>
          <c:marker>
            <c:symbol val="none"/>
          </c:marker>
          <c:cat>
            <c:numRef>
              <c:f>'58'!$G$36:$G$67</c:f>
              <c:numCache>
                <c:formatCode>m/d/yyyy</c:formatCode>
                <c:ptCount val="32"/>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numCache>
            </c:numRef>
          </c:cat>
          <c:val>
            <c:numRef>
              <c:f>'58'!$R$36:$R$67</c:f>
              <c:numCache>
                <c:formatCode>0</c:formatCode>
                <c:ptCount val="32"/>
                <c:pt idx="0">
                  <c:v>318.12730383251909</c:v>
                </c:pt>
                <c:pt idx="1">
                  <c:v>322.20585900985907</c:v>
                </c:pt>
                <c:pt idx="2">
                  <c:v>324.52071465105206</c:v>
                </c:pt>
                <c:pt idx="3">
                  <c:v>333.00851866875956</c:v>
                </c:pt>
                <c:pt idx="4">
                  <c:v>326.50487662921745</c:v>
                </c:pt>
                <c:pt idx="5">
                  <c:v>332.45736256371362</c:v>
                </c:pt>
                <c:pt idx="6">
                  <c:v>338.29961727720064</c:v>
                </c:pt>
                <c:pt idx="7">
                  <c:v>348.77158327307359</c:v>
                </c:pt>
                <c:pt idx="8">
                  <c:v>354.28314432353301</c:v>
                </c:pt>
                <c:pt idx="9">
                  <c:v>355.4956877546341</c:v>
                </c:pt>
                <c:pt idx="10">
                  <c:v>357.7003121748179</c:v>
                </c:pt>
                <c:pt idx="11">
                  <c:v>356.26730630169845</c:v>
                </c:pt>
                <c:pt idx="12">
                  <c:v>355.38545653362496</c:v>
                </c:pt>
                <c:pt idx="13">
                  <c:v>373.68383922115027</c:v>
                </c:pt>
                <c:pt idx="14">
                  <c:v>374.12476410518701</c:v>
                </c:pt>
                <c:pt idx="15">
                  <c:v>382.06</c:v>
                </c:pt>
                <c:pt idx="16">
                  <c:v>377.87262561949944</c:v>
                </c:pt>
                <c:pt idx="17">
                  <c:v>396.9426268540891</c:v>
                </c:pt>
                <c:pt idx="18">
                  <c:v>389.99805993051024</c:v>
                </c:pt>
                <c:pt idx="19">
                  <c:v>396.28123952803401</c:v>
                </c:pt>
                <c:pt idx="20">
                  <c:v>388.23436039436319</c:v>
                </c:pt>
                <c:pt idx="21">
                  <c:v>376</c:v>
                </c:pt>
                <c:pt idx="22">
                  <c:v>370.92805869592053</c:v>
                </c:pt>
                <c:pt idx="23">
                  <c:v>370.26667136986543</c:v>
                </c:pt>
                <c:pt idx="24">
                  <c:v>363.21187322527737</c:v>
                </c:pt>
                <c:pt idx="25">
                  <c:v>373.02245189509517</c:v>
                </c:pt>
                <c:pt idx="26">
                  <c:v>384.92742376408756</c:v>
                </c:pt>
                <c:pt idx="27">
                  <c:v>381.17956224977507</c:v>
                </c:pt>
                <c:pt idx="28">
                  <c:v>377.10100707243515</c:v>
                </c:pt>
                <c:pt idx="29">
                  <c:v>387.90366673133559</c:v>
                </c:pt>
                <c:pt idx="30">
                  <c:v>386.1399671951886</c:v>
                </c:pt>
                <c:pt idx="31">
                  <c:v>388.01389795234485</c:v>
                </c:pt>
              </c:numCache>
            </c:numRef>
          </c:val>
          <c:smooth val="0"/>
          <c:extLst>
            <c:ext xmlns:c16="http://schemas.microsoft.com/office/drawing/2014/chart" uri="{C3380CC4-5D6E-409C-BE32-E72D297353CC}">
              <c16:uniqueId val="{00000001-46D2-4CB9-BA9E-11AD388298AC}"/>
            </c:ext>
          </c:extLst>
        </c:ser>
        <c:ser>
          <c:idx val="2"/>
          <c:order val="3"/>
          <c:tx>
            <c:strRef>
              <c:f>'58'!$S$1</c:f>
              <c:strCache>
                <c:ptCount val="1"/>
                <c:pt idx="0">
                  <c:v>mar-23</c:v>
                </c:pt>
              </c:strCache>
            </c:strRef>
          </c:tx>
          <c:marker>
            <c:symbol val="none"/>
          </c:marker>
          <c:cat>
            <c:numRef>
              <c:f>'58'!$G$36:$G$67</c:f>
              <c:numCache>
                <c:formatCode>m/d/yyyy</c:formatCode>
                <c:ptCount val="32"/>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numCache>
            </c:numRef>
          </c:cat>
          <c:val>
            <c:numRef>
              <c:f>'58'!$S$36:$S$67</c:f>
              <c:numCache>
                <c:formatCode>General</c:formatCode>
                <c:ptCount val="32"/>
                <c:pt idx="9" formatCode="0">
                  <c:v>356.26730630169845</c:v>
                </c:pt>
                <c:pt idx="10" formatCode="0">
                  <c:v>358.47193072188225</c:v>
                </c:pt>
                <c:pt idx="11" formatCode="0">
                  <c:v>357.03892484876275</c:v>
                </c:pt>
                <c:pt idx="12" formatCode="0">
                  <c:v>356.15707508068925</c:v>
                </c:pt>
                <c:pt idx="13" formatCode="0">
                  <c:v>374.45545776821456</c:v>
                </c:pt>
                <c:pt idx="14" formatCode="0">
                  <c:v>376.3293885253708</c:v>
                </c:pt>
                <c:pt idx="15" formatCode="0">
                  <c:v>384.27</c:v>
                </c:pt>
                <c:pt idx="16" formatCode="0">
                  <c:v>380.07725003968329</c:v>
                </c:pt>
                <c:pt idx="17" formatCode="0">
                  <c:v>402.45418790454852</c:v>
                </c:pt>
                <c:pt idx="18" formatCode="0">
                  <c:v>393.30499656078587</c:v>
                </c:pt>
                <c:pt idx="19" formatCode="0">
                  <c:v>398.3756327272086</c:v>
                </c:pt>
                <c:pt idx="20" formatCode="0">
                  <c:v>390.43898481454698</c:v>
                </c:pt>
                <c:pt idx="21" formatCode="0">
                  <c:v>381.18</c:v>
                </c:pt>
                <c:pt idx="22" formatCode="0">
                  <c:v>373.24291433711352</c:v>
                </c:pt>
                <c:pt idx="23" formatCode="0">
                  <c:v>372.14060212702162</c:v>
                </c:pt>
                <c:pt idx="24" formatCode="0">
                  <c:v>365.41649764546111</c:v>
                </c:pt>
                <c:pt idx="25" formatCode="0">
                  <c:v>375.44753875729731</c:v>
                </c:pt>
                <c:pt idx="26" formatCode="0">
                  <c:v>386.69112330023455</c:v>
                </c:pt>
                <c:pt idx="27" formatCode="0">
                  <c:v>383.49441789096807</c:v>
                </c:pt>
                <c:pt idx="28" formatCode="0">
                  <c:v>379.41586271362809</c:v>
                </c:pt>
                <c:pt idx="29" formatCode="0">
                  <c:v>389.11621016243674</c:v>
                </c:pt>
                <c:pt idx="30" formatCode="0">
                  <c:v>387.3525106262897</c:v>
                </c:pt>
                <c:pt idx="31" formatCode="0">
                  <c:v>390.43898481454698</c:v>
                </c:pt>
              </c:numCache>
            </c:numRef>
          </c:val>
          <c:smooth val="0"/>
          <c:extLst>
            <c:ext xmlns:c16="http://schemas.microsoft.com/office/drawing/2014/chart" uri="{C3380CC4-5D6E-409C-BE32-E72D297353CC}">
              <c16:uniqueId val="{00000000-3F7E-401B-92E7-CB5A58E0BF8E}"/>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5"/>
        <c:majorTimeUnit val="days"/>
        <c:minorUnit val="1"/>
        <c:minorTimeUnit val="days"/>
      </c:dateAx>
      <c:valAx>
        <c:axId val="948932544"/>
        <c:scaling>
          <c:orientation val="minMax"/>
          <c:max val="410"/>
          <c:min val="28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midCat"/>
      </c:valAx>
      <c:spPr>
        <a:noFill/>
        <a:ln w="25400">
          <a:noFill/>
        </a:ln>
      </c:spPr>
    </c:plotArea>
    <c:legend>
      <c:legendPos val="r"/>
      <c:layout>
        <c:manualLayout>
          <c:xMode val="edge"/>
          <c:yMode val="edge"/>
          <c:x val="0.14149590192232489"/>
          <c:y val="0.81724573269897582"/>
          <c:w val="0.7520715401262964"/>
          <c:h val="0.1705985549247353"/>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L" sz="1300" b="1" i="0" u="none" strike="noStrike" baseline="0">
                <a:solidFill>
                  <a:srgbClr val="000000"/>
                </a:solidFill>
                <a:latin typeface="Arial"/>
                <a:cs typeface="Arial"/>
              </a:rPr>
              <a:t>Gráfico N</a:t>
            </a:r>
            <a:r>
              <a:rPr lang="es-CL" sz="1300" b="1" i="0" u="none" strike="noStrike" baseline="0">
                <a:solidFill>
                  <a:srgbClr val="000000"/>
                </a:solidFill>
                <a:latin typeface="+mn-ea"/>
                <a:ea typeface="+mn-ea"/>
                <a:cs typeface="+mn-ea"/>
              </a:rPr>
              <a:t>°</a:t>
            </a:r>
            <a:r>
              <a:rPr lang="es-CL" sz="1300" b="1" i="0" u="none" strike="noStrike" baseline="0">
                <a:solidFill>
                  <a:srgbClr val="000000"/>
                </a:solidFill>
                <a:latin typeface="Arial"/>
                <a:ea typeface="+mn-ea"/>
                <a:cs typeface="Arial"/>
              </a:rPr>
              <a:t> 12. Evolución de los precios a consumidor del arroz grado 2 en supermercados en la Región Metropolitana</a:t>
            </a:r>
            <a:endParaRPr lang="es-CL" sz="13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'59'!$C$6</c:f>
              <c:strCache>
                <c:ptCount val="1"/>
                <c:pt idx="0">
                  <c:v>Precio mínimo arroz grano ancho</c:v>
                </c:pt>
              </c:strCache>
            </c:strRef>
          </c:tx>
          <c:cat>
            <c:numRef>
              <c:f>'59'!$B$7:$B$36</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'59'!$C$7:$C$36</c:f>
              <c:numCache>
                <c:formatCode>_-* #,##0_-;\-* #,##0_-;_-* \-_-;_-@_-</c:formatCode>
                <c:ptCount val="30"/>
                <c:pt idx="0">
                  <c:v>790</c:v>
                </c:pt>
                <c:pt idx="1">
                  <c:v>829</c:v>
                </c:pt>
                <c:pt idx="2">
                  <c:v>890</c:v>
                </c:pt>
                <c:pt idx="3">
                  <c:v>910</c:v>
                </c:pt>
                <c:pt idx="4">
                  <c:v>910</c:v>
                </c:pt>
                <c:pt idx="5">
                  <c:v>910</c:v>
                </c:pt>
                <c:pt idx="6">
                  <c:v>910</c:v>
                </c:pt>
                <c:pt idx="7">
                  <c:v>910</c:v>
                </c:pt>
                <c:pt idx="8">
                  <c:v>910</c:v>
                </c:pt>
                <c:pt idx="9">
                  <c:v>850</c:v>
                </c:pt>
                <c:pt idx="10">
                  <c:v>910</c:v>
                </c:pt>
                <c:pt idx="11">
                  <c:v>910</c:v>
                </c:pt>
                <c:pt idx="12">
                  <c:v>910</c:v>
                </c:pt>
                <c:pt idx="13">
                  <c:v>989</c:v>
                </c:pt>
                <c:pt idx="14">
                  <c:v>989</c:v>
                </c:pt>
                <c:pt idx="15">
                  <c:v>910</c:v>
                </c:pt>
                <c:pt idx="16">
                  <c:v>950</c:v>
                </c:pt>
                <c:pt idx="17">
                  <c:v>950</c:v>
                </c:pt>
                <c:pt idx="18">
                  <c:v>910</c:v>
                </c:pt>
                <c:pt idx="19">
                  <c:v>910</c:v>
                </c:pt>
                <c:pt idx="20">
                  <c:v>850</c:v>
                </c:pt>
                <c:pt idx="21">
                  <c:v>850</c:v>
                </c:pt>
                <c:pt idx="22">
                  <c:v>799</c:v>
                </c:pt>
                <c:pt idx="23">
                  <c:v>850</c:v>
                </c:pt>
                <c:pt idx="24">
                  <c:v>980</c:v>
                </c:pt>
                <c:pt idx="25">
                  <c:v>830</c:v>
                </c:pt>
                <c:pt idx="26">
                  <c:v>980</c:v>
                </c:pt>
                <c:pt idx="27">
                  <c:v>780</c:v>
                </c:pt>
                <c:pt idx="28">
                  <c:v>1000</c:v>
                </c:pt>
                <c:pt idx="29">
                  <c:v>1000</c:v>
                </c:pt>
              </c:numCache>
            </c:numRef>
          </c:val>
          <c:smooth val="0"/>
          <c:extLst>
            <c:ext xmlns:c16="http://schemas.microsoft.com/office/drawing/2014/chart" uri="{C3380CC4-5D6E-409C-BE32-E72D297353CC}">
              <c16:uniqueId val="{00000001-8216-4C40-A015-924B1E46517D}"/>
            </c:ext>
          </c:extLst>
        </c:ser>
        <c:ser>
          <c:idx val="1"/>
          <c:order val="1"/>
          <c:tx>
            <c:strRef>
              <c:f>'59'!$D$6</c:f>
              <c:strCache>
                <c:ptCount val="1"/>
                <c:pt idx="0">
                  <c:v>Precio mínimo arroz grano delgado</c:v>
                </c:pt>
              </c:strCache>
            </c:strRef>
          </c:tx>
          <c:cat>
            <c:numRef>
              <c:f>'59'!$B$7:$B$36</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'59'!$D$7:$D$36</c:f>
              <c:numCache>
                <c:formatCode>_-* #,##0_-;\-* #,##0_-;_-* \-_-;_-@_-</c:formatCode>
                <c:ptCount val="30"/>
                <c:pt idx="0">
                  <c:v>540</c:v>
                </c:pt>
                <c:pt idx="1">
                  <c:v>540</c:v>
                </c:pt>
                <c:pt idx="2">
                  <c:v>575</c:v>
                </c:pt>
                <c:pt idx="3">
                  <c:v>575</c:v>
                </c:pt>
                <c:pt idx="4">
                  <c:v>790</c:v>
                </c:pt>
                <c:pt idx="5">
                  <c:v>799</c:v>
                </c:pt>
                <c:pt idx="6">
                  <c:v>799</c:v>
                </c:pt>
                <c:pt idx="7">
                  <c:v>799</c:v>
                </c:pt>
                <c:pt idx="8">
                  <c:v>699</c:v>
                </c:pt>
                <c:pt idx="9">
                  <c:v>560</c:v>
                </c:pt>
                <c:pt idx="10">
                  <c:v>779</c:v>
                </c:pt>
                <c:pt idx="11">
                  <c:v>699</c:v>
                </c:pt>
                <c:pt idx="12">
                  <c:v>699</c:v>
                </c:pt>
                <c:pt idx="13">
                  <c:v>799</c:v>
                </c:pt>
                <c:pt idx="14">
                  <c:v>790</c:v>
                </c:pt>
                <c:pt idx="15">
                  <c:v>799</c:v>
                </c:pt>
                <c:pt idx="16">
                  <c:v>849</c:v>
                </c:pt>
                <c:pt idx="17">
                  <c:v>849</c:v>
                </c:pt>
                <c:pt idx="18">
                  <c:v>820</c:v>
                </c:pt>
                <c:pt idx="19">
                  <c:v>800</c:v>
                </c:pt>
                <c:pt idx="20">
                  <c:v>790</c:v>
                </c:pt>
                <c:pt idx="21">
                  <c:v>790</c:v>
                </c:pt>
                <c:pt idx="22">
                  <c:v>810</c:v>
                </c:pt>
                <c:pt idx="23">
                  <c:v>850</c:v>
                </c:pt>
                <c:pt idx="24">
                  <c:v>830</c:v>
                </c:pt>
                <c:pt idx="25">
                  <c:v>750</c:v>
                </c:pt>
                <c:pt idx="26">
                  <c:v>780</c:v>
                </c:pt>
                <c:pt idx="27">
                  <c:v>780</c:v>
                </c:pt>
                <c:pt idx="28">
                  <c:v>820</c:v>
                </c:pt>
                <c:pt idx="29">
                  <c:v>820</c:v>
                </c:pt>
              </c:numCache>
            </c:numRef>
          </c:val>
          <c:smooth val="0"/>
          <c:extLst>
            <c:ext xmlns:c16="http://schemas.microsoft.com/office/drawing/2014/chart" uri="{C3380CC4-5D6E-409C-BE32-E72D297353CC}">
              <c16:uniqueId val="{00000002-8216-4C40-A015-924B1E46517D}"/>
            </c:ext>
          </c:extLst>
        </c:ser>
        <c:ser>
          <c:idx val="2"/>
          <c:order val="2"/>
          <c:tx>
            <c:strRef>
              <c:f>'59'!$E$6</c:f>
              <c:strCache>
                <c:ptCount val="1"/>
                <c:pt idx="0">
                  <c:v>Precio máximo arroz grano ancho</c:v>
                </c:pt>
              </c:strCache>
            </c:strRef>
          </c:tx>
          <c:cat>
            <c:numRef>
              <c:f>'59'!$B$7:$B$36</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'59'!$E$7:$E$36</c:f>
              <c:numCache>
                <c:formatCode>_-* #,##0_-;\-* #,##0_-;_-* \-_-;_-@_-</c:formatCode>
                <c:ptCount val="30"/>
                <c:pt idx="0">
                  <c:v>1350</c:v>
                </c:pt>
                <c:pt idx="1">
                  <c:v>1350</c:v>
                </c:pt>
                <c:pt idx="2">
                  <c:v>1450</c:v>
                </c:pt>
                <c:pt idx="3">
                  <c:v>1450</c:v>
                </c:pt>
                <c:pt idx="4">
                  <c:v>1595</c:v>
                </c:pt>
                <c:pt idx="5">
                  <c:v>1595</c:v>
                </c:pt>
                <c:pt idx="6">
                  <c:v>1595</c:v>
                </c:pt>
                <c:pt idx="7">
                  <c:v>1169</c:v>
                </c:pt>
                <c:pt idx="8">
                  <c:v>1249</c:v>
                </c:pt>
                <c:pt idx="9">
                  <c:v>1249</c:v>
                </c:pt>
                <c:pt idx="10">
                  <c:v>1339</c:v>
                </c:pt>
                <c:pt idx="11">
                  <c:v>1399</c:v>
                </c:pt>
                <c:pt idx="12">
                  <c:v>1139</c:v>
                </c:pt>
                <c:pt idx="13">
                  <c:v>1399</c:v>
                </c:pt>
                <c:pt idx="14">
                  <c:v>1399</c:v>
                </c:pt>
                <c:pt idx="15">
                  <c:v>1399</c:v>
                </c:pt>
                <c:pt idx="16">
                  <c:v>1399</c:v>
                </c:pt>
                <c:pt idx="17">
                  <c:v>1320</c:v>
                </c:pt>
                <c:pt idx="18">
                  <c:v>1320</c:v>
                </c:pt>
                <c:pt idx="19">
                  <c:v>1320</c:v>
                </c:pt>
                <c:pt idx="20">
                  <c:v>1399</c:v>
                </c:pt>
                <c:pt idx="21">
                  <c:v>1399</c:v>
                </c:pt>
                <c:pt idx="22">
                  <c:v>1459</c:v>
                </c:pt>
                <c:pt idx="23">
                  <c:v>1399</c:v>
                </c:pt>
                <c:pt idx="24">
                  <c:v>1439</c:v>
                </c:pt>
                <c:pt idx="25">
                  <c:v>1399</c:v>
                </c:pt>
                <c:pt idx="26">
                  <c:v>1499</c:v>
                </c:pt>
                <c:pt idx="27">
                  <c:v>1650</c:v>
                </c:pt>
                <c:pt idx="28">
                  <c:v>1590</c:v>
                </c:pt>
                <c:pt idx="29">
                  <c:v>1599</c:v>
                </c:pt>
              </c:numCache>
            </c:numRef>
          </c:val>
          <c:smooth val="0"/>
          <c:extLst>
            <c:ext xmlns:c16="http://schemas.microsoft.com/office/drawing/2014/chart" uri="{C3380CC4-5D6E-409C-BE32-E72D297353CC}">
              <c16:uniqueId val="{00000004-8216-4C40-A015-924B1E46517D}"/>
            </c:ext>
          </c:extLst>
        </c:ser>
        <c:ser>
          <c:idx val="3"/>
          <c:order val="3"/>
          <c:tx>
            <c:strRef>
              <c:f>'59'!$F$6</c:f>
              <c:strCache>
                <c:ptCount val="1"/>
                <c:pt idx="0">
                  <c:v>Precio máximo arroz grano delgado</c:v>
                </c:pt>
              </c:strCache>
            </c:strRef>
          </c:tx>
          <c:cat>
            <c:numRef>
              <c:f>'59'!$B$7:$B$36</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'59'!$F$7:$F$36</c:f>
              <c:numCache>
                <c:formatCode>_-* #,##0_-;\-* #,##0_-;_-* \-_-;_-@_-</c:formatCode>
                <c:ptCount val="30"/>
                <c:pt idx="0">
                  <c:v>1099</c:v>
                </c:pt>
                <c:pt idx="1">
                  <c:v>1190</c:v>
                </c:pt>
                <c:pt idx="2">
                  <c:v>1190</c:v>
                </c:pt>
                <c:pt idx="3">
                  <c:v>1229</c:v>
                </c:pt>
                <c:pt idx="4">
                  <c:v>1190</c:v>
                </c:pt>
                <c:pt idx="5">
                  <c:v>1190</c:v>
                </c:pt>
                <c:pt idx="6">
                  <c:v>1190</c:v>
                </c:pt>
                <c:pt idx="7">
                  <c:v>1079</c:v>
                </c:pt>
                <c:pt idx="8">
                  <c:v>1079</c:v>
                </c:pt>
                <c:pt idx="9">
                  <c:v>1150</c:v>
                </c:pt>
                <c:pt idx="10">
                  <c:v>1150</c:v>
                </c:pt>
                <c:pt idx="11">
                  <c:v>1060</c:v>
                </c:pt>
                <c:pt idx="12">
                  <c:v>1090</c:v>
                </c:pt>
                <c:pt idx="13">
                  <c:v>1039</c:v>
                </c:pt>
                <c:pt idx="14">
                  <c:v>1090</c:v>
                </c:pt>
                <c:pt idx="15">
                  <c:v>1039</c:v>
                </c:pt>
                <c:pt idx="16">
                  <c:v>1039</c:v>
                </c:pt>
                <c:pt idx="17">
                  <c:v>1050</c:v>
                </c:pt>
                <c:pt idx="18">
                  <c:v>1070</c:v>
                </c:pt>
                <c:pt idx="19">
                  <c:v>1110</c:v>
                </c:pt>
                <c:pt idx="20">
                  <c:v>1090</c:v>
                </c:pt>
                <c:pt idx="21">
                  <c:v>1289</c:v>
                </c:pt>
                <c:pt idx="22">
                  <c:v>1090</c:v>
                </c:pt>
                <c:pt idx="23">
                  <c:v>1359</c:v>
                </c:pt>
                <c:pt idx="24">
                  <c:v>1199</c:v>
                </c:pt>
                <c:pt idx="25">
                  <c:v>1290</c:v>
                </c:pt>
                <c:pt idx="26">
                  <c:v>1280</c:v>
                </c:pt>
                <c:pt idx="27">
                  <c:v>1090</c:v>
                </c:pt>
                <c:pt idx="28">
                  <c:v>1349</c:v>
                </c:pt>
                <c:pt idx="29">
                  <c:v>1650</c:v>
                </c:pt>
              </c:numCache>
            </c:numRef>
          </c:val>
          <c:smooth val="0"/>
          <c:extLst>
            <c:ext xmlns:c16="http://schemas.microsoft.com/office/drawing/2014/chart" uri="{C3380CC4-5D6E-409C-BE32-E72D297353CC}">
              <c16:uniqueId val="{00000005-8216-4C40-A015-924B1E46517D}"/>
            </c:ext>
          </c:extLst>
        </c:ser>
        <c:ser>
          <c:idx val="4"/>
          <c:order val="4"/>
          <c:tx>
            <c:strRef>
              <c:f>'59'!$G$6</c:f>
              <c:strCache>
                <c:ptCount val="1"/>
                <c:pt idx="0">
                  <c:v>Precio promedio arroz grano ancho</c:v>
                </c:pt>
              </c:strCache>
            </c:strRef>
          </c:tx>
          <c:cat>
            <c:numRef>
              <c:f>'59'!$B$7:$B$36</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'59'!$G$7:$G$36</c:f>
              <c:numCache>
                <c:formatCode>_-* #,##0_-;\-* #,##0_-;_-* \-_-;_-@_-</c:formatCode>
                <c:ptCount val="30"/>
                <c:pt idx="0">
                  <c:v>1020</c:v>
                </c:pt>
                <c:pt idx="1">
                  <c:v>1027</c:v>
                </c:pt>
                <c:pt idx="2">
                  <c:v>1046</c:v>
                </c:pt>
                <c:pt idx="3">
                  <c:v>1056</c:v>
                </c:pt>
                <c:pt idx="4">
                  <c:v>1091</c:v>
                </c:pt>
                <c:pt idx="5">
                  <c:v>1072</c:v>
                </c:pt>
                <c:pt idx="6">
                  <c:v>1050</c:v>
                </c:pt>
                <c:pt idx="7">
                  <c:v>1041</c:v>
                </c:pt>
                <c:pt idx="8">
                  <c:v>1051</c:v>
                </c:pt>
                <c:pt idx="9">
                  <c:v>1158</c:v>
                </c:pt>
                <c:pt idx="10">
                  <c:v>1069</c:v>
                </c:pt>
                <c:pt idx="11">
                  <c:v>1063</c:v>
                </c:pt>
                <c:pt idx="12">
                  <c:v>1062</c:v>
                </c:pt>
                <c:pt idx="13">
                  <c:v>1072</c:v>
                </c:pt>
                <c:pt idx="14">
                  <c:v>1070</c:v>
                </c:pt>
                <c:pt idx="15">
                  <c:v>1088</c:v>
                </c:pt>
                <c:pt idx="16">
                  <c:v>1081</c:v>
                </c:pt>
                <c:pt idx="17">
                  <c:v>1057</c:v>
                </c:pt>
                <c:pt idx="18">
                  <c:v>1082</c:v>
                </c:pt>
                <c:pt idx="19">
                  <c:v>1108</c:v>
                </c:pt>
                <c:pt idx="20">
                  <c:v>1130</c:v>
                </c:pt>
                <c:pt idx="21">
                  <c:v>1139</c:v>
                </c:pt>
                <c:pt idx="22">
                  <c:v>1158</c:v>
                </c:pt>
                <c:pt idx="23">
                  <c:v>1184</c:v>
                </c:pt>
                <c:pt idx="24">
                  <c:v>1195</c:v>
                </c:pt>
                <c:pt idx="25">
                  <c:v>1158</c:v>
                </c:pt>
                <c:pt idx="26">
                  <c:v>1224</c:v>
                </c:pt>
                <c:pt idx="27">
                  <c:v>1341</c:v>
                </c:pt>
                <c:pt idx="28">
                  <c:v>1353</c:v>
                </c:pt>
                <c:pt idx="29">
                  <c:v>1360</c:v>
                </c:pt>
              </c:numCache>
            </c:numRef>
          </c:val>
          <c:smooth val="0"/>
          <c:extLst>
            <c:ext xmlns:c16="http://schemas.microsoft.com/office/drawing/2014/chart" uri="{C3380CC4-5D6E-409C-BE32-E72D297353CC}">
              <c16:uniqueId val="{00000006-8216-4C40-A015-924B1E46517D}"/>
            </c:ext>
          </c:extLst>
        </c:ser>
        <c:ser>
          <c:idx val="5"/>
          <c:order val="5"/>
          <c:tx>
            <c:strRef>
              <c:f>'59'!$H$6</c:f>
              <c:strCache>
                <c:ptCount val="1"/>
                <c:pt idx="0">
                  <c:v>Precio promedio arroz grano delgado</c:v>
                </c:pt>
              </c:strCache>
            </c:strRef>
          </c:tx>
          <c:cat>
            <c:numRef>
              <c:f>'59'!$B$7:$B$36</c:f>
              <c:numCache>
                <c:formatCode>mmm\-yy</c:formatCode>
                <c:ptCount val="30"/>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numCache>
            </c:numRef>
          </c:cat>
          <c:val>
            <c:numRef>
              <c:f>'59'!$H$7:$H$36</c:f>
              <c:numCache>
                <c:formatCode>_-* #,##0_-;\-* #,##0_-;_-* \-_-;_-@_-</c:formatCode>
                <c:ptCount val="30"/>
                <c:pt idx="0">
                  <c:v>891</c:v>
                </c:pt>
                <c:pt idx="1">
                  <c:v>886</c:v>
                </c:pt>
                <c:pt idx="2">
                  <c:v>912</c:v>
                </c:pt>
                <c:pt idx="3">
                  <c:v>913</c:v>
                </c:pt>
                <c:pt idx="4">
                  <c:v>927</c:v>
                </c:pt>
                <c:pt idx="5">
                  <c:v>914</c:v>
                </c:pt>
                <c:pt idx="6">
                  <c:v>906</c:v>
                </c:pt>
                <c:pt idx="7">
                  <c:v>895</c:v>
                </c:pt>
                <c:pt idx="8">
                  <c:v>901</c:v>
                </c:pt>
                <c:pt idx="9">
                  <c:v>910</c:v>
                </c:pt>
                <c:pt idx="10">
                  <c:v>898</c:v>
                </c:pt>
                <c:pt idx="11">
                  <c:v>896</c:v>
                </c:pt>
                <c:pt idx="12">
                  <c:v>901</c:v>
                </c:pt>
                <c:pt idx="13">
                  <c:v>900</c:v>
                </c:pt>
                <c:pt idx="14">
                  <c:v>911</c:v>
                </c:pt>
                <c:pt idx="15">
                  <c:v>920</c:v>
                </c:pt>
                <c:pt idx="16">
                  <c:v>918</c:v>
                </c:pt>
                <c:pt idx="17">
                  <c:v>911</c:v>
                </c:pt>
                <c:pt idx="18">
                  <c:v>916</c:v>
                </c:pt>
                <c:pt idx="19">
                  <c:v>911</c:v>
                </c:pt>
                <c:pt idx="20">
                  <c:v>913</c:v>
                </c:pt>
                <c:pt idx="21">
                  <c:v>916</c:v>
                </c:pt>
                <c:pt idx="22">
                  <c:v>922</c:v>
                </c:pt>
                <c:pt idx="23">
                  <c:v>929</c:v>
                </c:pt>
                <c:pt idx="24">
                  <c:v>901</c:v>
                </c:pt>
                <c:pt idx="25">
                  <c:v>922</c:v>
                </c:pt>
                <c:pt idx="26">
                  <c:v>951</c:v>
                </c:pt>
                <c:pt idx="27">
                  <c:v>951</c:v>
                </c:pt>
                <c:pt idx="28">
                  <c:v>992</c:v>
                </c:pt>
                <c:pt idx="29">
                  <c:v>1020</c:v>
                </c:pt>
              </c:numCache>
            </c:numRef>
          </c:val>
          <c:smooth val="0"/>
          <c:extLst>
            <c:ext xmlns:c16="http://schemas.microsoft.com/office/drawing/2014/chart" uri="{C3380CC4-5D6E-409C-BE32-E72D297353CC}">
              <c16:uniqueId val="{00000007-8216-4C40-A015-924B1E46517D}"/>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19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105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0898218525287378"/>
          <c:h val="0.15285424670422598"/>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b="1"/>
              <a:t>Gráfico N° 13. Índice de precios a consumidor arroz grado 2 largo ancho y delgado en supermercados de la RM, Costo de Importación (CIF) y Costo Alternativo de Importación (CAI) </a:t>
            </a:r>
          </a:p>
          <a:p>
            <a:pPr>
              <a:defRPr sz="1200" b="1"/>
            </a:pPr>
            <a:r>
              <a:rPr lang="en-US" sz="1200" b="1"/>
              <a:t>2019 -2022 </a:t>
            </a:r>
          </a:p>
          <a:p>
            <a:pPr>
              <a:defRPr sz="1200" b="1"/>
            </a:pPr>
            <a:r>
              <a:rPr lang="en-US" sz="1200" b="1"/>
              <a:t>Base enero 2018 = 100</a:t>
            </a:r>
          </a:p>
        </c:rich>
      </c:tx>
      <c:layout>
        <c:manualLayout>
          <c:xMode val="edge"/>
          <c:yMode val="edge"/>
          <c:x val="0.10270015062598799"/>
          <c:y val="2.058482977397609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s-CL"/>
        </a:p>
      </c:txPr>
    </c:title>
    <c:autoTitleDeleted val="0"/>
    <c:plotArea>
      <c:layout>
        <c:manualLayout>
          <c:layoutTarget val="inner"/>
          <c:xMode val="edge"/>
          <c:yMode val="edge"/>
          <c:x val="0.11931251919998706"/>
          <c:y val="0.2495806921353077"/>
          <c:w val="0.72328083989501302"/>
          <c:h val="0.39159753398960051"/>
        </c:manualLayout>
      </c:layout>
      <c:lineChart>
        <c:grouping val="standard"/>
        <c:varyColors val="0"/>
        <c:ser>
          <c:idx val="0"/>
          <c:order val="0"/>
          <c:tx>
            <c:strRef>
              <c:f>'61'!$O$1</c:f>
              <c:strCache>
                <c:ptCount val="1"/>
                <c:pt idx="0">
                  <c:v>Indice  Costo importación CIF</c:v>
                </c:pt>
              </c:strCache>
            </c:strRef>
          </c:tx>
          <c:spPr>
            <a:ln w="28575" cap="rnd">
              <a:solidFill>
                <a:schemeClr val="accent1"/>
              </a:solidFill>
              <a:round/>
            </a:ln>
            <a:effectLst/>
          </c:spPr>
          <c:marker>
            <c:symbol val="none"/>
          </c:marker>
          <c:cat>
            <c:numRef>
              <c:f>'61'!$A$2:$A$56</c:f>
              <c:numCache>
                <c:formatCode>m/d/yyyy</c:formatCode>
                <c:ptCount val="5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numCache>
            </c:numRef>
          </c:cat>
          <c:val>
            <c:numRef>
              <c:f>'61'!$O$2:$O$56</c:f>
              <c:numCache>
                <c:formatCode>0.00</c:formatCode>
                <c:ptCount val="55"/>
                <c:pt idx="0" formatCode="General">
                  <c:v>100</c:v>
                </c:pt>
                <c:pt idx="1">
                  <c:v>92.727206501426906</c:v>
                </c:pt>
                <c:pt idx="2">
                  <c:v>97.266465124183966</c:v>
                </c:pt>
                <c:pt idx="3">
                  <c:v>92.187443984034871</c:v>
                </c:pt>
                <c:pt idx="4">
                  <c:v>92.790892363085234</c:v>
                </c:pt>
                <c:pt idx="5">
                  <c:v>97.027385976477348</c:v>
                </c:pt>
                <c:pt idx="6">
                  <c:v>99.128578691676609</c:v>
                </c:pt>
                <c:pt idx="7">
                  <c:v>99.284750212495325</c:v>
                </c:pt>
                <c:pt idx="8">
                  <c:v>117.02524627432133</c:v>
                </c:pt>
                <c:pt idx="9">
                  <c:v>103.82964878165541</c:v>
                </c:pt>
                <c:pt idx="10">
                  <c:v>102.60893739515757</c:v>
                </c:pt>
                <c:pt idx="11">
                  <c:v>106.33683071664667</c:v>
                </c:pt>
                <c:pt idx="12">
                  <c:v>102.35960302356295</c:v>
                </c:pt>
                <c:pt idx="13">
                  <c:v>98.32614685089068</c:v>
                </c:pt>
                <c:pt idx="14">
                  <c:v>97.874478331197821</c:v>
                </c:pt>
                <c:pt idx="15">
                  <c:v>97.942680959636533</c:v>
                </c:pt>
                <c:pt idx="16">
                  <c:v>103.02543592912869</c:v>
                </c:pt>
                <c:pt idx="17">
                  <c:v>103.24355516899215</c:v>
                </c:pt>
                <c:pt idx="18">
                  <c:v>102.2854128857379</c:v>
                </c:pt>
                <c:pt idx="19">
                  <c:v>102.39655389100109</c:v>
                </c:pt>
                <c:pt idx="20">
                  <c:v>101.55016303222904</c:v>
                </c:pt>
                <c:pt idx="21">
                  <c:v>107.57490751917425</c:v>
                </c:pt>
                <c:pt idx="22">
                  <c:v>119.05714676301284</c:v>
                </c:pt>
                <c:pt idx="23">
                  <c:v>115.64684092590514</c:v>
                </c:pt>
                <c:pt idx="24">
                  <c:v>117.68492767288677</c:v>
                </c:pt>
                <c:pt idx="25">
                  <c:v>121.78051691479719</c:v>
                </c:pt>
                <c:pt idx="26">
                  <c:v>130.22153705358124</c:v>
                </c:pt>
                <c:pt idx="27">
                  <c:v>130.00636289225284</c:v>
                </c:pt>
                <c:pt idx="28">
                  <c:v>125.88586832986917</c:v>
                </c:pt>
                <c:pt idx="29">
                  <c:v>125.9601656586325</c:v>
                </c:pt>
                <c:pt idx="30">
                  <c:v>131.56004648601211</c:v>
                </c:pt>
                <c:pt idx="31">
                  <c:v>134.55439599610321</c:v>
                </c:pt>
                <c:pt idx="32">
                  <c:v>132.70213861439109</c:v>
                </c:pt>
                <c:pt idx="33">
                  <c:v>149.19123748776013</c:v>
                </c:pt>
                <c:pt idx="34">
                  <c:v>157.31643738599007</c:v>
                </c:pt>
                <c:pt idx="35">
                  <c:v>120.36680511884921</c:v>
                </c:pt>
                <c:pt idx="36">
                  <c:v>118.93412262889538</c:v>
                </c:pt>
                <c:pt idx="37">
                  <c:v>129.16495900339544</c:v>
                </c:pt>
                <c:pt idx="38">
                  <c:v>131.00338279315935</c:v>
                </c:pt>
                <c:pt idx="39">
                  <c:v>132.24202918534391</c:v>
                </c:pt>
                <c:pt idx="40">
                  <c:v>122.90822503396272</c:v>
                </c:pt>
                <c:pt idx="41">
                  <c:v>143.10881773250418</c:v>
                </c:pt>
                <c:pt idx="42">
                  <c:v>138.81239854322553</c:v>
                </c:pt>
                <c:pt idx="43">
                  <c:v>147.37230228116925</c:v>
                </c:pt>
                <c:pt idx="44">
                  <c:v>144.6470897349254</c:v>
                </c:pt>
                <c:pt idx="45">
                  <c:v>144.42505863704702</c:v>
                </c:pt>
                <c:pt idx="46">
                  <c:v>157.79301684509758</c:v>
                </c:pt>
                <c:pt idx="47">
                  <c:v>157.18019524573151</c:v>
                </c:pt>
                <c:pt idx="48">
                  <c:v>143.87690949808567</c:v>
                </c:pt>
                <c:pt idx="49">
                  <c:v>138.22757196192839</c:v>
                </c:pt>
                <c:pt idx="50">
                  <c:v>136.7532414346432</c:v>
                </c:pt>
                <c:pt idx="51">
                  <c:v>140.48014232224889</c:v>
                </c:pt>
                <c:pt idx="52">
                  <c:v>150.40514429072135</c:v>
                </c:pt>
                <c:pt idx="53">
                  <c:v>151.78815273620754</c:v>
                </c:pt>
                <c:pt idx="54">
                  <c:v>172.71716525788952</c:v>
                </c:pt>
              </c:numCache>
            </c:numRef>
          </c:val>
          <c:smooth val="0"/>
          <c:extLst>
            <c:ext xmlns:c16="http://schemas.microsoft.com/office/drawing/2014/chart" uri="{C3380CC4-5D6E-409C-BE32-E72D297353CC}">
              <c16:uniqueId val="{00000000-1BE3-4631-8AF3-2CB7803F8B40}"/>
            </c:ext>
          </c:extLst>
        </c:ser>
        <c:ser>
          <c:idx val="1"/>
          <c:order val="1"/>
          <c:tx>
            <c:strRef>
              <c:f>'61'!$P$1</c:f>
              <c:strCache>
                <c:ptCount val="1"/>
                <c:pt idx="0">
                  <c:v>Indice Costo de importación CAI (Odepa)</c:v>
                </c:pt>
              </c:strCache>
            </c:strRef>
          </c:tx>
          <c:spPr>
            <a:ln w="28575" cap="rnd">
              <a:solidFill>
                <a:schemeClr val="accent2"/>
              </a:solidFill>
              <a:round/>
            </a:ln>
            <a:effectLst/>
          </c:spPr>
          <c:marker>
            <c:symbol val="none"/>
          </c:marker>
          <c:cat>
            <c:numRef>
              <c:f>'61'!$A$2:$A$56</c:f>
              <c:numCache>
                <c:formatCode>m/d/yyyy</c:formatCode>
                <c:ptCount val="5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numCache>
            </c:numRef>
          </c:cat>
          <c:val>
            <c:numRef>
              <c:f>'61'!$P$2:$P$56</c:f>
              <c:numCache>
                <c:formatCode>0.00</c:formatCode>
                <c:ptCount val="55"/>
                <c:pt idx="0" formatCode="General">
                  <c:v>100</c:v>
                </c:pt>
                <c:pt idx="1">
                  <c:v>98.175250735260704</c:v>
                </c:pt>
                <c:pt idx="2">
                  <c:v>98.297260169931434</c:v>
                </c:pt>
                <c:pt idx="3">
                  <c:v>96.047209714831482</c:v>
                </c:pt>
                <c:pt idx="4">
                  <c:v>99.188879729727176</c:v>
                </c:pt>
                <c:pt idx="5">
                  <c:v>100.8319201606144</c:v>
                </c:pt>
                <c:pt idx="6">
                  <c:v>103.88149344218694</c:v>
                </c:pt>
                <c:pt idx="7">
                  <c:v>103.44292259837661</c:v>
                </c:pt>
                <c:pt idx="8">
                  <c:v>107.44400912227354</c:v>
                </c:pt>
                <c:pt idx="9">
                  <c:v>107.45853383409008</c:v>
                </c:pt>
                <c:pt idx="10">
                  <c:v>106.32847981599515</c:v>
                </c:pt>
                <c:pt idx="11">
                  <c:v>105.59691849750345</c:v>
                </c:pt>
                <c:pt idx="12">
                  <c:v>101.85821994940873</c:v>
                </c:pt>
                <c:pt idx="13">
                  <c:v>98.243837035428172</c:v>
                </c:pt>
                <c:pt idx="14">
                  <c:v>99.659243744384966</c:v>
                </c:pt>
                <c:pt idx="15">
                  <c:v>100.22114602548496</c:v>
                </c:pt>
                <c:pt idx="16">
                  <c:v>103.66622734612912</c:v>
                </c:pt>
                <c:pt idx="17">
                  <c:v>103.05947020642068</c:v>
                </c:pt>
                <c:pt idx="18">
                  <c:v>101.72127266656732</c:v>
                </c:pt>
                <c:pt idx="19">
                  <c:v>104.15406757952279</c:v>
                </c:pt>
                <c:pt idx="20">
                  <c:v>104.28279048008888</c:v>
                </c:pt>
                <c:pt idx="21">
                  <c:v>107.3200774902807</c:v>
                </c:pt>
                <c:pt idx="22">
                  <c:v>117.67810849268074</c:v>
                </c:pt>
                <c:pt idx="23">
                  <c:v>121.04045981087694</c:v>
                </c:pt>
                <c:pt idx="24">
                  <c:v>121.83441451263931</c:v>
                </c:pt>
                <c:pt idx="25">
                  <c:v>125.90411127399285</c:v>
                </c:pt>
                <c:pt idx="26">
                  <c:v>131.59313452712632</c:v>
                </c:pt>
                <c:pt idx="27">
                  <c:v>136.78381381205776</c:v>
                </c:pt>
                <c:pt idx="28">
                  <c:v>136.63735944511828</c:v>
                </c:pt>
                <c:pt idx="29">
                  <c:v>133.91926398066389</c:v>
                </c:pt>
                <c:pt idx="30">
                  <c:v>136.705833086539</c:v>
                </c:pt>
                <c:pt idx="31">
                  <c:v>148.46141802686506</c:v>
                </c:pt>
                <c:pt idx="32">
                  <c:v>180.78786815585832</c:v>
                </c:pt>
                <c:pt idx="33">
                  <c:v>184.24502622936598</c:v>
                </c:pt>
                <c:pt idx="34">
                  <c:v>172.31584897569343</c:v>
                </c:pt>
                <c:pt idx="35">
                  <c:v>163.54278470793068</c:v>
                </c:pt>
                <c:pt idx="36">
                  <c:v>150.0481956346639</c:v>
                </c:pt>
                <c:pt idx="37">
                  <c:v>146.4807126288911</c:v>
                </c:pt>
                <c:pt idx="38">
                  <c:v>137.47417305030893</c:v>
                </c:pt>
                <c:pt idx="39">
                  <c:v>134.03379919302967</c:v>
                </c:pt>
                <c:pt idx="40">
                  <c:v>130.75805791398727</c:v>
                </c:pt>
                <c:pt idx="41">
                  <c:v>132.13710699179384</c:v>
                </c:pt>
                <c:pt idx="42">
                  <c:v>134.54693273926631</c:v>
                </c:pt>
                <c:pt idx="43">
                  <c:v>139.01022122118286</c:v>
                </c:pt>
                <c:pt idx="44">
                  <c:v>137.63853965655028</c:v>
                </c:pt>
                <c:pt idx="45">
                  <c:v>140.35587430276667</c:v>
                </c:pt>
                <c:pt idx="46">
                  <c:v>134.34769896497284</c:v>
                </c:pt>
                <c:pt idx="47">
                  <c:v>136.65678860508061</c:v>
                </c:pt>
                <c:pt idx="48">
                  <c:v>128.06015242773327</c:v>
                </c:pt>
                <c:pt idx="49">
                  <c:v>129.42517981404595</c:v>
                </c:pt>
                <c:pt idx="50">
                  <c:v>137.58429520250655</c:v>
                </c:pt>
                <c:pt idx="51">
                  <c:v>145.10084885500075</c:v>
                </c:pt>
                <c:pt idx="52">
                  <c:v>147.23624468465857</c:v>
                </c:pt>
                <c:pt idx="53">
                  <c:v>147.61501460691105</c:v>
                </c:pt>
                <c:pt idx="54">
                  <c:v>162.88741240897153</c:v>
                </c:pt>
              </c:numCache>
            </c:numRef>
          </c:val>
          <c:smooth val="0"/>
          <c:extLst>
            <c:ext xmlns:c16="http://schemas.microsoft.com/office/drawing/2014/chart" uri="{C3380CC4-5D6E-409C-BE32-E72D297353CC}">
              <c16:uniqueId val="{00000001-1BE3-4631-8AF3-2CB7803F8B40}"/>
            </c:ext>
          </c:extLst>
        </c:ser>
        <c:ser>
          <c:idx val="2"/>
          <c:order val="2"/>
          <c:tx>
            <c:strRef>
              <c:f>'61'!$Q$1</c:f>
              <c:strCache>
                <c:ptCount val="1"/>
                <c:pt idx="0">
                  <c:v>Indice Precio promedio arroz grano ancho grado 2</c:v>
                </c:pt>
              </c:strCache>
            </c:strRef>
          </c:tx>
          <c:spPr>
            <a:ln w="28575" cap="rnd">
              <a:solidFill>
                <a:schemeClr val="accent3"/>
              </a:solidFill>
              <a:round/>
            </a:ln>
            <a:effectLst/>
          </c:spPr>
          <c:marker>
            <c:symbol val="none"/>
          </c:marker>
          <c:cat>
            <c:numRef>
              <c:f>'61'!$A$2:$A$56</c:f>
              <c:numCache>
                <c:formatCode>m/d/yyyy</c:formatCode>
                <c:ptCount val="5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numCache>
            </c:numRef>
          </c:cat>
          <c:val>
            <c:numRef>
              <c:f>'61'!$Q$2:$Q$56</c:f>
              <c:numCache>
                <c:formatCode>0.00</c:formatCode>
                <c:ptCount val="55"/>
                <c:pt idx="0" formatCode="General">
                  <c:v>100</c:v>
                </c:pt>
                <c:pt idx="1">
                  <c:v>98.418604651162795</c:v>
                </c:pt>
                <c:pt idx="2">
                  <c:v>98.139534883720927</c:v>
                </c:pt>
                <c:pt idx="3">
                  <c:v>96.651162790697668</c:v>
                </c:pt>
                <c:pt idx="4">
                  <c:v>97.023255813953497</c:v>
                </c:pt>
                <c:pt idx="5">
                  <c:v>95.906976744186039</c:v>
                </c:pt>
                <c:pt idx="6">
                  <c:v>98.232558139534888</c:v>
                </c:pt>
                <c:pt idx="7">
                  <c:v>98.511627906976742</c:v>
                </c:pt>
                <c:pt idx="8">
                  <c:v>95.069767441860463</c:v>
                </c:pt>
                <c:pt idx="9">
                  <c:v>96.186046511627907</c:v>
                </c:pt>
                <c:pt idx="10">
                  <c:v>97.488372093023258</c:v>
                </c:pt>
                <c:pt idx="11">
                  <c:v>95.255813953488371</c:v>
                </c:pt>
                <c:pt idx="12">
                  <c:v>95.813953488372093</c:v>
                </c:pt>
                <c:pt idx="13">
                  <c:v>96.651162790697668</c:v>
                </c:pt>
                <c:pt idx="14">
                  <c:v>95.720930232558146</c:v>
                </c:pt>
                <c:pt idx="15">
                  <c:v>93.023255813953483</c:v>
                </c:pt>
                <c:pt idx="16">
                  <c:v>93.302325581395351</c:v>
                </c:pt>
                <c:pt idx="17">
                  <c:v>92.744186046511629</c:v>
                </c:pt>
                <c:pt idx="18">
                  <c:v>94.883720930232556</c:v>
                </c:pt>
                <c:pt idx="19">
                  <c:v>94.790697674418595</c:v>
                </c:pt>
                <c:pt idx="20">
                  <c:v>96.372093023255815</c:v>
                </c:pt>
                <c:pt idx="21">
                  <c:v>94.511627906976742</c:v>
                </c:pt>
                <c:pt idx="22">
                  <c:v>94.697674418604649</c:v>
                </c:pt>
                <c:pt idx="23">
                  <c:v>94.139534883720927</c:v>
                </c:pt>
                <c:pt idx="24">
                  <c:v>94.883720930232556</c:v>
                </c:pt>
                <c:pt idx="25">
                  <c:v>95.534883720930225</c:v>
                </c:pt>
                <c:pt idx="26">
                  <c:v>97.302325581395337</c:v>
                </c:pt>
                <c:pt idx="27">
                  <c:v>98.232558139534888</c:v>
                </c:pt>
                <c:pt idx="28">
                  <c:v>101.48837209302326</c:v>
                </c:pt>
                <c:pt idx="29">
                  <c:v>99.720930232558132</c:v>
                </c:pt>
                <c:pt idx="30">
                  <c:v>97.674418604651152</c:v>
                </c:pt>
                <c:pt idx="31">
                  <c:v>96.837209302325576</c:v>
                </c:pt>
                <c:pt idx="32">
                  <c:v>98.139534883720927</c:v>
                </c:pt>
                <c:pt idx="33">
                  <c:v>107.72093023255813</c:v>
                </c:pt>
                <c:pt idx="34">
                  <c:v>99.441860465116278</c:v>
                </c:pt>
                <c:pt idx="35">
                  <c:v>98.883720930232556</c:v>
                </c:pt>
                <c:pt idx="36">
                  <c:v>98.79069767441861</c:v>
                </c:pt>
                <c:pt idx="37">
                  <c:v>99.720930232558132</c:v>
                </c:pt>
                <c:pt idx="38">
                  <c:v>99.534883720930239</c:v>
                </c:pt>
                <c:pt idx="39">
                  <c:v>101.20930232558139</c:v>
                </c:pt>
                <c:pt idx="40">
                  <c:v>100.55813953488372</c:v>
                </c:pt>
                <c:pt idx="41">
                  <c:v>98.325581395348834</c:v>
                </c:pt>
                <c:pt idx="42">
                  <c:v>100.65116279069768</c:v>
                </c:pt>
                <c:pt idx="43">
                  <c:v>103.06976744186048</c:v>
                </c:pt>
                <c:pt idx="44">
                  <c:v>105.11627906976744</c:v>
                </c:pt>
                <c:pt idx="45">
                  <c:v>105.95348837209302</c:v>
                </c:pt>
                <c:pt idx="46">
                  <c:v>107.72093023255813</c:v>
                </c:pt>
                <c:pt idx="47">
                  <c:v>110.13953488372093</c:v>
                </c:pt>
                <c:pt idx="48">
                  <c:v>111.16279069767442</c:v>
                </c:pt>
                <c:pt idx="49">
                  <c:v>107.72093023255813</c:v>
                </c:pt>
                <c:pt idx="50">
                  <c:v>113.86046511627907</c:v>
                </c:pt>
                <c:pt idx="51">
                  <c:v>124.74418604651163</c:v>
                </c:pt>
                <c:pt idx="52">
                  <c:v>125.86046511627906</c:v>
                </c:pt>
                <c:pt idx="53">
                  <c:v>126.51162790697674</c:v>
                </c:pt>
                <c:pt idx="54">
                  <c:v>129.58139534883722</c:v>
                </c:pt>
              </c:numCache>
            </c:numRef>
          </c:val>
          <c:smooth val="0"/>
          <c:extLst>
            <c:ext xmlns:c16="http://schemas.microsoft.com/office/drawing/2014/chart" uri="{C3380CC4-5D6E-409C-BE32-E72D297353CC}">
              <c16:uniqueId val="{00000002-1BE3-4631-8AF3-2CB7803F8B40}"/>
            </c:ext>
          </c:extLst>
        </c:ser>
        <c:ser>
          <c:idx val="3"/>
          <c:order val="3"/>
          <c:tx>
            <c:strRef>
              <c:f>'61'!$R$1</c:f>
              <c:strCache>
                <c:ptCount val="1"/>
                <c:pt idx="0">
                  <c:v>Indice Precio promedio arroz grano delgado grano 2</c:v>
                </c:pt>
              </c:strCache>
            </c:strRef>
          </c:tx>
          <c:spPr>
            <a:ln w="28575" cap="rnd">
              <a:solidFill>
                <a:schemeClr val="accent4"/>
              </a:solidFill>
              <a:round/>
            </a:ln>
            <a:effectLst/>
          </c:spPr>
          <c:marker>
            <c:symbol val="none"/>
          </c:marker>
          <c:cat>
            <c:numRef>
              <c:f>'61'!$A$2:$A$56</c:f>
              <c:numCache>
                <c:formatCode>m/d/yyyy</c:formatCode>
                <c:ptCount val="55"/>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numCache>
            </c:numRef>
          </c:cat>
          <c:val>
            <c:numRef>
              <c:f>'61'!$R$2:$R$56</c:f>
              <c:numCache>
                <c:formatCode>0.00</c:formatCode>
                <c:ptCount val="55"/>
                <c:pt idx="0" formatCode="General">
                  <c:v>100</c:v>
                </c:pt>
                <c:pt idx="1">
                  <c:v>99.174528301886795</c:v>
                </c:pt>
                <c:pt idx="2">
                  <c:v>102.47641509433963</c:v>
                </c:pt>
                <c:pt idx="3">
                  <c:v>101.06132075471699</c:v>
                </c:pt>
                <c:pt idx="4">
                  <c:v>100.8254716981132</c:v>
                </c:pt>
                <c:pt idx="5">
                  <c:v>101.17924528301887</c:v>
                </c:pt>
                <c:pt idx="6">
                  <c:v>100.11792452830188</c:v>
                </c:pt>
                <c:pt idx="7">
                  <c:v>100.11792452830188</c:v>
                </c:pt>
                <c:pt idx="8">
                  <c:v>100.8254716981132</c:v>
                </c:pt>
                <c:pt idx="9">
                  <c:v>98.820754716981128</c:v>
                </c:pt>
                <c:pt idx="10">
                  <c:v>100</c:v>
                </c:pt>
                <c:pt idx="11">
                  <c:v>101.41509433962264</c:v>
                </c:pt>
                <c:pt idx="12">
                  <c:v>102.59433962264151</c:v>
                </c:pt>
                <c:pt idx="13">
                  <c:v>100.47169811320755</c:v>
                </c:pt>
                <c:pt idx="14">
                  <c:v>101.41509433962264</c:v>
                </c:pt>
                <c:pt idx="15">
                  <c:v>100.47169811320755</c:v>
                </c:pt>
                <c:pt idx="16">
                  <c:v>100.47169811320755</c:v>
                </c:pt>
                <c:pt idx="17">
                  <c:v>100.70754716981132</c:v>
                </c:pt>
                <c:pt idx="18">
                  <c:v>101.17924528301887</c:v>
                </c:pt>
                <c:pt idx="19">
                  <c:v>100.23584905660377</c:v>
                </c:pt>
                <c:pt idx="20">
                  <c:v>101.41509433962264</c:v>
                </c:pt>
                <c:pt idx="21">
                  <c:v>99.528301886792448</c:v>
                </c:pt>
                <c:pt idx="22">
                  <c:v>101.41509433962264</c:v>
                </c:pt>
                <c:pt idx="23">
                  <c:v>104.59905660377358</c:v>
                </c:pt>
                <c:pt idx="24">
                  <c:v>105.07075471698113</c:v>
                </c:pt>
                <c:pt idx="25">
                  <c:v>104.48113207547169</c:v>
                </c:pt>
                <c:pt idx="26">
                  <c:v>107.54716981132076</c:v>
                </c:pt>
                <c:pt idx="27">
                  <c:v>107.66509433962264</c:v>
                </c:pt>
                <c:pt idx="28">
                  <c:v>109.31603773584905</c:v>
                </c:pt>
                <c:pt idx="29">
                  <c:v>107.78301886792451</c:v>
                </c:pt>
                <c:pt idx="30">
                  <c:v>106.83962264150944</c:v>
                </c:pt>
                <c:pt idx="31">
                  <c:v>105.54245283018868</c:v>
                </c:pt>
                <c:pt idx="32">
                  <c:v>106.13207547169812</c:v>
                </c:pt>
                <c:pt idx="33">
                  <c:v>107.31132075471699</c:v>
                </c:pt>
                <c:pt idx="34">
                  <c:v>105.89622641509433</c:v>
                </c:pt>
                <c:pt idx="35">
                  <c:v>105.66037735849056</c:v>
                </c:pt>
                <c:pt idx="36">
                  <c:v>106.25</c:v>
                </c:pt>
                <c:pt idx="37">
                  <c:v>106.13207547169812</c:v>
                </c:pt>
                <c:pt idx="38">
                  <c:v>107.42924528301887</c:v>
                </c:pt>
                <c:pt idx="39">
                  <c:v>108.49056603773586</c:v>
                </c:pt>
                <c:pt idx="40">
                  <c:v>108.25471698113208</c:v>
                </c:pt>
                <c:pt idx="41">
                  <c:v>107.42924528301887</c:v>
                </c:pt>
                <c:pt idx="42">
                  <c:v>108.01886792452831</c:v>
                </c:pt>
                <c:pt idx="43">
                  <c:v>107.42924528301887</c:v>
                </c:pt>
                <c:pt idx="44">
                  <c:v>107.66509433962264</c:v>
                </c:pt>
                <c:pt idx="45">
                  <c:v>108.01886792452831</c:v>
                </c:pt>
                <c:pt idx="46">
                  <c:v>108.72641509433963</c:v>
                </c:pt>
                <c:pt idx="47">
                  <c:v>109.55188679245282</c:v>
                </c:pt>
                <c:pt idx="48">
                  <c:v>106.25</c:v>
                </c:pt>
                <c:pt idx="49">
                  <c:v>108.72641509433963</c:v>
                </c:pt>
                <c:pt idx="50">
                  <c:v>112.14622641509433</c:v>
                </c:pt>
                <c:pt idx="51">
                  <c:v>112.14622641509433</c:v>
                </c:pt>
                <c:pt idx="52">
                  <c:v>116.98113207547169</c:v>
                </c:pt>
                <c:pt idx="53">
                  <c:v>120.28301886792451</c:v>
                </c:pt>
                <c:pt idx="54">
                  <c:v>117.9245283018868</c:v>
                </c:pt>
              </c:numCache>
            </c:numRef>
          </c:val>
          <c:smooth val="0"/>
          <c:extLst>
            <c:ext xmlns:c16="http://schemas.microsoft.com/office/drawing/2014/chart" uri="{C3380CC4-5D6E-409C-BE32-E72D297353CC}">
              <c16:uniqueId val="{00000003-1BE3-4631-8AF3-2CB7803F8B40}"/>
            </c:ext>
          </c:extLst>
        </c:ser>
        <c:dLbls>
          <c:showLegendKey val="0"/>
          <c:showVal val="0"/>
          <c:showCatName val="0"/>
          <c:showSerName val="0"/>
          <c:showPercent val="0"/>
          <c:showBubbleSize val="0"/>
        </c:dLbls>
        <c:smooth val="0"/>
        <c:axId val="1865813151"/>
        <c:axId val="1802194095"/>
      </c:lineChart>
      <c:dateAx>
        <c:axId val="1865813151"/>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02194095"/>
        <c:crosses val="autoZero"/>
        <c:auto val="1"/>
        <c:lblOffset val="100"/>
        <c:baseTimeUnit val="months"/>
      </c:dateAx>
      <c:valAx>
        <c:axId val="1802194095"/>
        <c:scaling>
          <c:orientation val="minMax"/>
          <c:max val="20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000"/>
                  <a:t>Indice de precios de arroz base enero 2018 = 100</a:t>
                </a:r>
              </a:p>
            </c:rich>
          </c:tx>
          <c:layout>
            <c:manualLayout>
              <c:xMode val="edge"/>
              <c:yMode val="edge"/>
              <c:x val="4.0391339971392465E-2"/>
              <c:y val="9.409922488064421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65813151"/>
        <c:crosses val="autoZero"/>
        <c:crossBetween val="between"/>
      </c:valAx>
      <c:spPr>
        <a:noFill/>
        <a:ln>
          <a:noFill/>
        </a:ln>
        <a:effectLst/>
      </c:spPr>
    </c:plotArea>
    <c:legend>
      <c:legendPos val="r"/>
      <c:layout>
        <c:manualLayout>
          <c:xMode val="edge"/>
          <c:yMode val="edge"/>
          <c:x val="3.4419847268084704E-2"/>
          <c:y val="0.80951314011894671"/>
          <c:w val="0.86834909525198234"/>
          <c:h val="0.11262346368572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L"/>
    </a:p>
  </c:txPr>
  <c:printSettings>
    <c:headerFooter/>
    <c:pageMargins b="0.74803149606299213" l="0.70866141732283472" r="0.70866141732283472" t="0.74803149606299213" header="0.31496062992125984" footer="0.31496062992125984"/>
    <c:pageSetup paperSize="126"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2019 - 2022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1"/>
          <c:order val="0"/>
          <c:tx>
            <c:strRef>
              <c:f>'12'!$C$6</c:f>
              <c:strCache>
                <c:ptCount val="1"/>
                <c:pt idx="0">
                  <c:v>2019</c:v>
                </c:pt>
              </c:strCache>
            </c:strRef>
          </c:tx>
          <c:invertIfNegative val="0"/>
          <c:val>
            <c:numRef>
              <c:f>'12'!$C$7:$C$18</c:f>
              <c:numCache>
                <c:formatCode>#,##0</c:formatCode>
                <c:ptCount val="12"/>
                <c:pt idx="0">
                  <c:v>110928.26</c:v>
                </c:pt>
                <c:pt idx="1">
                  <c:v>130574.61</c:v>
                </c:pt>
                <c:pt idx="2">
                  <c:v>58957.94</c:v>
                </c:pt>
                <c:pt idx="3">
                  <c:v>117091.58500000001</c:v>
                </c:pt>
                <c:pt idx="4">
                  <c:v>90954.182000000001</c:v>
                </c:pt>
                <c:pt idx="5">
                  <c:v>47586.582000000002</c:v>
                </c:pt>
                <c:pt idx="6">
                  <c:v>112338.01</c:v>
                </c:pt>
                <c:pt idx="7">
                  <c:v>92228.86</c:v>
                </c:pt>
                <c:pt idx="8">
                  <c:v>139531.95000000001</c:v>
                </c:pt>
                <c:pt idx="9">
                  <c:v>45828.93</c:v>
                </c:pt>
                <c:pt idx="10">
                  <c:v>84061.69</c:v>
                </c:pt>
                <c:pt idx="11">
                  <c:v>85715.07</c:v>
                </c:pt>
              </c:numCache>
            </c:numRef>
          </c:val>
          <c:extLst>
            <c:ext xmlns:c16="http://schemas.microsoft.com/office/drawing/2014/chart" uri="{C3380CC4-5D6E-409C-BE32-E72D297353CC}">
              <c16:uniqueId val="{00000001-00F9-4C08-8774-7E1232E762A3}"/>
            </c:ext>
          </c:extLst>
        </c:ser>
        <c:ser>
          <c:idx val="0"/>
          <c:order val="1"/>
          <c:tx>
            <c:strRef>
              <c:f>'12'!$D$6</c:f>
              <c:strCache>
                <c:ptCount val="1"/>
                <c:pt idx="0">
                  <c:v>2020</c:v>
                </c:pt>
              </c:strCache>
            </c:strRef>
          </c:tx>
          <c:invertIfNegative val="0"/>
          <c:val>
            <c:numRef>
              <c:f>'12'!$D$7:$D$18</c:f>
              <c:numCache>
                <c:formatCode>#,##0</c:formatCode>
                <c:ptCount val="12"/>
                <c:pt idx="0">
                  <c:v>96514.718999999997</c:v>
                </c:pt>
                <c:pt idx="1">
                  <c:v>69539.14</c:v>
                </c:pt>
                <c:pt idx="2">
                  <c:v>119307.88800000001</c:v>
                </c:pt>
                <c:pt idx="3">
                  <c:v>124223.18</c:v>
                </c:pt>
                <c:pt idx="4">
                  <c:v>62552.36</c:v>
                </c:pt>
                <c:pt idx="5">
                  <c:v>13641.522000000001</c:v>
                </c:pt>
                <c:pt idx="6">
                  <c:v>123117.16</c:v>
                </c:pt>
                <c:pt idx="7">
                  <c:v>92572.023770000014</c:v>
                </c:pt>
                <c:pt idx="8">
                  <c:v>98529.35</c:v>
                </c:pt>
                <c:pt idx="9">
                  <c:v>155516.505</c:v>
                </c:pt>
                <c:pt idx="10">
                  <c:v>85724.653000000006</c:v>
                </c:pt>
                <c:pt idx="11">
                  <c:v>95680.2693</c:v>
                </c:pt>
              </c:numCache>
            </c:numRef>
          </c:val>
          <c:extLst>
            <c:ext xmlns:c16="http://schemas.microsoft.com/office/drawing/2014/chart" uri="{C3380CC4-5D6E-409C-BE32-E72D297353CC}">
              <c16:uniqueId val="{00000003-BF06-4A3D-95C4-F679E17186F0}"/>
            </c:ext>
          </c:extLst>
        </c:ser>
        <c:ser>
          <c:idx val="2"/>
          <c:order val="2"/>
          <c:tx>
            <c:strRef>
              <c:f>'12'!$E$6</c:f>
              <c:strCache>
                <c:ptCount val="1"/>
                <c:pt idx="0">
                  <c:v>2021</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'12'!$E$7:$E$18</c:f>
              <c:numCache>
                <c:formatCode>#,##0</c:formatCode>
                <c:ptCount val="12"/>
                <c:pt idx="0">
                  <c:v>63398.959000000003</c:v>
                </c:pt>
                <c:pt idx="1">
                  <c:v>79487.328999999998</c:v>
                </c:pt>
                <c:pt idx="2">
                  <c:v>53003.621999999996</c:v>
                </c:pt>
                <c:pt idx="3">
                  <c:v>94189.157999999996</c:v>
                </c:pt>
                <c:pt idx="4">
                  <c:v>82688.937090000007</c:v>
                </c:pt>
                <c:pt idx="5">
                  <c:v>45958.144</c:v>
                </c:pt>
                <c:pt idx="6">
                  <c:v>99473.799999999988</c:v>
                </c:pt>
                <c:pt idx="7">
                  <c:v>113069.762</c:v>
                </c:pt>
                <c:pt idx="8">
                  <c:v>52095.76</c:v>
                </c:pt>
                <c:pt idx="9">
                  <c:v>46526.400000000001</c:v>
                </c:pt>
                <c:pt idx="10">
                  <c:v>93586.786000000007</c:v>
                </c:pt>
                <c:pt idx="11">
                  <c:v>118216.40100000001</c:v>
                </c:pt>
              </c:numCache>
            </c:numRef>
          </c:val>
          <c:extLst>
            <c:ext xmlns:c16="http://schemas.microsoft.com/office/drawing/2014/chart" uri="{C3380CC4-5D6E-409C-BE32-E72D297353CC}">
              <c16:uniqueId val="{00000001-BF06-4A3D-95C4-F679E17186F0}"/>
            </c:ext>
          </c:extLst>
        </c:ser>
        <c:ser>
          <c:idx val="3"/>
          <c:order val="3"/>
          <c:tx>
            <c:strRef>
              <c:f>'12'!$F$6</c:f>
              <c:strCache>
                <c:ptCount val="1"/>
                <c:pt idx="0">
                  <c:v>2022</c:v>
                </c:pt>
              </c:strCache>
            </c:strRef>
          </c:tx>
          <c:invertIfNegative val="0"/>
          <c:val>
            <c:numRef>
              <c:f>'12'!$F$7:$F$18</c:f>
              <c:numCache>
                <c:formatCode>#,##0</c:formatCode>
                <c:ptCount val="12"/>
                <c:pt idx="0">
                  <c:v>90745.256999999998</c:v>
                </c:pt>
                <c:pt idx="1">
                  <c:v>88361.55</c:v>
                </c:pt>
                <c:pt idx="2">
                  <c:v>71525.05</c:v>
                </c:pt>
                <c:pt idx="3">
                  <c:v>121250.43000000001</c:v>
                </c:pt>
                <c:pt idx="4">
                  <c:v>98007.858000000007</c:v>
                </c:pt>
                <c:pt idx="5">
                  <c:v>87959.180000000008</c:v>
                </c:pt>
                <c:pt idx="6">
                  <c:v>56062.34</c:v>
                </c:pt>
              </c:numCache>
            </c:numRef>
          </c:val>
          <c:extLst>
            <c:ext xmlns:c16="http://schemas.microsoft.com/office/drawing/2014/chart" uri="{C3380CC4-5D6E-409C-BE32-E72D297353CC}">
              <c16:uniqueId val="{00000001-B6D2-4F9E-9E06-31D91556796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6.6172601559133487E-2"/>
          <c:y val="0.83884030943500487"/>
          <c:w val="0.87774168527441532"/>
          <c:h val="0.16115969056499516"/>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a:pPr>
            <a:r>
              <a:rPr lang="es-CL" sz="900" b="1" i="0" u="none" strike="noStrike" baseline="0">
                <a:solidFill>
                  <a:srgbClr val="000000"/>
                </a:solidFill>
                <a:latin typeface="Arial"/>
                <a:cs typeface="Arial"/>
              </a:rPr>
              <a:t>importaciones de trigo panadero, 2022</a:t>
            </a:r>
          </a:p>
          <a:p>
            <a:pPr>
              <a:defRPr sz="1000"/>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view3D>
      <c:rotX val="30"/>
      <c:rotY val="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8955054756086518"/>
          <c:w val="1"/>
          <c:h val="0.48024334458192725"/>
        </c:manualLayout>
      </c:layout>
      <c:pie3DChart>
        <c:varyColors val="1"/>
        <c:ser>
          <c:idx val="0"/>
          <c:order val="0"/>
          <c:tx>
            <c:strRef>
              <c:f>'13'!$M$1</c:f>
              <c:strCache>
                <c:ptCount val="1"/>
                <c:pt idx="0">
                  <c:v>Otros</c:v>
                </c:pt>
              </c:strCache>
            </c:strRef>
          </c:tx>
          <c:dPt>
            <c:idx val="0"/>
            <c:bubble3D val="0"/>
            <c:spPr>
              <a:solidFill>
                <a:schemeClr val="accent6"/>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3E30-4D7B-9569-A3DA0EDAA388}"/>
              </c:ext>
            </c:extLst>
          </c:dPt>
          <c:dPt>
            <c:idx val="1"/>
            <c:bubble3D val="0"/>
            <c:spPr>
              <a:solidFill>
                <a:schemeClr val="accent5"/>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3E30-4D7B-9569-A3DA0EDAA388}"/>
              </c:ext>
            </c:extLst>
          </c:dPt>
          <c:dPt>
            <c:idx val="2"/>
            <c:bubble3D val="0"/>
            <c:spPr>
              <a:solidFill>
                <a:schemeClr val="accent4"/>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5-3E30-4D7B-9569-A3DA0EDAA388}"/>
              </c:ext>
            </c:extLst>
          </c:dPt>
          <c:dPt>
            <c:idx val="3"/>
            <c:bubble3D val="0"/>
            <c:spPr>
              <a:solidFill>
                <a:schemeClr val="accent6">
                  <a:lumMod val="60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7-3E30-4D7B-9569-A3DA0EDAA388}"/>
              </c:ext>
            </c:extLst>
          </c:dPt>
          <c:dLbls>
            <c:dLbl>
              <c:idx val="0"/>
              <c:layout>
                <c:manualLayout>
                  <c:x val="-2.2062417202359619E-3"/>
                  <c:y val="-8.890124433771682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30-4D7B-9569-A3DA0EDAA38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0.5379130670146387</c:v>
                </c:pt>
                <c:pt idx="1">
                  <c:v>0.20783840895556641</c:v>
                </c:pt>
                <c:pt idx="2">
                  <c:v>5.7757711126148963E-2</c:v>
                </c:pt>
                <c:pt idx="3" formatCode="#,##0.000">
                  <c:v>0.19649081290364595</c:v>
                </c:pt>
              </c:numCache>
            </c:numRef>
          </c:val>
          <c:extLst>
            <c:ext xmlns:c16="http://schemas.microsoft.com/office/drawing/2014/chart" uri="{C3380CC4-5D6E-409C-BE32-E72D297353CC}">
              <c16:uniqueId val="{00000009-3E30-4D7B-9569-A3DA0EDAA388}"/>
            </c:ext>
          </c:extLst>
        </c:ser>
        <c:dLbls>
          <c:showLegendKey val="0"/>
          <c:showVal val="0"/>
          <c:showCatName val="0"/>
          <c:showSerName val="0"/>
          <c:showPercent val="0"/>
          <c:showBubbleSize val="0"/>
          <c:showLeaderLines val="1"/>
        </c:dLbls>
      </c:pie3DChart>
      <c:spPr>
        <a:noFill/>
        <a:ln w="25400">
          <a:noFill/>
        </a:ln>
        <a:effectLst/>
      </c:spPr>
    </c:plotArea>
    <c:legend>
      <c:legendPos val="r"/>
      <c:overlay val="1"/>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legend>
    <c:plotVisOnly val="1"/>
    <c:dispBlanksAs val="zero"/>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s-CL" sz="900" b="1"/>
              <a:t>Gráfico N° 7. Chile. Participación por tipo en las importaciones de trigo panadero  </a:t>
            </a:r>
          </a:p>
          <a:p>
            <a:pPr>
              <a:defRPr sz="900" b="1"/>
            </a:pPr>
            <a:r>
              <a:rPr lang="es-CL" sz="900" b="1"/>
              <a:t>2022</a:t>
            </a:r>
          </a:p>
          <a:p>
            <a:pPr>
              <a:defRPr sz="900" b="1"/>
            </a:pPr>
            <a:endParaRPr lang="es-CL" sz="900" b="1"/>
          </a:p>
        </c:rich>
      </c:tx>
      <c:layout>
        <c:manualLayout>
          <c:xMode val="edge"/>
          <c:yMode val="edge"/>
          <c:x val="0.16864317174028456"/>
          <c:y val="4.6983639240216923E-2"/>
        </c:manualLayout>
      </c:layout>
      <c:overlay val="1"/>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C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8847723514329494E-2"/>
          <c:y val="0.31345679351056727"/>
          <c:w val="0.97089603382910805"/>
          <c:h val="0.46595767579264064"/>
        </c:manualLayout>
      </c:layout>
      <c:pie3DChart>
        <c:varyColors val="1"/>
        <c:ser>
          <c:idx val="0"/>
          <c:order val="0"/>
          <c:explosion val="3"/>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0-3167-4BBE-A90A-21CF1A31E35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3167-4BBE-A90A-21CF1A31E35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3167-4BBE-A90A-21CF1A31E35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3167-4BBE-A90A-21CF1A31E358}"/>
              </c:ext>
            </c:extLst>
          </c:dPt>
          <c:dLbls>
            <c:dLbl>
              <c:idx val="0"/>
              <c:layout>
                <c:manualLayout>
                  <c:x val="4.2565958156964484E-2"/>
                  <c:y val="-3.0545516342831269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314363555432764"/>
                  <c:y val="5.8178147312005407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04194018191E-3"/>
                  <c:y val="-0.19522077108196695"/>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9.5498321970576436E-2"/>
                  <c:y val="6.9828407573458281E-3"/>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'14'!$M$1:$P$1</c:f>
              <c:strCache>
                <c:ptCount val="4"/>
                <c:pt idx="1">
                  <c:v>Intermedio</c:v>
                </c:pt>
                <c:pt idx="2">
                  <c:v>Fuerte</c:v>
                </c:pt>
                <c:pt idx="3">
                  <c:v>Otros</c:v>
                </c:pt>
              </c:strCache>
            </c:strRef>
          </c:cat>
          <c:val>
            <c:numRef>
              <c:f>'14'!$M$10:$P$10</c:f>
              <c:numCache>
                <c:formatCode>0.0%</c:formatCode>
                <c:ptCount val="4"/>
                <c:pt idx="0">
                  <c:v>0</c:v>
                </c:pt>
                <c:pt idx="1">
                  <c:v>0.42588992958335359</c:v>
                </c:pt>
                <c:pt idx="2">
                  <c:v>0.1961031614727628</c:v>
                </c:pt>
                <c:pt idx="3">
                  <c:v>0.37800690894388356</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2021 - 2022</a:t>
            </a:r>
            <a:endParaRPr lang="es-CL" sz="1000" b="1" i="0" u="none" strike="noStrike" baseline="0">
              <a:solidFill>
                <a:srgbClr val="FF0000"/>
              </a:solidFill>
              <a:latin typeface="Arial"/>
              <a:cs typeface="Arial"/>
            </a:endParaRP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079725287019426"/>
          <c:y val="2.5282134688084153E-2"/>
        </c:manualLayout>
      </c:layout>
      <c:overlay val="0"/>
      <c:spPr>
        <a:noFill/>
        <a:ln w="25400">
          <a:noFill/>
        </a:ln>
      </c:spPr>
    </c:title>
    <c:autoTitleDeleted val="0"/>
    <c:plotArea>
      <c:layout>
        <c:manualLayout>
          <c:layoutTarget val="inner"/>
          <c:xMode val="edge"/>
          <c:yMode val="edge"/>
          <c:x val="0.10235967364953313"/>
          <c:y val="0.25892757207002021"/>
          <c:w val="0.85706808483000763"/>
          <c:h val="0.45232804664653387"/>
        </c:manualLayout>
      </c:layout>
      <c:lineChart>
        <c:grouping val="standard"/>
        <c:varyColors val="0"/>
        <c:ser>
          <c:idx val="3"/>
          <c:order val="0"/>
          <c:tx>
            <c:strRef>
              <c:f>'16'!$C$6:$D$6</c:f>
              <c:strCache>
                <c:ptCount val="1"/>
                <c:pt idx="0">
                  <c:v>Trigo Pan Argentino</c:v>
                </c:pt>
              </c:strCache>
            </c:strRef>
          </c:tx>
          <c:cat>
            <c:strRef>
              <c:f>'16'!$N$8:$N$25</c:f>
              <c:strCache>
                <c:ptCount val="18"/>
                <c:pt idx="0">
                  <c:v>ene-21</c:v>
                </c:pt>
                <c:pt idx="1">
                  <c:v>feb-21</c:v>
                </c:pt>
                <c:pt idx="2">
                  <c:v>mar-21</c:v>
                </c:pt>
                <c:pt idx="3">
                  <c:v> </c:v>
                </c:pt>
                <c:pt idx="4">
                  <c:v>may-21</c:v>
                </c:pt>
                <c:pt idx="5">
                  <c:v> </c:v>
                </c:pt>
                <c:pt idx="6">
                  <c:v> </c:v>
                </c:pt>
                <c:pt idx="7">
                  <c:v>ago-21</c:v>
                </c:pt>
                <c:pt idx="8">
                  <c:v>sept-21</c:v>
                </c:pt>
                <c:pt idx="9">
                  <c:v>oct-21</c:v>
                </c:pt>
                <c:pt idx="10">
                  <c:v>nov-21</c:v>
                </c:pt>
                <c:pt idx="11">
                  <c:v>dic-21</c:v>
                </c:pt>
                <c:pt idx="12">
                  <c:v>ene-22</c:v>
                </c:pt>
                <c:pt idx="13">
                  <c:v>feb-22</c:v>
                </c:pt>
                <c:pt idx="14">
                  <c:v>mar-22</c:v>
                </c:pt>
                <c:pt idx="15">
                  <c:v>abr-22</c:v>
                </c:pt>
                <c:pt idx="16">
                  <c:v>may-22</c:v>
                </c:pt>
                <c:pt idx="17">
                  <c:v>jun-22</c:v>
                </c:pt>
              </c:strCache>
            </c:strRef>
          </c:cat>
          <c:val>
            <c:numRef>
              <c:f>'16'!$Q$8:$Q$25</c:f>
              <c:numCache>
                <c:formatCode>0</c:formatCode>
                <c:ptCount val="18"/>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pt idx="15">
                  <c:v>290.36895454054587</c:v>
                </c:pt>
                <c:pt idx="16">
                  <c:v>350.13848762681442</c:v>
                </c:pt>
                <c:pt idx="17">
                  <c:v>358.36082903826508</c:v>
                </c:pt>
              </c:numCache>
            </c:numRef>
          </c:val>
          <c:smooth val="0"/>
          <c:extLst>
            <c:ext xmlns:c16="http://schemas.microsoft.com/office/drawing/2014/chart" uri="{C3380CC4-5D6E-409C-BE32-E72D297353CC}">
              <c16:uniqueId val="{00000007-9850-4FC7-9166-A5DFDC51C342}"/>
            </c:ext>
          </c:extLst>
        </c:ser>
        <c:ser>
          <c:idx val="4"/>
          <c:order val="1"/>
          <c:tx>
            <c:strRef>
              <c:f>'16'!$E$6:$F$6</c:f>
              <c:strCache>
                <c:ptCount val="1"/>
                <c:pt idx="0">
                  <c:v>Fuerte</c:v>
                </c:pt>
              </c:strCache>
            </c:strRef>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cat>
            <c:strRef>
              <c:f>'16'!$N$8:$N$25</c:f>
              <c:strCache>
                <c:ptCount val="18"/>
                <c:pt idx="0">
                  <c:v>ene-21</c:v>
                </c:pt>
                <c:pt idx="1">
                  <c:v>feb-21</c:v>
                </c:pt>
                <c:pt idx="2">
                  <c:v>mar-21</c:v>
                </c:pt>
                <c:pt idx="3">
                  <c:v> </c:v>
                </c:pt>
                <c:pt idx="4">
                  <c:v>may-21</c:v>
                </c:pt>
                <c:pt idx="5">
                  <c:v> </c:v>
                </c:pt>
                <c:pt idx="6">
                  <c:v> </c:v>
                </c:pt>
                <c:pt idx="7">
                  <c:v>ago-21</c:v>
                </c:pt>
                <c:pt idx="8">
                  <c:v>sept-21</c:v>
                </c:pt>
                <c:pt idx="9">
                  <c:v>oct-21</c:v>
                </c:pt>
                <c:pt idx="10">
                  <c:v>nov-21</c:v>
                </c:pt>
                <c:pt idx="11">
                  <c:v>dic-21</c:v>
                </c:pt>
                <c:pt idx="12">
                  <c:v>ene-22</c:v>
                </c:pt>
                <c:pt idx="13">
                  <c:v>feb-22</c:v>
                </c:pt>
                <c:pt idx="14">
                  <c:v>mar-22</c:v>
                </c:pt>
                <c:pt idx="15">
                  <c:v>abr-22</c:v>
                </c:pt>
                <c:pt idx="16">
                  <c:v>may-22</c:v>
                </c:pt>
                <c:pt idx="17">
                  <c:v>jun-22</c:v>
                </c:pt>
              </c:strCache>
            </c:strRef>
          </c:cat>
          <c:val>
            <c:numRef>
              <c:f>'16'!$O$8:$O$25</c:f>
              <c:numCache>
                <c:formatCode>0</c:formatCode>
                <c:ptCount val="18"/>
                <c:pt idx="0">
                  <c:v>177.09252557740888</c:v>
                </c:pt>
                <c:pt idx="1">
                  <c:v>186.40526781787636</c:v>
                </c:pt>
                <c:pt idx="2">
                  <c:v>195.4833534485978</c:v>
                </c:pt>
                <c:pt idx="3">
                  <c:v>217.17736414688881</c:v>
                </c:pt>
                <c:pt idx="4">
                  <c:v>204.15676618910891</c:v>
                </c:pt>
                <c:pt idx="6">
                  <c:v>224.71672620383583</c:v>
                </c:pt>
                <c:pt idx="7">
                  <c:v>251.7965352415338</c:v>
                </c:pt>
                <c:pt idx="8">
                  <c:v>291.05351928467002</c:v>
                </c:pt>
                <c:pt idx="10">
                  <c:v>314.47832685103737</c:v>
                </c:pt>
                <c:pt idx="11">
                  <c:v>365.18341981231845</c:v>
                </c:pt>
                <c:pt idx="12">
                  <c:v>334.78748379969153</c:v>
                </c:pt>
                <c:pt idx="13">
                  <c:v>320.85771562139672</c:v>
                </c:pt>
                <c:pt idx="14">
                  <c:v>321.00137457112265</c:v>
                </c:pt>
                <c:pt idx="15">
                  <c:v>397.65525544327801</c:v>
                </c:pt>
                <c:pt idx="16">
                  <c:v>399.84846382464059</c:v>
                </c:pt>
                <c:pt idx="17">
                  <c:v>438.76759809033916</c:v>
                </c:pt>
              </c:numCache>
            </c:numRef>
          </c:val>
          <c:smooth val="0"/>
          <c:extLst>
            <c:ext xmlns:c16="http://schemas.microsoft.com/office/drawing/2014/chart" uri="{C3380CC4-5D6E-409C-BE32-E72D297353CC}">
              <c16:uniqueId val="{00000008-9850-4FC7-9166-A5DFDC51C342}"/>
            </c:ext>
          </c:extLst>
        </c:ser>
        <c:ser>
          <c:idx val="5"/>
          <c:order val="2"/>
          <c:tx>
            <c:strRef>
              <c:f>'16'!$G$6:$H$6</c:f>
              <c:strCache>
                <c:ptCount val="1"/>
                <c:pt idx="0">
                  <c:v>Canadian WRS</c:v>
                </c:pt>
              </c:strCache>
            </c:strRef>
          </c:tx>
          <c:cat>
            <c:strRef>
              <c:f>'16'!$N$8:$N$25</c:f>
              <c:strCache>
                <c:ptCount val="18"/>
                <c:pt idx="0">
                  <c:v>ene-21</c:v>
                </c:pt>
                <c:pt idx="1">
                  <c:v>feb-21</c:v>
                </c:pt>
                <c:pt idx="2">
                  <c:v>mar-21</c:v>
                </c:pt>
                <c:pt idx="3">
                  <c:v> </c:v>
                </c:pt>
                <c:pt idx="4">
                  <c:v>may-21</c:v>
                </c:pt>
                <c:pt idx="5">
                  <c:v> </c:v>
                </c:pt>
                <c:pt idx="6">
                  <c:v> </c:v>
                </c:pt>
                <c:pt idx="7">
                  <c:v>ago-21</c:v>
                </c:pt>
                <c:pt idx="8">
                  <c:v>sept-21</c:v>
                </c:pt>
                <c:pt idx="9">
                  <c:v>oct-21</c:v>
                </c:pt>
                <c:pt idx="10">
                  <c:v>nov-21</c:v>
                </c:pt>
                <c:pt idx="11">
                  <c:v>dic-21</c:v>
                </c:pt>
                <c:pt idx="12">
                  <c:v>ene-22</c:v>
                </c:pt>
                <c:pt idx="13">
                  <c:v>feb-22</c:v>
                </c:pt>
                <c:pt idx="14">
                  <c:v>mar-22</c:v>
                </c:pt>
                <c:pt idx="15">
                  <c:v>abr-22</c:v>
                </c:pt>
                <c:pt idx="16">
                  <c:v>may-22</c:v>
                </c:pt>
                <c:pt idx="17">
                  <c:v>jun-22</c:v>
                </c:pt>
              </c:strCache>
            </c:strRef>
          </c:cat>
          <c:val>
            <c:numRef>
              <c:f>'16'!$P$8:$P$25</c:f>
              <c:numCache>
                <c:formatCode>0</c:formatCode>
                <c:ptCount val="18"/>
                <c:pt idx="0">
                  <c:v>165.35555572300007</c:v>
                </c:pt>
                <c:pt idx="1">
                  <c:v>190.02701916172467</c:v>
                </c:pt>
                <c:pt idx="2">
                  <c:v>195.2668893943185</c:v>
                </c:pt>
                <c:pt idx="3">
                  <c:v>195.18521229698376</c:v>
                </c:pt>
                <c:pt idx="4">
                  <c:v>206.0752893210522</c:v>
                </c:pt>
                <c:pt idx="5">
                  <c:v>215.4115169975104</c:v>
                </c:pt>
                <c:pt idx="6">
                  <c:v>224.52085389448848</c:v>
                </c:pt>
                <c:pt idx="7">
                  <c:v>242.16923152955016</c:v>
                </c:pt>
                <c:pt idx="8">
                  <c:v>236.72206263368295</c:v>
                </c:pt>
                <c:pt idx="9">
                  <c:v>246.77399957362135</c:v>
                </c:pt>
                <c:pt idx="10">
                  <c:v>297.82257417658997</c:v>
                </c:pt>
                <c:pt idx="11">
                  <c:v>349.62283716758714</c:v>
                </c:pt>
                <c:pt idx="12">
                  <c:v>329.87203343459709</c:v>
                </c:pt>
                <c:pt idx="13">
                  <c:v>321.81557368402815</c:v>
                </c:pt>
                <c:pt idx="14">
                  <c:v>348.01290512199125</c:v>
                </c:pt>
                <c:pt idx="15">
                  <c:v>386.44084813733855</c:v>
                </c:pt>
                <c:pt idx="16">
                  <c:v>389.23358922477922</c:v>
                </c:pt>
                <c:pt idx="17">
                  <c:v>438.76759809033916</c:v>
                </c:pt>
              </c:numCache>
            </c:numRef>
          </c:val>
          <c:smooth val="0"/>
          <c:extLst>
            <c:ext xmlns:c16="http://schemas.microsoft.com/office/drawing/2014/chart" uri="{C3380CC4-5D6E-409C-BE32-E72D297353CC}">
              <c16:uniqueId val="{00000009-9850-4FC7-9166-A5DFDC51C342}"/>
            </c:ext>
          </c:extLst>
        </c:ser>
        <c:dLbls>
          <c:showLegendKey val="0"/>
          <c:showVal val="0"/>
          <c:showCatName val="0"/>
          <c:showSerName val="0"/>
          <c:showPercent val="0"/>
          <c:showBubbleSize val="0"/>
        </c:dLbls>
        <c:marker val="1"/>
        <c:smooth val="0"/>
        <c:axId val="986326528"/>
        <c:axId val="984110720"/>
      </c:lineChart>
      <c:catAx>
        <c:axId val="98632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Algn val="ctr"/>
        <c:lblOffset val="100"/>
        <c:noMultiLvlLbl val="1"/>
      </c:cat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0.13981245263160952"/>
          <c:y val="0.90243898584462112"/>
          <c:w val="0.74466900928799562"/>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a:t>
            </a:r>
            <a:r>
              <a:rPr lang="es-CL" sz="900" b="1" i="0" u="none" strike="noStrike" baseline="0">
                <a:solidFill>
                  <a:sysClr val="windowText" lastClr="000000"/>
                </a:solidFill>
                <a:latin typeface="Arial"/>
                <a:cs typeface="Arial"/>
              </a:rPr>
              <a:t>2021-2022</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2641687703535365"/>
          <c:y val="0.22630930044790976"/>
          <c:w val="0.81610305185905396"/>
          <c:h val="0.53352219517270016"/>
        </c:manualLayout>
      </c:layout>
      <c:lineChart>
        <c:grouping val="standard"/>
        <c:varyColors val="0"/>
        <c:ser>
          <c:idx val="5"/>
          <c:order val="0"/>
          <c:tx>
            <c:strRef>
              <c:f>'18'!$N$8</c:f>
              <c:strCache>
                <c:ptCount val="1"/>
                <c:pt idx="0">
                  <c:v>Suave </c:v>
                </c:pt>
              </c:strCache>
            </c:strRef>
          </c:tx>
          <c:marker>
            <c:symbol val="none"/>
          </c:marker>
          <c:cat>
            <c:numRef>
              <c:f>'18'!$M$9:$M$26</c:f>
              <c:numCache>
                <c:formatCode>mmm\-yy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'18'!$N$9:$N$26</c:f>
              <c:numCache>
                <c:formatCode>_-* #,##0_-;\-* #,##0_-;_-* \-??_-;_-@_-</c:formatCode>
                <c:ptCount val="18"/>
                <c:pt idx="0">
                  <c:v>190.7912081790758</c:v>
                </c:pt>
                <c:pt idx="1">
                  <c:v>194.04661943319834</c:v>
                </c:pt>
                <c:pt idx="2">
                  <c:v>195.93255131964807</c:v>
                </c:pt>
                <c:pt idx="3">
                  <c:v>200.89111111111114</c:v>
                </c:pt>
                <c:pt idx="4">
                  <c:v>203.28819444444446</c:v>
                </c:pt>
                <c:pt idx="5">
                  <c:v>209.24126984126983</c:v>
                </c:pt>
                <c:pt idx="6">
                  <c:v>218.50952380952384</c:v>
                </c:pt>
                <c:pt idx="7">
                  <c:v>241.22043010752685</c:v>
                </c:pt>
                <c:pt idx="8">
                  <c:v>248.58148148148149</c:v>
                </c:pt>
                <c:pt idx="9">
                  <c:v>265.85483870967744</c:v>
                </c:pt>
                <c:pt idx="10">
                  <c:v>264.04166666666669</c:v>
                </c:pt>
                <c:pt idx="11">
                  <c:v>296.86307435254804</c:v>
                </c:pt>
                <c:pt idx="12">
                  <c:v>296.72220207125514</c:v>
                </c:pt>
                <c:pt idx="13">
                  <c:v>298.88499861003208</c:v>
                </c:pt>
                <c:pt idx="14">
                  <c:v>304.3157952781043</c:v>
                </c:pt>
                <c:pt idx="15">
                  <c:v>318.56333333333328</c:v>
                </c:pt>
                <c:pt idx="16">
                  <c:v>398.56896551724139</c:v>
                </c:pt>
              </c:numCache>
            </c:numRef>
          </c:val>
          <c:smooth val="0"/>
          <c:extLst>
            <c:ext xmlns:c16="http://schemas.microsoft.com/office/drawing/2014/chart" uri="{C3380CC4-5D6E-409C-BE32-E72D297353CC}">
              <c16:uniqueId val="{00000000-04A0-4971-8DE5-8425A9B76861}"/>
            </c:ext>
          </c:extLst>
        </c:ser>
        <c:ser>
          <c:idx val="1"/>
          <c:order val="1"/>
          <c:tx>
            <c:strRef>
              <c:f>'18'!$O$8</c:f>
              <c:strCache>
                <c:ptCount val="1"/>
                <c:pt idx="0">
                  <c:v>Intermedio</c:v>
                </c:pt>
              </c:strCache>
            </c:strRef>
          </c:tx>
          <c:marker>
            <c:symbol val="none"/>
          </c:marker>
          <c:cat>
            <c:numRef>
              <c:f>'18'!$M$9:$M$26</c:f>
              <c:numCache>
                <c:formatCode>mmm\-yy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'18'!$O$9:$O$26</c:f>
              <c:numCache>
                <c:formatCode>_-* #,##0_-;\-* #,##0_-;_-* \-??_-;_-@_-</c:formatCode>
                <c:ptCount val="18"/>
                <c:pt idx="0">
                  <c:v>195.03810664112387</c:v>
                </c:pt>
                <c:pt idx="1">
                  <c:v>197.594057537743</c:v>
                </c:pt>
                <c:pt idx="2">
                  <c:v>201.09551971326164</c:v>
                </c:pt>
                <c:pt idx="3">
                  <c:v>205.39523809523808</c:v>
                </c:pt>
                <c:pt idx="4">
                  <c:v>208.30208333333331</c:v>
                </c:pt>
                <c:pt idx="5">
                  <c:v>212.06726190476192</c:v>
                </c:pt>
                <c:pt idx="6">
                  <c:v>221.21300563236045</c:v>
                </c:pt>
                <c:pt idx="7">
                  <c:v>239.81566820276501</c:v>
                </c:pt>
                <c:pt idx="8">
                  <c:v>249.5</c:v>
                </c:pt>
                <c:pt idx="9">
                  <c:v>264.58774845226452</c:v>
                </c:pt>
                <c:pt idx="10">
                  <c:v>265.03777777777776</c:v>
                </c:pt>
                <c:pt idx="11">
                  <c:v>302.93791341508734</c:v>
                </c:pt>
                <c:pt idx="12">
                  <c:v>302.83298429290295</c:v>
                </c:pt>
                <c:pt idx="13">
                  <c:v>302.96309112589893</c:v>
                </c:pt>
                <c:pt idx="14">
                  <c:v>308.17002688172045</c:v>
                </c:pt>
                <c:pt idx="15">
                  <c:v>319.00555555555559</c:v>
                </c:pt>
                <c:pt idx="16">
                  <c:v>400.54597701149424</c:v>
                </c:pt>
              </c:numCache>
            </c:numRef>
          </c:val>
          <c:smooth val="0"/>
          <c:extLst>
            <c:ext xmlns:c16="http://schemas.microsoft.com/office/drawing/2014/chart" uri="{C3380CC4-5D6E-409C-BE32-E72D297353CC}">
              <c16:uniqueId val="{00000002-04A0-4971-8DE5-8425A9B76861}"/>
            </c:ext>
          </c:extLst>
        </c:ser>
        <c:ser>
          <c:idx val="0"/>
          <c:order val="2"/>
          <c:tx>
            <c:strRef>
              <c:f>'18'!$P$8</c:f>
              <c:strCache>
                <c:ptCount val="1"/>
                <c:pt idx="0">
                  <c:v>Fuerte</c:v>
                </c:pt>
              </c:strCache>
            </c:strRef>
          </c:tx>
          <c:marker>
            <c:symbol val="none"/>
          </c:marker>
          <c:cat>
            <c:numRef>
              <c:f>'18'!$M$9:$M$26</c:f>
              <c:numCache>
                <c:formatCode>mmm\-yy</c:formatCode>
                <c:ptCount val="18"/>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numCache>
            </c:numRef>
          </c:cat>
          <c:val>
            <c:numRef>
              <c:f>'18'!$P$9:$P$26</c:f>
              <c:numCache>
                <c:formatCode>_-* #,##0_-;\-* #,##0_-;_-* \-??_-;_-@_-</c:formatCode>
                <c:ptCount val="18"/>
                <c:pt idx="0">
                  <c:v>199.09104166666665</c:v>
                </c:pt>
                <c:pt idx="1">
                  <c:v>201.98578373015877</c:v>
                </c:pt>
                <c:pt idx="2">
                  <c:v>203.53825475599669</c:v>
                </c:pt>
                <c:pt idx="3">
                  <c:v>208.02047619047619</c:v>
                </c:pt>
                <c:pt idx="4">
                  <c:v>211.36904761904759</c:v>
                </c:pt>
                <c:pt idx="5">
                  <c:v>216.07428571428574</c:v>
                </c:pt>
                <c:pt idx="6">
                  <c:v>224.66666666666663</c:v>
                </c:pt>
                <c:pt idx="7">
                  <c:v>246.98306451612902</c:v>
                </c:pt>
                <c:pt idx="8">
                  <c:v>256.52333333333331</c:v>
                </c:pt>
                <c:pt idx="9">
                  <c:v>274.62598566308242</c:v>
                </c:pt>
                <c:pt idx="10">
                  <c:v>279.125</c:v>
                </c:pt>
                <c:pt idx="11">
                  <c:v>305.78578042328041</c:v>
                </c:pt>
                <c:pt idx="12">
                  <c:v>304.37498602402354</c:v>
                </c:pt>
                <c:pt idx="13">
                  <c:v>306.50197736556436</c:v>
                </c:pt>
                <c:pt idx="14">
                  <c:v>310.54892473118281</c:v>
                </c:pt>
                <c:pt idx="15">
                  <c:v>309.75833333333333</c:v>
                </c:pt>
                <c:pt idx="16">
                  <c:v>399.67241379310349</c:v>
                </c:pt>
              </c:numCache>
            </c:numRef>
          </c:val>
          <c:smooth val="0"/>
          <c:extLst>
            <c:ext xmlns:c16="http://schemas.microsoft.com/office/drawing/2014/chart" uri="{C3380CC4-5D6E-409C-BE32-E72D297353CC}">
              <c16:uniqueId val="{00000000-78B1-4618-90DC-4E663D90ECA0}"/>
            </c:ext>
          </c:extLst>
        </c:ser>
        <c:dLbls>
          <c:showLegendKey val="0"/>
          <c:showVal val="0"/>
          <c:showCatName val="0"/>
          <c:showSerName val="0"/>
          <c:showPercent val="0"/>
          <c:showBubbleSize val="0"/>
        </c:dLbls>
        <c:smooth val="0"/>
        <c:axId val="244237312"/>
        <c:axId val="244178944"/>
      </c:lineChart>
      <c:dateAx>
        <c:axId val="244237312"/>
        <c:scaling>
          <c:orientation val="minMax"/>
          <c:max val="44652"/>
        </c:scaling>
        <c:delete val="0"/>
        <c:axPos val="b"/>
        <c:numFmt formatCode="mmm\-yy"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0"/>
        <c:lblOffset val="100"/>
        <c:baseTimeUnit val="months"/>
        <c:majorUnit val="1"/>
        <c:majorTimeUnit val="months"/>
      </c:dateAx>
      <c:valAx>
        <c:axId val="244178944"/>
        <c:scaling>
          <c:orientation val="minMax"/>
          <c:max val="320"/>
          <c:min val="160"/>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16721967762340978"/>
          <c:y val="0.91473162013816289"/>
          <c:w val="0.67314068833183305"/>
          <c:h val="8.081400012665977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5.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85</xdr:row>
      <xdr:rowOff>66675</xdr:rowOff>
    </xdr:from>
    <xdr:to>
      <xdr:col>1</xdr:col>
      <xdr:colOff>466725</xdr:colOff>
      <xdr:row>85</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255789</xdr:colOff>
      <xdr:row>19</xdr:row>
      <xdr:rowOff>114300</xdr:rowOff>
    </xdr:from>
    <xdr:to>
      <xdr:col>10</xdr:col>
      <xdr:colOff>74814</xdr:colOff>
      <xdr:row>37</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57150</xdr:colOff>
      <xdr:row>23</xdr:row>
      <xdr:rowOff>76200</xdr:rowOff>
    </xdr:from>
    <xdr:to>
      <xdr:col>10</xdr:col>
      <xdr:colOff>571500</xdr:colOff>
      <xdr:row>38</xdr:row>
      <xdr:rowOff>98425</xdr:rowOff>
    </xdr:to>
    <xdr:graphicFrame macro="">
      <xdr:nvGraphicFramePr>
        <xdr:cNvPr id="4" name="3 Gráfico">
          <a:extLst>
            <a:ext uri="{FF2B5EF4-FFF2-40B4-BE49-F238E27FC236}">
              <a16:creationId xmlns:a16="http://schemas.microsoft.com/office/drawing/2014/main" id="{1B40EAA3-7CFE-4024-B6CA-5F91C5BAD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466725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4234</xdr:colOff>
      <xdr:row>20</xdr:row>
      <xdr:rowOff>158750</xdr:rowOff>
    </xdr:from>
    <xdr:to>
      <xdr:col>10</xdr:col>
      <xdr:colOff>448734</xdr:colOff>
      <xdr:row>32</xdr:row>
      <xdr:rowOff>168275</xdr:rowOff>
    </xdr:to>
    <xdr:graphicFrame macro="">
      <xdr:nvGraphicFramePr>
        <xdr:cNvPr id="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69850</xdr:colOff>
      <xdr:row>21</xdr:row>
      <xdr:rowOff>69850</xdr:rowOff>
    </xdr:from>
    <xdr:to>
      <xdr:col>10</xdr:col>
      <xdr:colOff>520700</xdr:colOff>
      <xdr:row>32</xdr:row>
      <xdr:rowOff>41564</xdr:rowOff>
    </xdr:to>
    <xdr:graphicFrame macro="">
      <xdr:nvGraphicFramePr>
        <xdr:cNvPr id="4"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21</xdr:row>
      <xdr:rowOff>0</xdr:rowOff>
    </xdr:from>
    <xdr:to>
      <xdr:col>1</xdr:col>
      <xdr:colOff>0</xdr:colOff>
      <xdr:row>35</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1</xdr:col>
      <xdr:colOff>0</xdr:colOff>
      <xdr:row>64</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xdr:colOff>
      <xdr:row>26</xdr:row>
      <xdr:rowOff>78451</xdr:rowOff>
    </xdr:from>
    <xdr:to>
      <xdr:col>8</xdr:col>
      <xdr:colOff>1</xdr:colOff>
      <xdr:row>42</xdr:row>
      <xdr:rowOff>107026</xdr:rowOff>
    </xdr:to>
    <xdr:graphicFrame macro="">
      <xdr:nvGraphicFramePr>
        <xdr:cNvPr id="9"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24506</xdr:colOff>
      <xdr:row>1</xdr:row>
      <xdr:rowOff>76199</xdr:rowOff>
    </xdr:from>
    <xdr:to>
      <xdr:col>9</xdr:col>
      <xdr:colOff>526158</xdr:colOff>
      <xdr:row>24</xdr:row>
      <xdr:rowOff>117927</xdr:rowOff>
    </xdr:to>
    <xdr:graphicFrame macro="">
      <xdr:nvGraphicFramePr>
        <xdr:cNvPr id="8" name="Gráfico 2">
          <a:extLst>
            <a:ext uri="{FF2B5EF4-FFF2-40B4-BE49-F238E27FC236}">
              <a16:creationId xmlns:a16="http://schemas.microsoft.com/office/drawing/2014/main" id="{153FA4FC-ED88-4814-8853-7BAEE83D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428625</xdr:colOff>
      <xdr:row>39</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79375</xdr:colOff>
      <xdr:row>18</xdr:row>
      <xdr:rowOff>133350</xdr:rowOff>
    </xdr:from>
    <xdr:to>
      <xdr:col>7</xdr:col>
      <xdr:colOff>930275</xdr:colOff>
      <xdr:row>33</xdr:row>
      <xdr:rowOff>158750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28575</xdr:colOff>
      <xdr:row>17</xdr:row>
      <xdr:rowOff>171450</xdr:rowOff>
    </xdr:from>
    <xdr:to>
      <xdr:col>6</xdr:col>
      <xdr:colOff>1104900</xdr:colOff>
      <xdr:row>32</xdr:row>
      <xdr:rowOff>180975</xdr:rowOff>
    </xdr:to>
    <xdr:graphicFrame macro="">
      <xdr:nvGraphicFramePr>
        <xdr:cNvPr id="11"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19</xdr:row>
      <xdr:rowOff>0</xdr:rowOff>
    </xdr:from>
    <xdr:to>
      <xdr:col>4</xdr:col>
      <xdr:colOff>1428750</xdr:colOff>
      <xdr:row>36</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21</xdr:row>
      <xdr:rowOff>76200</xdr:rowOff>
    </xdr:from>
    <xdr:to>
      <xdr:col>7</xdr:col>
      <xdr:colOff>800100</xdr:colOff>
      <xdr:row>39</xdr:row>
      <xdr:rowOff>133350</xdr:rowOff>
    </xdr:to>
    <xdr:graphicFrame macro="">
      <xdr:nvGraphicFramePr>
        <xdr:cNvPr id="3"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21</xdr:row>
      <xdr:rowOff>123825</xdr:rowOff>
    </xdr:from>
    <xdr:to>
      <xdr:col>6</xdr:col>
      <xdr:colOff>914400</xdr:colOff>
      <xdr:row>38</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66499</xdr:colOff>
      <xdr:row>23</xdr:row>
      <xdr:rowOff>41565</xdr:rowOff>
    </xdr:from>
    <xdr:to>
      <xdr:col>9</xdr:col>
      <xdr:colOff>532014</xdr:colOff>
      <xdr:row>38</xdr:row>
      <xdr:rowOff>41563</xdr:rowOff>
    </xdr:to>
    <xdr:graphicFrame macro="">
      <xdr:nvGraphicFramePr>
        <xdr:cNvPr id="3" name="Gráfico 2">
          <a:extLst>
            <a:ext uri="{FF2B5EF4-FFF2-40B4-BE49-F238E27FC236}">
              <a16:creationId xmlns:a16="http://schemas.microsoft.com/office/drawing/2014/main" id="{2643B93A-0687-461F-B10F-6BE8AD3FC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5</xdr:col>
      <xdr:colOff>1371600</xdr:colOff>
      <xdr:row>32</xdr:row>
      <xdr:rowOff>123825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0.00475</cdr:x>
      <cdr:y>0.90597</cdr:y>
    </cdr:from>
    <cdr:to>
      <cdr:x>0.79784</cdr:x>
      <cdr:y>0.9927</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25394" y="2424838"/>
          <a:ext cx="4242932" cy="232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164003</xdr:colOff>
      <xdr:row>14</xdr:row>
      <xdr:rowOff>159327</xdr:rowOff>
    </xdr:from>
    <xdr:to>
      <xdr:col>7</xdr:col>
      <xdr:colOff>16625</xdr:colOff>
      <xdr:row>36</xdr:row>
      <xdr:rowOff>29787</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2.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4.xml><?xml version="1.0" encoding="utf-8"?>
<xdr:wsDr xmlns:xdr="http://schemas.openxmlformats.org/drawingml/2006/spreadsheetDrawing" xmlns:a="http://schemas.openxmlformats.org/drawingml/2006/main">
  <xdr:twoCellAnchor>
    <xdr:from>
      <xdr:col>1</xdr:col>
      <xdr:colOff>76200</xdr:colOff>
      <xdr:row>27</xdr:row>
      <xdr:rowOff>11950</xdr:rowOff>
    </xdr:from>
    <xdr:to>
      <xdr:col>7</xdr:col>
      <xdr:colOff>0</xdr:colOff>
      <xdr:row>44</xdr:row>
      <xdr:rowOff>85898</xdr:rowOff>
    </xdr:to>
    <xdr:graphicFrame macro="">
      <xdr:nvGraphicFramePr>
        <xdr:cNvPr id="8"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93663</xdr:colOff>
      <xdr:row>0</xdr:row>
      <xdr:rowOff>158749</xdr:rowOff>
    </xdr:from>
    <xdr:to>
      <xdr:col>4</xdr:col>
      <xdr:colOff>1524000</xdr:colOff>
      <xdr:row>23</xdr:row>
      <xdr:rowOff>73024</xdr:rowOff>
    </xdr:to>
    <xdr:graphicFrame macro="">
      <xdr:nvGraphicFramePr>
        <xdr:cNvPr id="9" name="Gráfico 2">
          <a:extLst>
            <a:ext uri="{FF2B5EF4-FFF2-40B4-BE49-F238E27FC236}">
              <a16:creationId xmlns:a16="http://schemas.microsoft.com/office/drawing/2014/main" id="{282DAF28-8055-41F7-9570-0941B14C0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38</xdr:row>
      <xdr:rowOff>57150</xdr:rowOff>
    </xdr:from>
    <xdr:to>
      <xdr:col>1</xdr:col>
      <xdr:colOff>447675</xdr:colOff>
      <xdr:row>38</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xdr:wsDr xmlns:xdr="http://schemas.openxmlformats.org/drawingml/2006/spreadsheetDrawing" xmlns:a="http://schemas.openxmlformats.org/drawingml/2006/main">
  <xdr:twoCellAnchor>
    <xdr:from>
      <xdr:col>1</xdr:col>
      <xdr:colOff>44450</xdr:colOff>
      <xdr:row>16</xdr:row>
      <xdr:rowOff>190500</xdr:rowOff>
    </xdr:from>
    <xdr:to>
      <xdr:col>6</xdr:col>
      <xdr:colOff>955675</xdr:colOff>
      <xdr:row>38</xdr:row>
      <xdr:rowOff>108065</xdr:rowOff>
    </xdr:to>
    <xdr:graphicFrame macro="">
      <xdr:nvGraphicFramePr>
        <xdr:cNvPr id="2"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2.xml><?xml version="1.0" encoding="utf-8"?>
<xdr:wsDr xmlns:xdr="http://schemas.openxmlformats.org/drawingml/2006/spreadsheetDrawing" xmlns:a="http://schemas.openxmlformats.org/drawingml/2006/main">
  <xdr:twoCellAnchor>
    <xdr:from>
      <xdr:col>1</xdr:col>
      <xdr:colOff>41275</xdr:colOff>
      <xdr:row>20</xdr:row>
      <xdr:rowOff>92075</xdr:rowOff>
    </xdr:from>
    <xdr:to>
      <xdr:col>5</xdr:col>
      <xdr:colOff>31750</xdr:colOff>
      <xdr:row>45</xdr:row>
      <xdr:rowOff>127000</xdr:rowOff>
    </xdr:to>
    <xdr:graphicFrame macro="">
      <xdr:nvGraphicFramePr>
        <xdr:cNvPr id="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4.xml><?xml version="1.0" encoding="utf-8"?>
<xdr:wsDr xmlns:xdr="http://schemas.openxmlformats.org/drawingml/2006/spreadsheetDrawing" xmlns:a="http://schemas.openxmlformats.org/drawingml/2006/main">
  <xdr:twoCellAnchor>
    <xdr:from>
      <xdr:col>1</xdr:col>
      <xdr:colOff>38100</xdr:colOff>
      <xdr:row>20</xdr:row>
      <xdr:rowOff>123825</xdr:rowOff>
    </xdr:from>
    <xdr:to>
      <xdr:col>6</xdr:col>
      <xdr:colOff>1114425</xdr:colOff>
      <xdr:row>36</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6.xml><?xml version="1.0" encoding="utf-8"?>
<xdr:wsDr xmlns:xdr="http://schemas.openxmlformats.org/drawingml/2006/spreadsheetDrawing" xmlns:a="http://schemas.openxmlformats.org/drawingml/2006/main">
  <xdr:twoCellAnchor>
    <xdr:from>
      <xdr:col>1</xdr:col>
      <xdr:colOff>76200</xdr:colOff>
      <xdr:row>19</xdr:row>
      <xdr:rowOff>95249</xdr:rowOff>
    </xdr:from>
    <xdr:to>
      <xdr:col>6</xdr:col>
      <xdr:colOff>838200</xdr:colOff>
      <xdr:row>37</xdr:row>
      <xdr:rowOff>199504</xdr:rowOff>
    </xdr:to>
    <xdr:graphicFrame macro="">
      <xdr:nvGraphicFramePr>
        <xdr:cNvPr id="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c:userShapes xmlns:c="http://schemas.openxmlformats.org/drawingml/2006/chart">
  <cdr:relSizeAnchor xmlns:cdr="http://schemas.openxmlformats.org/drawingml/2006/chartDrawing">
    <cdr:from>
      <cdr:x>0</cdr:x>
      <cdr:y>0.911</cdr:y>
    </cdr:from>
    <cdr:to>
      <cdr:x>0.94719</cdr:x>
      <cdr:y>0.98142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0" y="3260461"/>
          <a:ext cx="5044440" cy="2520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8.xml><?xml version="1.0" encoding="utf-8"?>
<xdr:wsDr xmlns:xdr="http://schemas.openxmlformats.org/drawingml/2006/spreadsheetDrawing" xmlns:a="http://schemas.openxmlformats.org/drawingml/2006/main">
  <xdr:twoCellAnchor>
    <xdr:from>
      <xdr:col>1</xdr:col>
      <xdr:colOff>47625</xdr:colOff>
      <xdr:row>21</xdr:row>
      <xdr:rowOff>133351</xdr:rowOff>
    </xdr:from>
    <xdr:to>
      <xdr:col>12</xdr:col>
      <xdr:colOff>276225</xdr:colOff>
      <xdr:row>37</xdr:row>
      <xdr:rowOff>69851</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50801</xdr:colOff>
      <xdr:row>18</xdr:row>
      <xdr:rowOff>9525</xdr:rowOff>
    </xdr:from>
    <xdr:to>
      <xdr:col>6</xdr:col>
      <xdr:colOff>920751</xdr:colOff>
      <xdr:row>37</xdr:row>
      <xdr:rowOff>53975</xdr:rowOff>
    </xdr:to>
    <xdr:graphicFrame macro="">
      <xdr:nvGraphicFramePr>
        <xdr:cNvPr id="1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32</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16</xdr:row>
      <xdr:rowOff>66675</xdr:rowOff>
    </xdr:from>
    <xdr:to>
      <xdr:col>9</xdr:col>
      <xdr:colOff>0</xdr:colOff>
      <xdr:row>32</xdr:row>
      <xdr:rowOff>57150</xdr:rowOff>
    </xdr:to>
    <xdr:graphicFrame macro="">
      <xdr:nvGraphicFramePr>
        <xdr:cNvPr id="3" name="Chart 1">
          <a:extLst>
            <a:ext uri="{FF2B5EF4-FFF2-40B4-BE49-F238E27FC236}">
              <a16:creationId xmlns:a16="http://schemas.microsoft.com/office/drawing/2014/main" id="{939DC653-6287-46FE-AC00-F21CDC712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2.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3.xml><?xml version="1.0" encoding="utf-8"?>
<xdr:wsDr xmlns:xdr="http://schemas.openxmlformats.org/drawingml/2006/spreadsheetDrawing" xmlns:a="http://schemas.openxmlformats.org/drawingml/2006/main">
  <xdr:twoCellAnchor>
    <xdr:from>
      <xdr:col>1</xdr:col>
      <xdr:colOff>59749</xdr:colOff>
      <xdr:row>17</xdr:row>
      <xdr:rowOff>23438</xdr:rowOff>
    </xdr:from>
    <xdr:to>
      <xdr:col>6</xdr:col>
      <xdr:colOff>793173</xdr:colOff>
      <xdr:row>32</xdr:row>
      <xdr:rowOff>937837</xdr:rowOff>
    </xdr:to>
    <xdr:graphicFrame macro="">
      <xdr:nvGraphicFramePr>
        <xdr:cNvPr id="10" name="Chart 1">
          <a:extLst>
            <a:ext uri="{FF2B5EF4-FFF2-40B4-BE49-F238E27FC236}">
              <a16:creationId xmlns:a16="http://schemas.microsoft.com/office/drawing/2014/main" id="{7E0E28F2-9A87-4B71-B990-7CA0CD128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0" y="3565006"/>
          <a:ext cx="0" cy="54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0.00455</cdr:x>
      <cdr:y>0.86425</cdr:y>
    </cdr:from>
    <cdr:to>
      <cdr:x>0.85218</cdr:x>
      <cdr:y>0.97627</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23378" y="3218553"/>
          <a:ext cx="4356119" cy="4171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 al mes</a:t>
          </a:r>
          <a:r>
            <a:rPr lang="es-ES" sz="900" i="0" baseline="0">
              <a:latin typeface="Arial" panose="020B0604020202020204" pitchFamily="34" charset="0"/>
              <a:cs typeface="Arial" panose="020B0604020202020204" pitchFamily="34" charset="0"/>
            </a:rPr>
            <a:t> de</a:t>
          </a:r>
          <a:r>
            <a:rPr lang="es-ES" sz="900" i="0">
              <a:latin typeface="Arial" panose="020B0604020202020204" pitchFamily="34" charset="0"/>
              <a:cs typeface="Arial" panose="020B0604020202020204" pitchFamily="34" charset="0"/>
            </a:rPr>
            <a:t> julio 2022.</a:t>
          </a:r>
        </a:p>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5.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30</xdr:row>
      <xdr:rowOff>9525</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6.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7.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114300</xdr:colOff>
      <xdr:row>38</xdr:row>
      <xdr:rowOff>47624</xdr:rowOff>
    </xdr:from>
    <xdr:to>
      <xdr:col>8</xdr:col>
      <xdr:colOff>919249</xdr:colOff>
      <xdr:row>56</xdr:row>
      <xdr:rowOff>33250</xdr:rowOff>
    </xdr:to>
    <xdr:graphicFrame macro="">
      <xdr:nvGraphicFramePr>
        <xdr:cNvPr id="8" name="Chart 4">
          <a:extLst>
            <a:ext uri="{FF2B5EF4-FFF2-40B4-BE49-F238E27FC236}">
              <a16:creationId xmlns:a16="http://schemas.microsoft.com/office/drawing/2014/main" id="{E0F15917-9E23-4DD7-8A68-1579F8E18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186202</xdr:colOff>
      <xdr:row>1</xdr:row>
      <xdr:rowOff>100958</xdr:rowOff>
    </xdr:from>
    <xdr:to>
      <xdr:col>5</xdr:col>
      <xdr:colOff>153042</xdr:colOff>
      <xdr:row>24</xdr:row>
      <xdr:rowOff>51568</xdr:rowOff>
    </xdr:to>
    <xdr:graphicFrame macro="">
      <xdr:nvGraphicFramePr>
        <xdr:cNvPr id="8" name="Gráfico 1">
          <a:extLst>
            <a:ext uri="{FF2B5EF4-FFF2-40B4-BE49-F238E27FC236}">
              <a16:creationId xmlns:a16="http://schemas.microsoft.com/office/drawing/2014/main" id="{B2C31E4C-1051-4B10-86DC-223E36E75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340045</xdr:colOff>
      <xdr:row>22</xdr:row>
      <xdr:rowOff>137134</xdr:rowOff>
    </xdr:from>
    <xdr:to>
      <xdr:col>3</xdr:col>
      <xdr:colOff>1006763</xdr:colOff>
      <xdr:row>25</xdr:row>
      <xdr:rowOff>55419</xdr:rowOff>
    </xdr:to>
    <xdr:sp macro="" textlink="">
      <xdr:nvSpPr>
        <xdr:cNvPr id="5" name="CuadroTexto 4">
          <a:extLst>
            <a:ext uri="{FF2B5EF4-FFF2-40B4-BE49-F238E27FC236}">
              <a16:creationId xmlns:a16="http://schemas.microsoft.com/office/drawing/2014/main" id="{5AD82060-A1D3-4EC8-BF58-05808422549E}"/>
            </a:ext>
          </a:extLst>
        </xdr:cNvPr>
        <xdr:cNvSpPr txBox="1"/>
      </xdr:nvSpPr>
      <xdr:spPr>
        <a:xfrm>
          <a:off x="340045" y="3591534"/>
          <a:ext cx="3640827" cy="389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6</xdr:col>
      <xdr:colOff>1056904</xdr:colOff>
      <xdr:row>27</xdr:row>
      <xdr:rowOff>11876</xdr:rowOff>
    </xdr:to>
    <xdr:graphicFrame macro="">
      <xdr:nvGraphicFramePr>
        <xdr:cNvPr id="3" name="Gráfico 2">
          <a:extLst>
            <a:ext uri="{FF2B5EF4-FFF2-40B4-BE49-F238E27FC236}">
              <a16:creationId xmlns:a16="http://schemas.microsoft.com/office/drawing/2014/main" id="{86885784-CB77-44DA-84A0-74343A312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34142</xdr:colOff>
      <xdr:row>6</xdr:row>
      <xdr:rowOff>129145</xdr:rowOff>
    </xdr:from>
    <xdr:to>
      <xdr:col>6</xdr:col>
      <xdr:colOff>190006</xdr:colOff>
      <xdr:row>25</xdr:row>
      <xdr:rowOff>222662</xdr:rowOff>
    </xdr:to>
    <xdr:graphicFrame macro="">
      <xdr:nvGraphicFramePr>
        <xdr:cNvPr id="3" name="Gráfico 2" descr="Fuente: elaborado por Odepa.&#10;">
          <a:extLst>
            <a:ext uri="{FF2B5EF4-FFF2-40B4-BE49-F238E27FC236}">
              <a16:creationId xmlns:a16="http://schemas.microsoft.com/office/drawing/2014/main" id="{C0759723-00FC-4F71-A17C-EABEA9765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0.05284</cdr:x>
      <cdr:y>0.94227</cdr:y>
    </cdr:from>
    <cdr:to>
      <cdr:x>0.49983</cdr:x>
      <cdr:y>0.99704</cdr:y>
    </cdr:to>
    <cdr:sp macro="" textlink="">
      <cdr:nvSpPr>
        <cdr:cNvPr id="2" name="CuadroTexto 1">
          <a:extLst xmlns:a="http://schemas.openxmlformats.org/drawingml/2006/main">
            <a:ext uri="{FF2B5EF4-FFF2-40B4-BE49-F238E27FC236}">
              <a16:creationId xmlns:a16="http://schemas.microsoft.com/office/drawing/2014/main" id="{45D262EC-E88B-448B-AD62-08ECFFB78147}"/>
            </a:ext>
          </a:extLst>
        </cdr:cNvPr>
        <cdr:cNvSpPr txBox="1"/>
      </cdr:nvSpPr>
      <cdr:spPr>
        <a:xfrm xmlns:a="http://schemas.openxmlformats.org/drawingml/2006/main">
          <a:off x="336553" y="4044776"/>
          <a:ext cx="2846902" cy="2351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900"/>
            <a:t>Fuente: elaborado por Odepa.</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19</xdr:row>
      <xdr:rowOff>47625</xdr:rowOff>
    </xdr:from>
    <xdr:to>
      <xdr:col>8</xdr:col>
      <xdr:colOff>0</xdr:colOff>
      <xdr:row>36</xdr:row>
      <xdr:rowOff>381000</xdr:rowOff>
    </xdr:to>
    <xdr:graphicFrame macro="">
      <xdr:nvGraphicFramePr>
        <xdr:cNvPr id="3"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soto/Downloads/BCereales_0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soto/Downloads/graf%20hoja%20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troducción"/>
      <sheetName val="Contenido Trigo"/>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A"/>
      <sheetName val="26B"/>
      <sheetName val="26C"/>
      <sheetName val="27"/>
      <sheetName val="Contenido Maíz"/>
      <sheetName val="28"/>
      <sheetName val="29"/>
      <sheetName val="30"/>
      <sheetName val="31"/>
      <sheetName val="32"/>
      <sheetName val="33"/>
      <sheetName val="34"/>
      <sheetName val="35"/>
      <sheetName val="36"/>
      <sheetName val="37"/>
      <sheetName val="38"/>
      <sheetName val="39"/>
      <sheetName val="40"/>
      <sheetName val="41"/>
      <sheetName val="42"/>
      <sheetName val="43"/>
      <sheetName val="Contenido Arroz"/>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s>
    <sheetDataSet>
      <sheetData sheetId="0"/>
      <sheetData sheetId="1"/>
      <sheetData sheetId="2"/>
      <sheetData sheetId="3"/>
      <sheetData sheetId="4"/>
      <sheetData sheetId="5"/>
      <sheetData sheetId="6">
        <row r="16">
          <cell r="D16">
            <v>1203.3089100000002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7"/>
    </sheetNames>
    <sheetDataSet>
      <sheetData sheetId="0">
        <row r="10">
          <cell r="M10" t="str">
            <v>Argentina</v>
          </cell>
          <cell r="N10" t="str">
            <v>Estados Unidos</v>
          </cell>
          <cell r="O10" t="str">
            <v>Paraguay</v>
          </cell>
          <cell r="P10"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F89"/>
  <sheetViews>
    <sheetView showFormulas="1" tabSelected="1" zoomScale="70" zoomScaleNormal="70" workbookViewId="0">
      <selection activeCell="A18" sqref="A18:E18"/>
    </sheetView>
  </sheetViews>
  <sheetFormatPr baseColWidth="10" defaultColWidth="10.90625" defaultRowHeight="18"/>
  <cols>
    <col min="1" max="1" width="7.7265625" customWidth="1"/>
    <col min="2" max="3" width="6.90625" customWidth="1"/>
    <col min="4" max="4" width="10.6328125" customWidth="1"/>
    <col min="5" max="5" width="6.1796875" customWidth="1"/>
  </cols>
  <sheetData>
    <row r="1" spans="1:5">
      <c r="A1" s="227"/>
      <c r="B1" s="228"/>
      <c r="C1" s="228"/>
      <c r="D1" s="228"/>
      <c r="E1" s="228"/>
    </row>
    <row r="2" spans="1:5">
      <c r="A2" s="228"/>
      <c r="B2" s="228"/>
      <c r="C2" s="228"/>
      <c r="D2" s="228"/>
      <c r="E2" s="228"/>
    </row>
    <row r="3" spans="1:5">
      <c r="B3" s="228"/>
      <c r="C3" s="228"/>
      <c r="D3" s="228"/>
      <c r="E3" s="228"/>
    </row>
    <row r="4" spans="1:5">
      <c r="A4" s="228"/>
      <c r="B4" s="228"/>
      <c r="C4" s="228"/>
      <c r="D4" s="229"/>
      <c r="E4" s="228"/>
    </row>
    <row r="5" spans="1:5">
      <c r="A5" s="227"/>
      <c r="C5" s="228"/>
      <c r="D5" s="230"/>
      <c r="E5" s="228"/>
    </row>
    <row r="6" spans="1:5">
      <c r="A6" s="227"/>
      <c r="B6" s="228"/>
      <c r="C6" s="228"/>
      <c r="D6" s="228"/>
      <c r="E6" s="228"/>
    </row>
    <row r="7" spans="1:5">
      <c r="A7" s="227"/>
      <c r="B7" s="228"/>
      <c r="C7" s="228"/>
      <c r="D7" s="228"/>
      <c r="E7" s="228"/>
    </row>
    <row r="8" spans="1:5">
      <c r="A8" s="228"/>
      <c r="B8" s="228"/>
      <c r="C8" s="228"/>
      <c r="D8" s="229"/>
      <c r="E8" s="228"/>
    </row>
    <row r="9" spans="1:5">
      <c r="A9" s="231"/>
      <c r="B9" s="228"/>
      <c r="C9" s="228"/>
      <c r="D9" s="228"/>
      <c r="E9" s="228"/>
    </row>
    <row r="10" spans="1:5">
      <c r="A10" s="227"/>
      <c r="B10" s="228"/>
      <c r="C10" s="228"/>
      <c r="D10" s="228"/>
      <c r="E10" s="228"/>
    </row>
    <row r="11" spans="1:5">
      <c r="A11" s="227"/>
      <c r="B11" s="228"/>
      <c r="C11" s="228"/>
      <c r="D11" s="228"/>
      <c r="E11" s="228"/>
    </row>
    <row r="12" spans="1:5">
      <c r="A12" s="227"/>
      <c r="B12" s="228"/>
      <c r="C12" s="228"/>
      <c r="D12" s="228"/>
      <c r="E12" s="228"/>
    </row>
    <row r="13" spans="1:5">
      <c r="A13" s="227"/>
      <c r="B13" s="228"/>
      <c r="C13" s="228"/>
      <c r="D13" s="228"/>
      <c r="E13" s="228"/>
    </row>
    <row r="14" spans="1:5">
      <c r="A14" s="227"/>
      <c r="B14" s="228"/>
      <c r="C14" s="228"/>
      <c r="D14" s="228"/>
      <c r="E14" s="228"/>
    </row>
    <row r="15" spans="1:5">
      <c r="A15" s="227"/>
      <c r="B15" s="228"/>
      <c r="C15" s="228"/>
      <c r="D15" s="228"/>
      <c r="E15" s="228"/>
    </row>
    <row r="16" spans="1:5">
      <c r="A16" s="227"/>
      <c r="B16" s="228"/>
      <c r="C16" s="228"/>
      <c r="D16" s="228"/>
      <c r="E16" s="228"/>
    </row>
    <row r="17" spans="1:5">
      <c r="A17" s="227"/>
      <c r="B17" s="228"/>
      <c r="C17" s="228"/>
      <c r="D17" s="228"/>
      <c r="E17" s="228"/>
    </row>
    <row r="18" spans="1:5" ht="29.1" customHeight="1">
      <c r="A18" s="762" t="s">
        <v>0</v>
      </c>
      <c r="B18" s="762"/>
      <c r="C18" s="762"/>
      <c r="D18" s="762"/>
      <c r="E18" s="762"/>
    </row>
    <row r="19" spans="1:5" ht="19.5">
      <c r="A19" s="228"/>
      <c r="B19" s="228"/>
      <c r="C19" s="763"/>
      <c r="D19" s="763"/>
      <c r="E19" s="763"/>
    </row>
    <row r="20" spans="1:5">
      <c r="A20" s="228"/>
      <c r="B20" s="228"/>
      <c r="C20" s="228"/>
      <c r="D20" s="228"/>
      <c r="E20" s="228"/>
    </row>
    <row r="21" spans="1:5">
      <c r="A21" s="228"/>
      <c r="B21" s="228"/>
      <c r="C21" s="228"/>
      <c r="D21" s="232"/>
      <c r="E21" s="228"/>
    </row>
    <row r="22" spans="1:5">
      <c r="A22" s="764"/>
      <c r="B22" s="764"/>
      <c r="C22" s="764"/>
      <c r="D22" s="764"/>
      <c r="E22" s="764"/>
    </row>
    <row r="23" spans="1:5">
      <c r="A23" s="228"/>
      <c r="B23" s="228"/>
      <c r="C23" s="228"/>
      <c r="D23" s="228"/>
      <c r="E23" s="228"/>
    </row>
    <row r="24" spans="1:5">
      <c r="A24" s="227"/>
      <c r="B24" s="228"/>
      <c r="C24" s="228"/>
      <c r="D24" s="228"/>
      <c r="E24" s="228"/>
    </row>
    <row r="25" spans="1:5">
      <c r="A25" s="227"/>
      <c r="B25" s="228"/>
      <c r="C25" s="228"/>
      <c r="D25" s="229"/>
      <c r="E25" s="228"/>
    </row>
    <row r="26" spans="1:5">
      <c r="A26" s="227"/>
      <c r="B26" s="228"/>
      <c r="C26" s="228"/>
      <c r="D26" s="232"/>
      <c r="E26" s="228"/>
    </row>
    <row r="27" spans="1:5">
      <c r="B27" s="228"/>
      <c r="C27" s="228"/>
      <c r="D27" s="228"/>
      <c r="E27" s="228"/>
    </row>
    <row r="28" spans="1:5">
      <c r="A28" s="227"/>
      <c r="B28" s="228"/>
      <c r="C28" s="228"/>
      <c r="D28" s="228"/>
      <c r="E28" s="228"/>
    </row>
    <row r="29" spans="1:5">
      <c r="A29" s="227"/>
      <c r="B29" s="228"/>
      <c r="C29" s="228"/>
      <c r="D29" s="228"/>
      <c r="E29" s="228"/>
    </row>
    <row r="30" spans="1:5">
      <c r="A30" s="227"/>
      <c r="B30" s="228"/>
      <c r="C30" s="228"/>
      <c r="D30" s="229"/>
      <c r="E30" s="228"/>
    </row>
    <row r="31" spans="1:5">
      <c r="A31" s="227"/>
      <c r="B31" s="228"/>
      <c r="C31" s="228"/>
      <c r="D31" s="228"/>
      <c r="E31" s="228"/>
    </row>
    <row r="32" spans="1:5">
      <c r="A32" s="227"/>
      <c r="B32" s="228"/>
      <c r="C32" s="228"/>
      <c r="D32" s="228"/>
      <c r="E32" s="228"/>
    </row>
    <row r="33" spans="1:5">
      <c r="A33" s="227"/>
      <c r="B33" s="228"/>
      <c r="C33" s="228"/>
      <c r="D33" s="228"/>
      <c r="E33" s="228"/>
    </row>
    <row r="34" spans="1:5">
      <c r="A34" s="227"/>
      <c r="B34" s="228"/>
      <c r="C34" s="228"/>
      <c r="D34" s="228"/>
      <c r="E34" s="228"/>
    </row>
    <row r="35" spans="1:5">
      <c r="A35" s="493"/>
      <c r="B35" s="493"/>
      <c r="C35" s="493"/>
      <c r="D35" s="493"/>
      <c r="E35" s="493"/>
    </row>
    <row r="36" spans="1:5">
      <c r="A36" s="227"/>
      <c r="B36" s="228"/>
      <c r="C36" s="228"/>
      <c r="D36" s="228"/>
      <c r="E36" s="228"/>
    </row>
    <row r="37" spans="1:5">
      <c r="A37" s="227"/>
      <c r="B37" s="228"/>
      <c r="C37" s="228"/>
      <c r="D37" s="228"/>
      <c r="E37" s="228"/>
    </row>
    <row r="38" spans="1:5">
      <c r="A38" s="227"/>
      <c r="B38" s="228"/>
      <c r="C38" s="228"/>
      <c r="D38" s="228"/>
      <c r="E38" s="228"/>
    </row>
    <row r="39" spans="1:5">
      <c r="A39" s="233"/>
      <c r="B39" s="228"/>
      <c r="C39" s="233"/>
      <c r="D39" s="234"/>
      <c r="E39" s="228"/>
    </row>
    <row r="40" spans="1:5" ht="23.25">
      <c r="A40" s="227"/>
      <c r="B40" s="766" t="s">
        <v>739</v>
      </c>
      <c r="C40" s="766"/>
      <c r="D40" s="766"/>
      <c r="E40" s="335"/>
    </row>
    <row r="41" spans="1:5">
      <c r="A41" s="227"/>
      <c r="B41" s="427"/>
      <c r="C41" s="427"/>
      <c r="D41" s="427"/>
      <c r="E41" s="335"/>
    </row>
    <row r="42" spans="1:5">
      <c r="A42" s="493"/>
      <c r="B42" s="493"/>
      <c r="E42" s="228"/>
    </row>
    <row r="43" spans="1:5">
      <c r="A43" s="493"/>
      <c r="B43" s="493"/>
      <c r="C43" s="493"/>
      <c r="D43" s="493"/>
      <c r="E43" s="493"/>
    </row>
    <row r="44" spans="1:5">
      <c r="A44" s="493"/>
      <c r="B44" s="493"/>
      <c r="C44" s="493"/>
      <c r="D44" s="493"/>
      <c r="E44" s="493"/>
    </row>
    <row r="45" spans="1:5">
      <c r="A45" s="493"/>
      <c r="B45" s="493"/>
      <c r="C45" s="493"/>
      <c r="D45" s="493"/>
      <c r="E45" s="493"/>
    </row>
    <row r="46" spans="1:5">
      <c r="A46" s="493"/>
      <c r="B46" s="493"/>
      <c r="C46" s="493"/>
      <c r="D46" s="493"/>
      <c r="E46" s="493"/>
    </row>
    <row r="47" spans="1:5">
      <c r="A47" s="493"/>
      <c r="B47" s="493"/>
      <c r="C47" s="493"/>
      <c r="D47" s="493"/>
      <c r="E47" s="493"/>
    </row>
    <row r="48" spans="1:5">
      <c r="A48" s="235"/>
      <c r="B48" s="235"/>
      <c r="C48" s="235"/>
      <c r="D48" s="235"/>
      <c r="E48" s="235"/>
    </row>
    <row r="49" spans="1:6">
      <c r="A49" s="235"/>
      <c r="B49" s="235"/>
      <c r="C49" s="235"/>
      <c r="D49" s="235"/>
      <c r="E49" s="235"/>
    </row>
    <row r="50" spans="1:6">
      <c r="A50" s="235"/>
      <c r="B50" s="235"/>
      <c r="C50" s="235"/>
      <c r="D50" s="235"/>
      <c r="E50" s="235"/>
    </row>
    <row r="51" spans="1:6" ht="19.5">
      <c r="A51" s="765" t="s">
        <v>1</v>
      </c>
      <c r="B51" s="765"/>
      <c r="C51" s="765"/>
      <c r="D51" s="765"/>
      <c r="E51" s="765"/>
      <c r="F51" s="494"/>
    </row>
    <row r="52" spans="1:6" ht="19.5">
      <c r="A52" s="599"/>
      <c r="B52" s="599"/>
      <c r="C52" s="599"/>
      <c r="D52" s="599"/>
      <c r="E52" s="599"/>
      <c r="F52" s="494"/>
    </row>
    <row r="53" spans="1:6" ht="48" customHeight="1">
      <c r="A53" s="756" t="s">
        <v>740</v>
      </c>
      <c r="B53" s="757"/>
      <c r="C53" s="757"/>
      <c r="D53" s="757"/>
      <c r="E53" s="757"/>
      <c r="F53" s="495"/>
    </row>
    <row r="54" spans="1:6" ht="15.75" customHeight="1">
      <c r="A54" s="600"/>
      <c r="B54" s="601"/>
      <c r="C54" s="601"/>
      <c r="D54" s="601"/>
      <c r="E54" s="601"/>
      <c r="F54" s="495"/>
    </row>
    <row r="55" spans="1:6">
      <c r="A55" s="758" t="s">
        <v>2</v>
      </c>
      <c r="B55" s="758"/>
      <c r="C55" s="758"/>
      <c r="D55" s="758"/>
      <c r="E55" s="758"/>
    </row>
    <row r="56" spans="1:6">
      <c r="A56" s="758" t="s">
        <v>3</v>
      </c>
      <c r="B56" s="758"/>
      <c r="C56" s="758"/>
      <c r="D56" s="758"/>
      <c r="E56" s="758"/>
    </row>
    <row r="57" spans="1:6">
      <c r="A57" s="758" t="s">
        <v>698</v>
      </c>
      <c r="B57" s="758"/>
      <c r="C57" s="758"/>
      <c r="D57" s="758"/>
      <c r="E57" s="758"/>
    </row>
    <row r="58" spans="1:6">
      <c r="A58" s="597"/>
      <c r="B58" s="597"/>
      <c r="C58" s="597"/>
      <c r="D58" s="597"/>
      <c r="E58" s="597"/>
    </row>
    <row r="59" spans="1:6">
      <c r="A59" s="760"/>
      <c r="B59" s="760"/>
      <c r="C59" s="760"/>
      <c r="D59" s="760"/>
      <c r="E59" s="760"/>
    </row>
    <row r="60" spans="1:6">
      <c r="A60" s="761"/>
      <c r="B60" s="761"/>
      <c r="C60" s="761"/>
      <c r="D60" s="761"/>
      <c r="E60" s="761"/>
    </row>
    <row r="61" spans="1:6">
      <c r="A61" s="761" t="s">
        <v>662</v>
      </c>
      <c r="B61" s="761"/>
      <c r="C61" s="761"/>
      <c r="D61" s="761"/>
      <c r="E61" s="761"/>
    </row>
    <row r="62" spans="1:6">
      <c r="A62" s="598"/>
      <c r="B62" s="598"/>
      <c r="C62" s="598"/>
      <c r="D62" s="598"/>
      <c r="E62" s="598"/>
    </row>
    <row r="63" spans="1:6">
      <c r="A63" s="759" t="s">
        <v>4</v>
      </c>
      <c r="B63" s="759"/>
      <c r="C63" s="759"/>
      <c r="D63" s="759"/>
      <c r="E63" s="759"/>
    </row>
    <row r="64" spans="1:6">
      <c r="A64" s="758" t="s">
        <v>5</v>
      </c>
      <c r="B64" s="758"/>
      <c r="C64" s="758"/>
      <c r="D64" s="758"/>
      <c r="E64" s="758"/>
    </row>
    <row r="65" spans="1:5">
      <c r="A65" s="235"/>
      <c r="B65" s="235"/>
      <c r="C65" s="235"/>
      <c r="D65" s="235"/>
      <c r="E65" s="235"/>
    </row>
    <row r="66" spans="1:5">
      <c r="A66" s="235"/>
      <c r="B66" s="235"/>
      <c r="C66" s="235"/>
      <c r="D66" s="235"/>
      <c r="E66" s="235"/>
    </row>
    <row r="67" spans="1:5">
      <c r="A67" s="235"/>
      <c r="B67" s="235"/>
      <c r="C67" s="235"/>
      <c r="D67" s="235"/>
      <c r="E67" s="235"/>
    </row>
    <row r="68" spans="1:5">
      <c r="A68" s="235"/>
      <c r="B68" s="235"/>
      <c r="C68" s="235"/>
      <c r="D68" s="235"/>
      <c r="E68" s="235"/>
    </row>
    <row r="69" spans="1:5">
      <c r="A69" s="235"/>
      <c r="B69" s="235"/>
      <c r="C69" s="235"/>
      <c r="D69" s="235"/>
      <c r="E69" s="235"/>
    </row>
    <row r="70" spans="1:5">
      <c r="A70" s="755" t="s">
        <v>6</v>
      </c>
      <c r="B70" s="755"/>
      <c r="C70" s="755"/>
      <c r="D70" s="755"/>
      <c r="E70" s="755"/>
    </row>
    <row r="71" spans="1:5">
      <c r="A71" s="755" t="s">
        <v>657</v>
      </c>
      <c r="B71" s="755"/>
      <c r="C71" s="755"/>
      <c r="D71" s="755"/>
      <c r="E71" s="755"/>
    </row>
    <row r="72" spans="1:5">
      <c r="A72" s="235"/>
      <c r="B72" s="235"/>
      <c r="C72" s="235"/>
      <c r="D72" s="235"/>
      <c r="E72" s="235"/>
    </row>
    <row r="73" spans="1:5">
      <c r="A73" s="235"/>
      <c r="B73" s="235"/>
      <c r="C73" s="235"/>
      <c r="D73" s="235"/>
      <c r="E73" s="235"/>
    </row>
    <row r="74" spans="1:5">
      <c r="A74" s="235"/>
      <c r="B74" s="235"/>
      <c r="C74" s="235"/>
      <c r="D74" s="235"/>
      <c r="E74" s="235"/>
    </row>
    <row r="75" spans="1:5">
      <c r="A75" s="755" t="s">
        <v>7</v>
      </c>
      <c r="B75" s="755"/>
      <c r="C75" s="755"/>
      <c r="D75" s="755"/>
      <c r="E75" s="755"/>
    </row>
    <row r="76" spans="1:5">
      <c r="A76" s="235"/>
      <c r="B76" s="493"/>
      <c r="C76" s="493"/>
      <c r="D76" s="493"/>
      <c r="E76" s="493"/>
    </row>
    <row r="77" spans="1:5">
      <c r="A77" s="235"/>
      <c r="B77" s="493"/>
      <c r="C77" s="493"/>
      <c r="D77" s="493"/>
      <c r="E77" s="493"/>
    </row>
    <row r="78" spans="1:5">
      <c r="A78" s="235"/>
      <c r="B78" s="493"/>
      <c r="C78" s="493"/>
      <c r="D78" s="493"/>
      <c r="E78" s="493"/>
    </row>
    <row r="79" spans="1:5">
      <c r="A79" s="235"/>
      <c r="B79" s="493"/>
      <c r="C79" s="493"/>
      <c r="D79" s="493"/>
      <c r="E79" s="493"/>
    </row>
    <row r="80" spans="1:5">
      <c r="A80" s="235"/>
      <c r="B80" s="493"/>
      <c r="C80" s="493"/>
      <c r="D80" s="493"/>
      <c r="E80" s="493"/>
    </row>
    <row r="81" spans="1:5">
      <c r="A81" s="496"/>
      <c r="B81" s="496"/>
      <c r="C81" s="493"/>
      <c r="D81" s="493"/>
      <c r="E81" s="493"/>
    </row>
    <row r="82" spans="1:5">
      <c r="A82" s="236" t="s">
        <v>8</v>
      </c>
      <c r="B82" s="493"/>
      <c r="C82" s="493"/>
      <c r="D82" s="493"/>
      <c r="E82" s="493"/>
    </row>
    <row r="83" spans="1:5">
      <c r="A83" s="236" t="s">
        <v>9</v>
      </c>
      <c r="B83" s="493"/>
      <c r="C83" s="493"/>
      <c r="D83" s="493"/>
      <c r="E83" s="493"/>
    </row>
    <row r="84" spans="1:5">
      <c r="A84" s="236" t="s">
        <v>10</v>
      </c>
      <c r="B84" s="493"/>
      <c r="C84" s="237"/>
      <c r="D84" s="238"/>
      <c r="E84" s="493"/>
    </row>
    <row r="85" spans="1:5">
      <c r="A85" s="239" t="s">
        <v>11</v>
      </c>
      <c r="B85" s="497"/>
      <c r="C85" s="493"/>
      <c r="D85" s="493"/>
      <c r="E85" s="493"/>
    </row>
    <row r="86" spans="1:5">
      <c r="A86" s="493"/>
      <c r="B86" s="493"/>
      <c r="C86" s="493"/>
      <c r="D86" s="493"/>
      <c r="E86" s="493"/>
    </row>
    <row r="87" spans="1:5">
      <c r="A87" s="498"/>
      <c r="B87" s="498"/>
      <c r="C87" s="498"/>
      <c r="D87" s="498"/>
      <c r="E87" s="498"/>
    </row>
    <row r="88" spans="1:5">
      <c r="A88" s="498"/>
      <c r="B88" s="498"/>
      <c r="C88" s="498"/>
      <c r="D88" s="498"/>
      <c r="E88" s="498"/>
    </row>
    <row r="89" spans="1:5">
      <c r="A89" s="498"/>
      <c r="B89" s="498"/>
      <c r="C89" s="498"/>
      <c r="D89" s="498"/>
      <c r="E89" s="498"/>
    </row>
  </sheetData>
  <mergeCells count="17">
    <mergeCell ref="A18:E18"/>
    <mergeCell ref="C19:E19"/>
    <mergeCell ref="A22:E22"/>
    <mergeCell ref="A51:E51"/>
    <mergeCell ref="A56:E56"/>
    <mergeCell ref="A55:E55"/>
    <mergeCell ref="B40:D40"/>
    <mergeCell ref="A70:E70"/>
    <mergeCell ref="A71:E71"/>
    <mergeCell ref="A75:E75"/>
    <mergeCell ref="A53:E53"/>
    <mergeCell ref="A57:E57"/>
    <mergeCell ref="A63:E63"/>
    <mergeCell ref="A64:E64"/>
    <mergeCell ref="A59:E59"/>
    <mergeCell ref="A60:E60"/>
    <mergeCell ref="A61:E61"/>
  </mergeCells>
  <pageMargins left="0.23622047244094491" right="0.23622047244094491" top="0.74803149606299213" bottom="0.74803149606299213" header="0.31496062992125984" footer="0.31496062992125984"/>
  <pageSetup paperSize="126" scale="93" fitToHeight="2"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V53"/>
  <sheetViews>
    <sheetView topLeftCell="A7" zoomScaleNormal="100" zoomScaleSheetLayoutView="50" workbookViewId="0">
      <selection activeCell="K5" sqref="K5"/>
    </sheetView>
  </sheetViews>
  <sheetFormatPr baseColWidth="10" defaultColWidth="10.90625" defaultRowHeight="12.75"/>
  <cols>
    <col min="1" max="1" width="2.1796875" style="8" customWidth="1"/>
    <col min="2" max="2" width="13.90625" style="8" customWidth="1"/>
    <col min="3" max="3" width="18.90625" style="8" customWidth="1"/>
    <col min="4" max="6" width="9.90625" style="8" customWidth="1"/>
    <col min="7" max="7" width="3.453125" style="8" customWidth="1"/>
    <col min="8" max="8" width="4.08984375" style="8" customWidth="1"/>
    <col min="9" max="9" width="14.1796875" style="8" customWidth="1"/>
    <col min="10" max="10" width="4.08984375" style="8" customWidth="1"/>
    <col min="11" max="16384" width="10.90625" style="8"/>
  </cols>
  <sheetData>
    <row r="1" spans="2:22">
      <c r="B1" s="789" t="s">
        <v>162</v>
      </c>
      <c r="C1" s="789"/>
      <c r="D1" s="789"/>
      <c r="E1" s="789"/>
      <c r="F1" s="789"/>
      <c r="G1" s="789"/>
      <c r="H1" s="39"/>
      <c r="I1" s="39"/>
      <c r="J1" s="39"/>
      <c r="K1" s="39"/>
      <c r="L1" s="39"/>
      <c r="M1" s="39"/>
      <c r="N1" s="39"/>
      <c r="O1" s="39"/>
      <c r="P1" s="39"/>
      <c r="Q1" s="39"/>
      <c r="R1" s="39"/>
      <c r="S1" s="39"/>
      <c r="T1" s="39"/>
      <c r="U1" s="39"/>
      <c r="V1" s="39"/>
    </row>
    <row r="2" spans="2:22">
      <c r="B2" s="31"/>
      <c r="C2" s="31"/>
      <c r="D2" s="31"/>
      <c r="E2" s="31"/>
      <c r="F2" s="31"/>
      <c r="G2" s="31"/>
      <c r="H2" s="39"/>
      <c r="I2" s="39"/>
      <c r="J2" s="39"/>
      <c r="K2" s="39"/>
      <c r="L2" s="39"/>
      <c r="M2" s="39"/>
      <c r="N2" s="39"/>
      <c r="O2" s="39"/>
      <c r="P2" s="39"/>
      <c r="Q2" s="39"/>
      <c r="R2" s="39"/>
      <c r="S2" s="39"/>
      <c r="T2" s="39"/>
      <c r="U2" s="39"/>
      <c r="V2" s="39"/>
    </row>
    <row r="3" spans="2:22" ht="41.25" customHeight="1">
      <c r="B3" s="790" t="s">
        <v>695</v>
      </c>
      <c r="C3" s="790"/>
      <c r="D3" s="809"/>
      <c r="E3" s="809"/>
      <c r="F3" s="809"/>
      <c r="G3" s="35"/>
      <c r="H3" s="39"/>
      <c r="I3" s="39"/>
      <c r="J3" s="39"/>
      <c r="K3" s="39"/>
      <c r="L3" s="39"/>
      <c r="M3" s="39"/>
      <c r="N3" s="39"/>
      <c r="O3" s="39"/>
      <c r="P3" s="39"/>
      <c r="Q3" s="39"/>
      <c r="R3" s="39"/>
      <c r="S3" s="39"/>
      <c r="T3" s="39"/>
      <c r="U3" s="39"/>
      <c r="V3" s="39"/>
    </row>
    <row r="4" spans="2:22" s="19" customFormat="1" ht="57" customHeight="1">
      <c r="B4" s="791" t="s">
        <v>694</v>
      </c>
      <c r="C4" s="810"/>
      <c r="D4" s="810"/>
      <c r="E4" s="810"/>
      <c r="F4" s="810"/>
    </row>
    <row r="5" spans="2:22" s="19" customFormat="1" ht="30.95" customHeight="1">
      <c r="B5" s="811"/>
      <c r="C5" s="811"/>
      <c r="D5" s="339" t="s">
        <v>163</v>
      </c>
      <c r="E5" s="339" t="s">
        <v>164</v>
      </c>
      <c r="F5" s="339" t="s">
        <v>165</v>
      </c>
    </row>
    <row r="6" spans="2:22" s="19" customFormat="1" ht="15.75" customHeight="1">
      <c r="B6" s="806" t="s">
        <v>685</v>
      </c>
      <c r="C6" s="806"/>
      <c r="D6" s="51">
        <v>72</v>
      </c>
      <c r="E6" s="51">
        <v>80</v>
      </c>
      <c r="F6" s="518">
        <v>65</v>
      </c>
    </row>
    <row r="7" spans="2:22" s="19" customFormat="1" ht="15.75" customHeight="1">
      <c r="B7" s="805" t="s">
        <v>693</v>
      </c>
      <c r="C7" s="806"/>
      <c r="D7" s="67">
        <v>64800</v>
      </c>
      <c r="E7" s="67">
        <v>123500</v>
      </c>
      <c r="F7" s="519">
        <v>57000</v>
      </c>
    </row>
    <row r="8" spans="2:22" ht="15.75" customHeight="1">
      <c r="B8" s="805" t="s">
        <v>692</v>
      </c>
      <c r="C8" s="806"/>
      <c r="D8" s="67">
        <v>322200</v>
      </c>
      <c r="E8" s="67">
        <v>334000</v>
      </c>
      <c r="F8" s="519">
        <v>293800</v>
      </c>
      <c r="G8" s="39"/>
      <c r="H8" s="132"/>
      <c r="I8" s="142"/>
      <c r="J8" s="39"/>
      <c r="K8" s="39"/>
      <c r="L8" s="39"/>
      <c r="M8" s="39"/>
      <c r="N8" s="39"/>
      <c r="O8" s="39"/>
      <c r="P8" s="39"/>
      <c r="Q8" s="39"/>
      <c r="R8" s="39"/>
      <c r="S8" s="39"/>
      <c r="T8" s="39"/>
      <c r="U8" s="39"/>
      <c r="V8" s="39"/>
    </row>
    <row r="9" spans="2:22" ht="15.75" customHeight="1">
      <c r="B9" s="805" t="s">
        <v>691</v>
      </c>
      <c r="C9" s="806"/>
      <c r="D9" s="67">
        <v>553265</v>
      </c>
      <c r="E9" s="67">
        <v>679795</v>
      </c>
      <c r="F9" s="519">
        <v>559795</v>
      </c>
      <c r="G9" s="39"/>
      <c r="H9" s="132"/>
      <c r="I9" s="142"/>
      <c r="J9" s="39"/>
      <c r="K9" s="39"/>
      <c r="L9" s="39"/>
      <c r="M9" s="39"/>
      <c r="N9" s="39"/>
      <c r="O9" s="39"/>
      <c r="P9" s="39"/>
      <c r="Q9" s="39"/>
      <c r="R9" s="39"/>
      <c r="S9" s="39"/>
      <c r="T9" s="39"/>
      <c r="U9" s="39"/>
      <c r="V9" s="39"/>
    </row>
    <row r="10" spans="2:22" ht="15.75" customHeight="1">
      <c r="B10" s="807" t="s">
        <v>690</v>
      </c>
      <c r="C10" s="808"/>
      <c r="D10" s="67">
        <f>47013+81450</f>
        <v>128463</v>
      </c>
      <c r="E10" s="67">
        <f>56865+71650</f>
        <v>128515</v>
      </c>
      <c r="F10" s="519">
        <f>45530+57367</f>
        <v>102897</v>
      </c>
      <c r="G10" s="39"/>
      <c r="H10" s="132"/>
      <c r="I10" s="142"/>
      <c r="J10" s="39"/>
      <c r="K10" s="39"/>
      <c r="L10" s="39"/>
      <c r="M10" s="39"/>
      <c r="N10" s="39"/>
      <c r="O10" s="39"/>
      <c r="P10" s="39"/>
      <c r="Q10" s="39"/>
      <c r="R10" s="39"/>
      <c r="S10" s="39"/>
      <c r="T10" s="39"/>
      <c r="U10" s="39"/>
      <c r="V10" s="39"/>
    </row>
    <row r="11" spans="2:22" ht="15.75" customHeight="1">
      <c r="B11" s="805" t="s">
        <v>169</v>
      </c>
      <c r="C11" s="806"/>
      <c r="D11" s="67">
        <f>SUM(D7:D10)</f>
        <v>1068728</v>
      </c>
      <c r="E11" s="67">
        <f>SUM(E7:E10)</f>
        <v>1265810</v>
      </c>
      <c r="F11" s="67">
        <f>SUM(F7:F10)</f>
        <v>1013492</v>
      </c>
      <c r="G11" s="39"/>
      <c r="H11" s="132"/>
      <c r="I11" s="142"/>
      <c r="J11" s="39"/>
      <c r="K11" s="39"/>
      <c r="L11" s="39"/>
      <c r="M11" s="39"/>
      <c r="N11" s="39"/>
      <c r="O11" s="39"/>
      <c r="P11" s="39"/>
      <c r="Q11" s="39"/>
      <c r="R11" s="39"/>
      <c r="S11" s="39"/>
      <c r="T11" s="39"/>
      <c r="U11" s="39"/>
      <c r="V11" s="39"/>
    </row>
    <row r="12" spans="2:22" ht="19.5" customHeight="1">
      <c r="B12" s="805" t="s">
        <v>170</v>
      </c>
      <c r="C12" s="813"/>
      <c r="D12" s="46">
        <v>30461.425943301976</v>
      </c>
      <c r="E12" s="46">
        <v>30461.425943301976</v>
      </c>
      <c r="F12" s="46">
        <v>30461.425943301976</v>
      </c>
      <c r="G12" s="39"/>
      <c r="H12" s="132"/>
      <c r="I12" s="142"/>
      <c r="J12" s="39"/>
      <c r="K12" s="39"/>
      <c r="L12" s="79"/>
      <c r="M12" s="79"/>
      <c r="N12" s="79"/>
      <c r="O12" s="79"/>
      <c r="P12" s="79"/>
      <c r="Q12" s="79"/>
      <c r="R12" s="79"/>
      <c r="S12" s="79"/>
      <c r="T12" s="79"/>
      <c r="U12" s="79"/>
      <c r="V12" s="79"/>
    </row>
    <row r="13" spans="2:22" ht="16.5" customHeight="1">
      <c r="B13" s="818" t="s">
        <v>171</v>
      </c>
      <c r="C13" s="819"/>
      <c r="D13" s="46">
        <f>D12*D6</f>
        <v>2193222.6679177424</v>
      </c>
      <c r="E13" s="46">
        <f>E12*E6</f>
        <v>2436914.0754641583</v>
      </c>
      <c r="F13" s="46">
        <f>F12*F6</f>
        <v>1979992.6863146285</v>
      </c>
      <c r="G13" s="39"/>
      <c r="H13" s="132"/>
      <c r="I13" s="142"/>
      <c r="J13" s="39"/>
      <c r="K13" s="85"/>
      <c r="L13" s="83"/>
      <c r="M13" s="82"/>
      <c r="N13" s="82"/>
      <c r="O13" s="82"/>
      <c r="P13" s="82"/>
      <c r="Q13" s="82"/>
      <c r="R13" s="82"/>
      <c r="S13" s="80"/>
      <c r="T13" s="80"/>
      <c r="U13" s="80"/>
      <c r="V13" s="80"/>
    </row>
    <row r="14" spans="2:22" ht="16.5" customHeight="1">
      <c r="B14" s="818" t="s">
        <v>172</v>
      </c>
      <c r="C14" s="819"/>
      <c r="D14" s="46">
        <f>D13-D11</f>
        <v>1124494.6679177424</v>
      </c>
      <c r="E14" s="46">
        <f>E13-E11</f>
        <v>1171104.0754641583</v>
      </c>
      <c r="F14" s="46">
        <f>F13-F11</f>
        <v>966500.68631462846</v>
      </c>
      <c r="G14" s="39"/>
      <c r="H14" s="132"/>
      <c r="I14" s="142"/>
      <c r="J14" s="39"/>
      <c r="K14" s="85"/>
      <c r="L14" s="83"/>
      <c r="M14" s="82"/>
      <c r="N14" s="82"/>
      <c r="O14" s="82"/>
      <c r="P14" s="82"/>
      <c r="Q14" s="82"/>
      <c r="R14" s="82"/>
      <c r="S14" s="80"/>
      <c r="T14" s="80"/>
      <c r="U14" s="80"/>
      <c r="V14" s="80"/>
    </row>
    <row r="15" spans="2:22" ht="16.5" customHeight="1">
      <c r="B15" s="822"/>
      <c r="C15" s="823"/>
      <c r="D15" s="821"/>
      <c r="E15" s="823"/>
      <c r="F15" s="824"/>
      <c r="G15" s="39"/>
      <c r="H15" s="132"/>
      <c r="I15" s="142"/>
      <c r="J15" s="39"/>
      <c r="K15" s="85"/>
      <c r="L15" s="86"/>
      <c r="M15" s="84"/>
      <c r="N15" s="84"/>
      <c r="O15" s="84"/>
      <c r="P15" s="84"/>
      <c r="Q15" s="84"/>
      <c r="R15" s="84"/>
      <c r="S15" s="78"/>
      <c r="T15" s="78"/>
      <c r="U15" s="78"/>
      <c r="V15" s="78"/>
    </row>
    <row r="16" spans="2:22" s="19" customFormat="1" ht="16.5" customHeight="1">
      <c r="B16" s="821" t="s">
        <v>173</v>
      </c>
      <c r="C16" s="821"/>
      <c r="D16" s="821"/>
      <c r="E16" s="821"/>
      <c r="F16" s="821"/>
      <c r="H16" s="87"/>
      <c r="I16" s="88"/>
    </row>
    <row r="17" spans="2:18" ht="41.25" customHeight="1">
      <c r="B17" s="45" t="s">
        <v>174</v>
      </c>
      <c r="C17" s="48" t="s">
        <v>696</v>
      </c>
      <c r="D17" s="46">
        <v>60</v>
      </c>
      <c r="E17" s="46">
        <v>70</v>
      </c>
      <c r="F17" s="46">
        <v>75</v>
      </c>
      <c r="G17" s="27"/>
      <c r="H17" s="132"/>
      <c r="I17" s="142"/>
      <c r="J17" s="39"/>
      <c r="K17" s="39"/>
      <c r="L17" s="39"/>
      <c r="M17" s="39"/>
      <c r="N17" s="39"/>
      <c r="O17" s="39"/>
      <c r="P17" s="39"/>
      <c r="Q17" s="39"/>
      <c r="R17" s="39"/>
    </row>
    <row r="18" spans="2:18" ht="15.75" customHeight="1">
      <c r="B18" s="45" t="s">
        <v>175</v>
      </c>
      <c r="C18" s="45">
        <f>D12</f>
        <v>30461.425943301976</v>
      </c>
      <c r="D18" s="46">
        <f>(D$17*$C18)-$D$11</f>
        <v>758957.55659811851</v>
      </c>
      <c r="E18" s="46">
        <f>(E$17*$C18)-$D$11</f>
        <v>1063571.8160311384</v>
      </c>
      <c r="F18" s="46">
        <f>(F$17*$C18)-$D$11</f>
        <v>1215878.9457476484</v>
      </c>
      <c r="G18" s="54"/>
      <c r="H18" s="132"/>
      <c r="I18" s="82"/>
      <c r="J18" s="82"/>
      <c r="K18" s="39"/>
      <c r="L18" s="39"/>
      <c r="M18" s="39"/>
      <c r="N18" s="39"/>
      <c r="O18" s="39"/>
      <c r="P18" s="39"/>
      <c r="Q18" s="39"/>
      <c r="R18" s="39"/>
    </row>
    <row r="19" spans="2:18" ht="15.75" customHeight="1">
      <c r="B19" s="47" t="s">
        <v>689</v>
      </c>
      <c r="C19" s="47"/>
      <c r="D19" s="46">
        <f>$D$11/D17</f>
        <v>17812.133333333335</v>
      </c>
      <c r="E19" s="46">
        <f>$D$11/E17</f>
        <v>15267.542857142857</v>
      </c>
      <c r="F19" s="46">
        <f>$D$11/F17</f>
        <v>14249.706666666667</v>
      </c>
      <c r="G19" s="54"/>
      <c r="H19" s="89"/>
      <c r="I19" s="82"/>
      <c r="J19" s="82"/>
      <c r="K19" s="39"/>
      <c r="L19" s="39"/>
      <c r="M19" s="39"/>
      <c r="N19" s="39"/>
      <c r="O19" s="39"/>
      <c r="P19" s="39"/>
      <c r="Q19" s="39"/>
      <c r="R19" s="39"/>
    </row>
    <row r="20" spans="2:18" ht="24.95" customHeight="1">
      <c r="B20" s="792" t="s">
        <v>176</v>
      </c>
      <c r="C20" s="792"/>
      <c r="D20" s="792"/>
      <c r="E20" s="792"/>
      <c r="F20" s="792"/>
      <c r="G20" s="54"/>
      <c r="H20" s="89"/>
      <c r="I20" s="82"/>
      <c r="J20" s="82"/>
      <c r="K20" s="39"/>
      <c r="L20" s="39"/>
      <c r="M20" s="39"/>
      <c r="N20" s="39"/>
      <c r="O20" s="39"/>
      <c r="P20" s="39"/>
      <c r="Q20" s="39"/>
      <c r="R20" s="39"/>
    </row>
    <row r="21" spans="2:18" ht="15.75" customHeight="1">
      <c r="B21" s="820" t="s">
        <v>177</v>
      </c>
      <c r="C21" s="820"/>
      <c r="D21" s="820"/>
      <c r="E21" s="820"/>
      <c r="F21" s="820"/>
      <c r="G21" s="54"/>
      <c r="H21" s="89"/>
      <c r="I21" s="82"/>
      <c r="J21" s="82"/>
      <c r="K21" s="39"/>
      <c r="L21" s="39"/>
      <c r="M21" s="39"/>
      <c r="N21" s="39"/>
      <c r="O21" s="39"/>
      <c r="P21" s="39"/>
      <c r="Q21" s="39"/>
      <c r="R21" s="39"/>
    </row>
    <row r="22" spans="2:18" ht="29.1" customHeight="1">
      <c r="B22" s="825" t="s">
        <v>697</v>
      </c>
      <c r="C22" s="826"/>
      <c r="D22" s="826"/>
      <c r="E22" s="826"/>
      <c r="F22" s="827"/>
      <c r="G22" s="54"/>
      <c r="H22" s="89"/>
      <c r="I22" s="82"/>
      <c r="J22" s="82"/>
      <c r="K22" s="39"/>
      <c r="L22" s="39"/>
      <c r="M22" s="39"/>
      <c r="N22" s="39"/>
      <c r="O22" s="39"/>
      <c r="P22" s="39"/>
      <c r="Q22" s="39"/>
      <c r="R22" s="39"/>
    </row>
    <row r="23" spans="2:18" ht="15.75" customHeight="1">
      <c r="B23" s="815" t="s">
        <v>686</v>
      </c>
      <c r="C23" s="816"/>
      <c r="D23" s="816"/>
      <c r="E23" s="816"/>
      <c r="F23" s="817"/>
      <c r="G23" s="54"/>
      <c r="H23" s="89"/>
      <c r="I23" s="82"/>
      <c r="J23" s="82"/>
      <c r="K23" s="39"/>
      <c r="L23" s="39"/>
      <c r="M23" s="39"/>
      <c r="N23" s="39"/>
      <c r="O23" s="39"/>
      <c r="P23" s="39"/>
      <c r="Q23" s="39"/>
      <c r="R23" s="39"/>
    </row>
    <row r="24" spans="2:18" ht="31.7" customHeight="1">
      <c r="B24" s="814" t="s">
        <v>687</v>
      </c>
      <c r="C24" s="814"/>
      <c r="D24" s="814"/>
      <c r="E24" s="814"/>
      <c r="F24" s="814"/>
      <c r="G24" s="54"/>
      <c r="H24" s="89"/>
      <c r="I24" s="82"/>
      <c r="J24" s="82"/>
      <c r="K24" s="39"/>
      <c r="L24" s="39"/>
      <c r="M24" s="39"/>
      <c r="N24" s="39"/>
      <c r="O24" s="39"/>
      <c r="P24" s="39"/>
      <c r="Q24" s="39"/>
      <c r="R24" s="39"/>
    </row>
    <row r="25" spans="2:18" ht="35.65" customHeight="1">
      <c r="B25" s="812" t="s">
        <v>688</v>
      </c>
      <c r="C25" s="812"/>
      <c r="D25" s="812"/>
      <c r="E25" s="812"/>
      <c r="F25" s="812"/>
      <c r="G25" s="54"/>
      <c r="H25" s="89"/>
      <c r="I25" s="82"/>
      <c r="J25" s="82"/>
      <c r="K25" s="131"/>
      <c r="L25" s="131"/>
      <c r="M25" s="132"/>
      <c r="N25" s="28"/>
      <c r="O25" s="39"/>
      <c r="P25" s="39"/>
      <c r="Q25" s="39"/>
      <c r="R25" s="39"/>
    </row>
    <row r="26" spans="2:18" ht="16.5" customHeight="1">
      <c r="B26" s="39"/>
      <c r="C26" s="34"/>
      <c r="D26" s="98"/>
      <c r="E26" s="98"/>
      <c r="F26" s="99"/>
      <c r="G26" s="54"/>
      <c r="H26" s="89"/>
      <c r="I26" s="82"/>
      <c r="J26" s="82"/>
      <c r="K26" s="131"/>
      <c r="L26" s="131"/>
      <c r="M26" s="132"/>
      <c r="N26" s="28"/>
      <c r="O26" s="39"/>
      <c r="P26" s="39"/>
      <c r="Q26" s="39"/>
      <c r="R26" s="39"/>
    </row>
    <row r="27" spans="2:18" ht="16.5" customHeight="1">
      <c r="B27" s="39"/>
      <c r="C27" s="34"/>
      <c r="D27" s="98"/>
      <c r="E27" s="98"/>
      <c r="F27" s="99"/>
      <c r="G27" s="54"/>
      <c r="H27" s="89"/>
      <c r="I27" s="82"/>
      <c r="J27" s="82"/>
      <c r="K27" s="131"/>
      <c r="L27" s="131"/>
      <c r="M27" s="132"/>
      <c r="N27" s="28"/>
      <c r="O27" s="39"/>
      <c r="P27" s="39"/>
      <c r="Q27" s="39"/>
      <c r="R27" s="39"/>
    </row>
    <row r="28" spans="2:18" ht="16.5" customHeight="1">
      <c r="B28" s="39"/>
      <c r="C28" s="34"/>
      <c r="D28" s="98"/>
      <c r="E28" s="98"/>
      <c r="F28" s="99"/>
      <c r="G28" s="54"/>
      <c r="H28" s="89"/>
      <c r="I28" s="89"/>
      <c r="J28" s="89"/>
      <c r="K28" s="516"/>
      <c r="L28" s="131"/>
      <c r="M28" s="132"/>
      <c r="N28" s="28"/>
      <c r="O28" s="39"/>
      <c r="P28" s="39"/>
      <c r="Q28" s="39"/>
      <c r="R28" s="39"/>
    </row>
    <row r="29" spans="2:18" ht="16.5" customHeight="1">
      <c r="B29" s="39"/>
      <c r="C29" s="70"/>
      <c r="D29" s="34"/>
      <c r="E29" s="39"/>
      <c r="F29" s="55"/>
      <c r="G29" s="54"/>
      <c r="H29" s="81"/>
      <c r="I29" s="142"/>
      <c r="J29" s="517"/>
      <c r="K29" s="131"/>
      <c r="L29" s="131"/>
      <c r="M29" s="132"/>
      <c r="N29" s="28"/>
      <c r="O29" s="39"/>
      <c r="P29" s="39"/>
      <c r="Q29" s="39"/>
      <c r="R29" s="39"/>
    </row>
    <row r="30" spans="2:18">
      <c r="B30" s="39"/>
      <c r="C30" s="39"/>
      <c r="D30" s="39"/>
      <c r="E30" s="39"/>
      <c r="F30" s="39"/>
      <c r="G30" s="39"/>
      <c r="H30" s="39"/>
      <c r="I30" s="39"/>
      <c r="J30" s="39"/>
      <c r="K30" s="39"/>
      <c r="L30" s="39"/>
      <c r="M30" s="39"/>
      <c r="N30" s="39"/>
      <c r="O30" s="39"/>
      <c r="P30" s="39"/>
      <c r="Q30" s="39"/>
      <c r="R30" s="39"/>
    </row>
    <row r="31" spans="2:18">
      <c r="B31" s="39"/>
      <c r="C31" s="39"/>
      <c r="D31" s="39"/>
      <c r="E31" s="39"/>
      <c r="F31" s="39"/>
      <c r="G31" s="39"/>
      <c r="H31" s="39"/>
      <c r="I31" s="39"/>
      <c r="J31" s="39"/>
      <c r="K31" s="39"/>
      <c r="L31" s="39"/>
      <c r="M31" s="39"/>
      <c r="N31" s="39"/>
      <c r="O31" s="39"/>
      <c r="P31" s="39"/>
      <c r="Q31" s="39"/>
      <c r="R31" s="39"/>
    </row>
    <row r="32" spans="2:18">
      <c r="B32" s="39"/>
      <c r="C32" s="39"/>
      <c r="D32" s="39"/>
      <c r="E32" s="39"/>
      <c r="F32" s="39"/>
      <c r="G32" s="39"/>
      <c r="H32" s="39"/>
      <c r="I32" s="39"/>
      <c r="J32" s="39"/>
      <c r="K32" s="39"/>
      <c r="L32" s="39"/>
      <c r="M32" s="39"/>
      <c r="N32" s="39"/>
      <c r="O32" s="39"/>
      <c r="P32" s="39"/>
      <c r="Q32" s="39"/>
      <c r="R32" s="39"/>
    </row>
    <row r="33" spans="2:18">
      <c r="B33" s="39"/>
      <c r="C33" s="39"/>
      <c r="D33" s="39"/>
      <c r="E33" s="39"/>
      <c r="F33" s="39"/>
      <c r="G33" s="39"/>
      <c r="H33" s="39"/>
      <c r="I33" s="39"/>
      <c r="J33" s="39"/>
      <c r="K33" s="39"/>
      <c r="L33" s="39"/>
      <c r="M33" s="39"/>
      <c r="N33" s="39"/>
      <c r="O33" s="39"/>
      <c r="P33" s="39"/>
      <c r="Q33" s="39"/>
      <c r="R33" s="39"/>
    </row>
    <row r="34" spans="2:18">
      <c r="C34" s="39"/>
      <c r="D34" s="39"/>
      <c r="E34" s="39"/>
      <c r="F34" s="39"/>
    </row>
    <row r="35" spans="2:18">
      <c r="C35" s="39"/>
      <c r="D35" s="39"/>
      <c r="E35" s="39"/>
      <c r="F35" s="39"/>
    </row>
    <row r="36" spans="2:18">
      <c r="C36" s="39"/>
      <c r="D36" s="39"/>
      <c r="E36" s="39"/>
      <c r="F36" s="39"/>
    </row>
    <row r="37" spans="2:18">
      <c r="C37" s="39"/>
      <c r="D37" s="39"/>
      <c r="E37" s="39"/>
      <c r="F37" s="39"/>
    </row>
    <row r="38" spans="2:18">
      <c r="C38" s="39"/>
      <c r="D38" s="39"/>
      <c r="E38" s="39"/>
      <c r="F38" s="39"/>
    </row>
    <row r="52" spans="2:13">
      <c r="B52" s="39"/>
      <c r="C52" s="39"/>
      <c r="D52" s="39"/>
      <c r="E52" s="39"/>
      <c r="F52" s="39"/>
      <c r="G52" s="39"/>
      <c r="H52" s="39"/>
      <c r="I52" s="39"/>
      <c r="J52" s="39"/>
      <c r="K52" s="39"/>
      <c r="L52" s="39"/>
      <c r="M52" s="39"/>
    </row>
    <row r="53" spans="2:13" ht="30" customHeight="1">
      <c r="B53" s="35"/>
      <c r="C53" s="39"/>
      <c r="D53" s="39"/>
      <c r="E53" s="39"/>
      <c r="F53" s="39"/>
      <c r="G53" s="39"/>
      <c r="H53" s="35"/>
      <c r="I53" s="39"/>
      <c r="J53" s="39"/>
      <c r="K53" s="39"/>
      <c r="L53" s="39"/>
      <c r="M53" s="39"/>
    </row>
  </sheetData>
  <mergeCells count="21">
    <mergeCell ref="B25:F25"/>
    <mergeCell ref="B12:C12"/>
    <mergeCell ref="B24:F24"/>
    <mergeCell ref="B23:F23"/>
    <mergeCell ref="B11:C11"/>
    <mergeCell ref="B14:C14"/>
    <mergeCell ref="B21:F21"/>
    <mergeCell ref="B16:F16"/>
    <mergeCell ref="B20:F20"/>
    <mergeCell ref="B13:C13"/>
    <mergeCell ref="B15:F15"/>
    <mergeCell ref="B22:F22"/>
    <mergeCell ref="B7:C7"/>
    <mergeCell ref="B6:C6"/>
    <mergeCell ref="B8:C8"/>
    <mergeCell ref="B10:C10"/>
    <mergeCell ref="B1:G1"/>
    <mergeCell ref="B3:F3"/>
    <mergeCell ref="B4:F4"/>
    <mergeCell ref="B5:C5"/>
    <mergeCell ref="B9:C9"/>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36"/>
  <sheetViews>
    <sheetView topLeftCell="A17" zoomScaleNormal="100" workbookViewId="0">
      <selection activeCell="O17" sqref="O17"/>
    </sheetView>
  </sheetViews>
  <sheetFormatPr baseColWidth="10" defaultColWidth="9.6328125" defaultRowHeight="12"/>
  <cols>
    <col min="1" max="1" width="2.81640625" style="1" customWidth="1"/>
    <col min="2" max="2" width="5.1796875" style="1" customWidth="1"/>
    <col min="3" max="3" width="7.81640625" style="1" customWidth="1"/>
    <col min="4" max="4" width="7.26953125" style="1" customWidth="1"/>
    <col min="5" max="5" width="8.26953125" style="1" customWidth="1"/>
    <col min="6" max="6" width="7.26953125" style="1" customWidth="1"/>
    <col min="7" max="7" width="8.453125" style="1" customWidth="1"/>
    <col min="8" max="8" width="7.90625" style="1" customWidth="1"/>
    <col min="9" max="9" width="10" style="1" customWidth="1"/>
    <col min="10" max="10" width="7.26953125" style="1" customWidth="1"/>
    <col min="11" max="12" width="2.08984375" style="1" customWidth="1"/>
    <col min="13" max="13" width="11.36328125" style="637" bestFit="1" customWidth="1"/>
    <col min="14" max="14" width="13.36328125" style="637" bestFit="1" customWidth="1"/>
    <col min="15" max="34" width="9.6328125" style="637"/>
    <col min="35" max="16384" width="9.6328125" style="1"/>
  </cols>
  <sheetData>
    <row r="1" spans="2:34" s="15" customFormat="1" ht="18" customHeight="1">
      <c r="B1" s="789" t="s">
        <v>178</v>
      </c>
      <c r="C1" s="789"/>
      <c r="D1" s="789"/>
      <c r="E1" s="789"/>
      <c r="F1" s="789"/>
      <c r="G1" s="789"/>
      <c r="H1" s="789"/>
      <c r="I1" s="789"/>
      <c r="J1" s="789"/>
      <c r="M1" s="654"/>
      <c r="N1" s="654"/>
      <c r="O1" s="654"/>
      <c r="P1" s="654"/>
      <c r="Q1" s="654"/>
      <c r="R1" s="654"/>
      <c r="S1" s="654"/>
      <c r="T1" s="654"/>
      <c r="U1" s="654"/>
      <c r="V1" s="654"/>
      <c r="W1" s="654"/>
      <c r="X1" s="654"/>
      <c r="Y1" s="654"/>
      <c r="Z1" s="654"/>
      <c r="AA1" s="654"/>
      <c r="AB1" s="654"/>
      <c r="AC1" s="654"/>
      <c r="AD1" s="654"/>
      <c r="AE1" s="654"/>
      <c r="AF1" s="654"/>
      <c r="AG1" s="654"/>
      <c r="AH1" s="654"/>
    </row>
    <row r="2" spans="2:34" s="15" customFormat="1" ht="12.75">
      <c r="M2" s="654"/>
      <c r="N2" s="654"/>
      <c r="O2" s="654"/>
      <c r="P2" s="654"/>
      <c r="Q2" s="654"/>
      <c r="R2" s="654"/>
      <c r="S2" s="654"/>
      <c r="T2" s="654"/>
      <c r="U2" s="654"/>
      <c r="V2" s="654"/>
      <c r="W2" s="654"/>
      <c r="X2" s="654"/>
      <c r="Y2" s="654"/>
      <c r="Z2" s="654"/>
      <c r="AA2" s="654"/>
      <c r="AB2" s="654"/>
      <c r="AC2" s="654"/>
      <c r="AD2" s="654"/>
      <c r="AE2" s="654"/>
      <c r="AF2" s="654"/>
      <c r="AG2" s="654"/>
      <c r="AH2" s="654"/>
    </row>
    <row r="3" spans="2:34" s="15" customFormat="1" ht="15.75" customHeight="1">
      <c r="B3" s="767" t="s">
        <v>179</v>
      </c>
      <c r="C3" s="767"/>
      <c r="D3" s="767"/>
      <c r="E3" s="767"/>
      <c r="F3" s="767"/>
      <c r="G3" s="767"/>
      <c r="H3" s="767"/>
      <c r="I3" s="767"/>
      <c r="J3" s="767"/>
      <c r="M3" s="654"/>
      <c r="N3" s="654"/>
      <c r="O3" s="654"/>
      <c r="P3" s="654"/>
      <c r="Q3" s="654"/>
      <c r="R3" s="654"/>
      <c r="S3" s="654"/>
      <c r="T3" s="654"/>
      <c r="U3" s="654"/>
      <c r="V3" s="654"/>
      <c r="W3" s="654"/>
      <c r="X3" s="654"/>
      <c r="Y3" s="654"/>
      <c r="Z3" s="654"/>
      <c r="AA3" s="654"/>
      <c r="AB3" s="654"/>
      <c r="AC3" s="654"/>
      <c r="AD3" s="654"/>
      <c r="AE3" s="654"/>
      <c r="AF3" s="654"/>
      <c r="AG3" s="654"/>
      <c r="AH3" s="654"/>
    </row>
    <row r="4" spans="2:34" s="15" customFormat="1" ht="15.75" customHeight="1">
      <c r="B4" s="767" t="s">
        <v>720</v>
      </c>
      <c r="C4" s="767"/>
      <c r="D4" s="767"/>
      <c r="E4" s="767"/>
      <c r="F4" s="767"/>
      <c r="G4" s="767"/>
      <c r="H4" s="767"/>
      <c r="I4" s="767"/>
      <c r="J4" s="767"/>
      <c r="M4" s="654"/>
      <c r="N4" s="654"/>
      <c r="O4" s="654"/>
      <c r="P4" s="654"/>
      <c r="Q4" s="654"/>
      <c r="R4" s="654"/>
      <c r="S4" s="654"/>
      <c r="T4" s="654"/>
      <c r="U4" s="654"/>
      <c r="V4" s="654"/>
      <c r="W4" s="654"/>
      <c r="X4" s="654"/>
      <c r="Y4" s="654"/>
      <c r="Z4" s="654"/>
      <c r="AA4" s="654"/>
      <c r="AB4" s="654"/>
      <c r="AC4" s="654"/>
      <c r="AD4" s="654"/>
      <c r="AE4" s="654"/>
      <c r="AF4" s="654"/>
      <c r="AG4" s="654"/>
      <c r="AH4" s="654"/>
    </row>
    <row r="5" spans="2:34" s="15" customFormat="1" ht="15.75" customHeight="1">
      <c r="B5" s="837" t="s">
        <v>180</v>
      </c>
      <c r="C5" s="837"/>
      <c r="D5" s="838"/>
      <c r="E5" s="837"/>
      <c r="F5" s="837"/>
      <c r="G5" s="837"/>
      <c r="H5" s="837"/>
      <c r="I5" s="837"/>
      <c r="J5" s="837"/>
      <c r="K5" s="20"/>
      <c r="M5" s="654"/>
      <c r="N5" s="654"/>
      <c r="O5" s="654"/>
      <c r="P5" s="654"/>
      <c r="Q5" s="654"/>
      <c r="R5" s="654"/>
      <c r="S5" s="654"/>
      <c r="T5" s="654"/>
      <c r="U5" s="654"/>
      <c r="V5" s="654"/>
      <c r="W5" s="654"/>
      <c r="X5" s="654"/>
      <c r="Y5" s="654"/>
      <c r="Z5" s="654"/>
      <c r="AA5" s="654"/>
      <c r="AB5" s="654"/>
      <c r="AC5" s="654"/>
      <c r="AD5" s="654"/>
      <c r="AE5" s="654"/>
      <c r="AF5" s="654"/>
      <c r="AG5" s="654"/>
      <c r="AH5" s="654"/>
    </row>
    <row r="6" spans="2:34" s="14" customFormat="1" ht="28.5" customHeight="1">
      <c r="B6" s="828" t="s">
        <v>181</v>
      </c>
      <c r="C6" s="831" t="s">
        <v>90</v>
      </c>
      <c r="D6" s="204" t="s">
        <v>182</v>
      </c>
      <c r="E6" s="829" t="s">
        <v>717</v>
      </c>
      <c r="F6" s="204" t="s">
        <v>182</v>
      </c>
      <c r="G6" s="832" t="s">
        <v>184</v>
      </c>
      <c r="H6" s="830" t="s">
        <v>185</v>
      </c>
      <c r="I6" s="832" t="s">
        <v>186</v>
      </c>
      <c r="J6" s="204" t="s">
        <v>182</v>
      </c>
      <c r="K6" s="20"/>
      <c r="L6" s="22"/>
      <c r="M6" s="377"/>
      <c r="N6" s="377"/>
      <c r="O6" s="377"/>
      <c r="P6" s="377"/>
      <c r="Q6" s="377"/>
      <c r="R6" s="377"/>
      <c r="S6" s="377"/>
      <c r="T6" s="377"/>
      <c r="U6" s="377"/>
      <c r="V6" s="377"/>
      <c r="W6" s="377"/>
      <c r="X6" s="377"/>
      <c r="Y6" s="377"/>
      <c r="Z6" s="377"/>
      <c r="AA6" s="377"/>
      <c r="AB6" s="377"/>
      <c r="AC6" s="377"/>
      <c r="AD6" s="377"/>
      <c r="AE6" s="377"/>
      <c r="AF6" s="377"/>
      <c r="AG6" s="377"/>
      <c r="AH6" s="377"/>
    </row>
    <row r="7" spans="2:34" s="14" customFormat="1" ht="12.75">
      <c r="B7" s="828"/>
      <c r="C7" s="830"/>
      <c r="D7" s="205" t="s">
        <v>187</v>
      </c>
      <c r="E7" s="830"/>
      <c r="F7" s="205" t="s">
        <v>187</v>
      </c>
      <c r="G7" s="833"/>
      <c r="H7" s="830"/>
      <c r="I7" s="833"/>
      <c r="J7" s="205" t="s">
        <v>187</v>
      </c>
      <c r="K7" s="20"/>
      <c r="L7" s="20"/>
      <c r="M7" s="377"/>
      <c r="N7" s="377"/>
      <c r="O7" s="377"/>
      <c r="P7" s="377"/>
      <c r="Q7" s="377"/>
      <c r="R7" s="377"/>
      <c r="S7" s="377"/>
      <c r="T7" s="377"/>
      <c r="U7" s="377"/>
      <c r="V7" s="377"/>
      <c r="W7" s="377"/>
      <c r="X7" s="377"/>
      <c r="Y7" s="377"/>
      <c r="Z7" s="377"/>
      <c r="AA7" s="377"/>
      <c r="AB7" s="377"/>
      <c r="AC7" s="377"/>
      <c r="AD7" s="377"/>
      <c r="AE7" s="377"/>
      <c r="AF7" s="377"/>
      <c r="AG7" s="377"/>
      <c r="AH7" s="377"/>
    </row>
    <row r="8" spans="2:34" s="14" customFormat="1" ht="15.75" customHeight="1">
      <c r="B8" s="52">
        <v>2012</v>
      </c>
      <c r="C8" s="64">
        <v>1114411.3</v>
      </c>
      <c r="D8" s="65"/>
      <c r="E8" s="64">
        <v>681390</v>
      </c>
      <c r="F8" s="65"/>
      <c r="G8" s="65"/>
      <c r="H8" s="274" t="s">
        <v>188</v>
      </c>
      <c r="I8" s="66">
        <f>C8+E8+G8</f>
        <v>1795801.3</v>
      </c>
      <c r="J8" s="65"/>
      <c r="K8" s="22"/>
      <c r="L8" s="20"/>
      <c r="M8" s="673"/>
      <c r="N8" s="673"/>
      <c r="O8" s="675"/>
      <c r="P8" s="377"/>
      <c r="Q8" s="377"/>
      <c r="R8" s="377"/>
      <c r="S8" s="377"/>
      <c r="T8" s="377"/>
      <c r="U8" s="377"/>
      <c r="V8" s="377"/>
      <c r="W8" s="377"/>
      <c r="X8" s="377"/>
      <c r="Y8" s="377"/>
      <c r="Z8" s="377"/>
      <c r="AA8" s="377"/>
      <c r="AB8" s="377"/>
      <c r="AC8" s="377"/>
      <c r="AD8" s="377"/>
      <c r="AE8" s="377"/>
      <c r="AF8" s="377"/>
      <c r="AG8" s="377"/>
      <c r="AH8" s="377"/>
    </row>
    <row r="9" spans="2:34" s="14" customFormat="1" ht="15.75" customHeight="1">
      <c r="B9" s="52">
        <v>2013</v>
      </c>
      <c r="C9" s="64">
        <v>1365123.3</v>
      </c>
      <c r="D9" s="687">
        <f>C9/C8-1</f>
        <v>0.22497259315299467</v>
      </c>
      <c r="E9" s="64">
        <v>745918</v>
      </c>
      <c r="F9" s="64">
        <v>109.03407094905208</v>
      </c>
      <c r="G9" s="65"/>
      <c r="H9" s="274" t="s">
        <v>188</v>
      </c>
      <c r="I9" s="66">
        <f t="shared" ref="I9:I16" si="0">C9+E9+G9</f>
        <v>2111041.2999999998</v>
      </c>
      <c r="J9" s="687">
        <f>I9/I8-1</f>
        <v>0.17554280643409692</v>
      </c>
      <c r="K9" s="22"/>
      <c r="L9" s="22"/>
      <c r="M9" s="673"/>
      <c r="N9" s="673"/>
      <c r="O9" s="675"/>
      <c r="P9" s="377"/>
      <c r="Q9" s="377"/>
      <c r="R9" s="377"/>
      <c r="S9" s="377"/>
      <c r="T9" s="377"/>
      <c r="U9" s="377"/>
      <c r="V9" s="377"/>
      <c r="W9" s="377"/>
      <c r="X9" s="377"/>
      <c r="Y9" s="377"/>
      <c r="Z9" s="377"/>
      <c r="AA9" s="377"/>
      <c r="AB9" s="377"/>
      <c r="AC9" s="377"/>
      <c r="AD9" s="377"/>
      <c r="AE9" s="377"/>
      <c r="AF9" s="377"/>
      <c r="AG9" s="377"/>
      <c r="AH9" s="377"/>
    </row>
    <row r="10" spans="2:34" s="14" customFormat="1" ht="15.75" customHeight="1">
      <c r="B10" s="52">
        <v>2014</v>
      </c>
      <c r="C10" s="64">
        <v>1236091.7399999998</v>
      </c>
      <c r="D10" s="688">
        <f t="shared" ref="D10:D18" si="1">C10/C9-1</f>
        <v>-9.4520077417182935E-2</v>
      </c>
      <c r="E10" s="64">
        <v>708601</v>
      </c>
      <c r="F10" s="64">
        <v>83.899436075773252</v>
      </c>
      <c r="G10" s="65"/>
      <c r="H10" s="274" t="s">
        <v>188</v>
      </c>
      <c r="I10" s="66">
        <f t="shared" si="0"/>
        <v>1944692.7399999998</v>
      </c>
      <c r="J10" s="688">
        <f t="shared" ref="J10:J17" si="2">I10/I9-1</f>
        <v>-7.879929208395875E-2</v>
      </c>
      <c r="K10" s="22"/>
      <c r="L10" s="22"/>
      <c r="M10" s="673"/>
      <c r="N10" s="673"/>
      <c r="O10" s="675"/>
      <c r="P10" s="377"/>
      <c r="Q10" s="377"/>
      <c r="R10" s="377"/>
      <c r="S10" s="377"/>
      <c r="T10" s="377"/>
      <c r="U10" s="377"/>
      <c r="V10" s="377"/>
      <c r="W10" s="377"/>
      <c r="X10" s="377"/>
      <c r="Y10" s="377"/>
      <c r="Z10" s="377"/>
      <c r="AA10" s="377"/>
      <c r="AB10" s="377"/>
      <c r="AC10" s="377"/>
      <c r="AD10" s="377"/>
      <c r="AE10" s="377"/>
      <c r="AF10" s="377"/>
      <c r="AG10" s="377"/>
      <c r="AH10" s="377"/>
    </row>
    <row r="11" spans="2:34" s="14" customFormat="1" ht="15.75" customHeight="1">
      <c r="B11" s="52">
        <v>2015</v>
      </c>
      <c r="C11" s="64">
        <v>1333212.5</v>
      </c>
      <c r="D11" s="687">
        <f t="shared" si="1"/>
        <v>7.8570834879942097E-2</v>
      </c>
      <c r="E11" s="64">
        <v>690802</v>
      </c>
      <c r="F11" s="64">
        <v>98.463290800756326</v>
      </c>
      <c r="G11" s="65"/>
      <c r="H11" s="274" t="s">
        <v>188</v>
      </c>
      <c r="I11" s="66">
        <f t="shared" si="0"/>
        <v>2024014.5</v>
      </c>
      <c r="J11" s="687">
        <f t="shared" si="2"/>
        <v>4.0788839474970251E-2</v>
      </c>
      <c r="K11" s="22"/>
      <c r="L11" s="22"/>
      <c r="M11" s="673"/>
      <c r="N11" s="673"/>
      <c r="O11" s="675"/>
      <c r="P11" s="676"/>
      <c r="Q11" s="377"/>
      <c r="R11" s="377"/>
      <c r="S11" s="377"/>
      <c r="T11" s="377"/>
      <c r="U11" s="377"/>
      <c r="V11" s="377"/>
      <c r="W11" s="377"/>
      <c r="X11" s="377"/>
      <c r="Y11" s="377"/>
      <c r="Z11" s="377"/>
      <c r="AA11" s="377"/>
      <c r="AB11" s="377"/>
      <c r="AC11" s="377"/>
      <c r="AD11" s="377"/>
      <c r="AE11" s="377"/>
      <c r="AF11" s="377"/>
      <c r="AG11" s="377"/>
      <c r="AH11" s="377"/>
    </row>
    <row r="12" spans="2:34" s="14" customFormat="1" ht="15.75" customHeight="1">
      <c r="B12" s="52">
        <v>2016</v>
      </c>
      <c r="C12" s="64">
        <v>1531005.6</v>
      </c>
      <c r="D12" s="687">
        <f t="shared" si="1"/>
        <v>0.14835826996821599</v>
      </c>
      <c r="E12" s="64">
        <v>619305</v>
      </c>
      <c r="F12" s="64">
        <v>88.619491674749483</v>
      </c>
      <c r="G12" s="65"/>
      <c r="H12" s="274" t="s">
        <v>188</v>
      </c>
      <c r="I12" s="66">
        <f t="shared" si="0"/>
        <v>2150310.6</v>
      </c>
      <c r="J12" s="687">
        <f t="shared" si="2"/>
        <v>6.2398811866219317E-2</v>
      </c>
      <c r="K12" s="22"/>
      <c r="L12" s="22"/>
      <c r="M12" s="673"/>
      <c r="N12" s="673"/>
      <c r="O12" s="675"/>
      <c r="P12" s="676"/>
      <c r="Q12" s="377"/>
      <c r="R12" s="377"/>
      <c r="S12" s="377"/>
      <c r="T12" s="377"/>
      <c r="U12" s="377"/>
      <c r="V12" s="377"/>
      <c r="W12" s="377"/>
      <c r="X12" s="377"/>
      <c r="Y12" s="377"/>
      <c r="Z12" s="377"/>
      <c r="AA12" s="377"/>
      <c r="AB12" s="377"/>
      <c r="AC12" s="377"/>
      <c r="AD12" s="377"/>
      <c r="AE12" s="377"/>
      <c r="AF12" s="377"/>
      <c r="AG12" s="377"/>
      <c r="AH12" s="377"/>
    </row>
    <row r="13" spans="2:34" s="14" customFormat="1" ht="15.75" customHeight="1">
      <c r="B13" s="52">
        <v>2017</v>
      </c>
      <c r="C13" s="64">
        <v>1221269.1400000001</v>
      </c>
      <c r="D13" s="688">
        <f t="shared" si="1"/>
        <v>-0.20230916203049809</v>
      </c>
      <c r="E13" s="64">
        <v>1004093</v>
      </c>
      <c r="F13" s="64">
        <v>161.91220021228449</v>
      </c>
      <c r="G13" s="65"/>
      <c r="H13" s="274" t="s">
        <v>188</v>
      </c>
      <c r="I13" s="66">
        <f t="shared" si="0"/>
        <v>2225362.14</v>
      </c>
      <c r="J13" s="687">
        <f t="shared" si="2"/>
        <v>3.4902650807748348E-2</v>
      </c>
      <c r="K13" s="22"/>
      <c r="L13" s="22"/>
      <c r="M13" s="673"/>
      <c r="N13" s="673"/>
      <c r="O13" s="675"/>
      <c r="P13" s="676"/>
      <c r="Q13" s="377"/>
      <c r="R13" s="377"/>
      <c r="S13" s="377"/>
      <c r="T13" s="377"/>
      <c r="U13" s="377"/>
      <c r="V13" s="377"/>
      <c r="W13" s="377"/>
      <c r="X13" s="377"/>
      <c r="Y13" s="377"/>
      <c r="Z13" s="377"/>
      <c r="AA13" s="377"/>
      <c r="AB13" s="377"/>
      <c r="AC13" s="377"/>
      <c r="AD13" s="377"/>
      <c r="AE13" s="377"/>
      <c r="AF13" s="377"/>
      <c r="AG13" s="377"/>
      <c r="AH13" s="377"/>
    </row>
    <row r="14" spans="2:34" s="14" customFormat="1" ht="15.75" customHeight="1">
      <c r="B14" s="52">
        <v>2018</v>
      </c>
      <c r="C14" s="64">
        <v>1281339.7</v>
      </c>
      <c r="D14" s="687">
        <f t="shared" si="1"/>
        <v>4.9186995750993834E-2</v>
      </c>
      <c r="E14" s="46">
        <v>1068897</v>
      </c>
      <c r="F14" s="64">
        <f t="shared" ref="F14:F15" si="3">E14/E13*100</f>
        <v>106.45398384412599</v>
      </c>
      <c r="G14" s="64">
        <v>-62244</v>
      </c>
      <c r="H14" s="275" t="s">
        <v>188</v>
      </c>
      <c r="I14" s="66">
        <f t="shared" si="0"/>
        <v>2287992.7000000002</v>
      </c>
      <c r="J14" s="687">
        <f t="shared" si="2"/>
        <v>2.8143985589689224E-2</v>
      </c>
      <c r="K14" s="22"/>
      <c r="L14" s="22"/>
      <c r="M14" s="673"/>
      <c r="N14" s="673"/>
      <c r="O14" s="675"/>
      <c r="P14" s="676"/>
      <c r="Q14" s="377"/>
      <c r="R14" s="377"/>
      <c r="S14" s="377"/>
      <c r="T14" s="377"/>
      <c r="U14" s="377"/>
      <c r="V14" s="377"/>
      <c r="W14" s="377"/>
      <c r="X14" s="377"/>
      <c r="Y14" s="377"/>
      <c r="Z14" s="377"/>
      <c r="AA14" s="377"/>
      <c r="AB14" s="377"/>
      <c r="AC14" s="377"/>
      <c r="AD14" s="377"/>
      <c r="AE14" s="377"/>
      <c r="AF14" s="377"/>
      <c r="AG14" s="377"/>
      <c r="AH14" s="377"/>
    </row>
    <row r="15" spans="2:34" s="14" customFormat="1" ht="15.75" customHeight="1">
      <c r="B15" s="52">
        <v>2019</v>
      </c>
      <c r="C15" s="64">
        <v>1204856.2</v>
      </c>
      <c r="D15" s="688">
        <f t="shared" si="1"/>
        <v>-5.9690260123837602E-2</v>
      </c>
      <c r="E15" s="46">
        <v>1115798</v>
      </c>
      <c r="F15" s="64">
        <f t="shared" si="3"/>
        <v>104.38779414667643</v>
      </c>
      <c r="G15" s="64">
        <v>23046</v>
      </c>
      <c r="H15" s="275" t="s">
        <v>188</v>
      </c>
      <c r="I15" s="66">
        <f t="shared" si="0"/>
        <v>2343700.2000000002</v>
      </c>
      <c r="J15" s="687">
        <f t="shared" si="2"/>
        <v>2.434776124941318E-2</v>
      </c>
      <c r="K15" s="22"/>
      <c r="L15" s="22"/>
      <c r="M15" s="673"/>
      <c r="N15" s="673"/>
      <c r="O15" s="675"/>
      <c r="P15" s="676"/>
      <c r="Q15" s="377"/>
      <c r="R15" s="377"/>
      <c r="S15" s="377"/>
      <c r="T15" s="377"/>
      <c r="U15" s="377"/>
      <c r="V15" s="377"/>
      <c r="W15" s="377"/>
      <c r="X15" s="377"/>
      <c r="Y15" s="377"/>
      <c r="Z15" s="377"/>
      <c r="AA15" s="377"/>
      <c r="AB15" s="377"/>
      <c r="AC15" s="377"/>
      <c r="AD15" s="377"/>
      <c r="AE15" s="377"/>
      <c r="AF15" s="377"/>
      <c r="AG15" s="377"/>
      <c r="AH15" s="377"/>
    </row>
    <row r="16" spans="2:34" s="14" customFormat="1" ht="15.75" customHeight="1">
      <c r="B16" s="52">
        <v>2020</v>
      </c>
      <c r="C16" s="64">
        <v>1086140.1000000001</v>
      </c>
      <c r="D16" s="688">
        <f t="shared" si="1"/>
        <v>-9.8531343408449823E-2</v>
      </c>
      <c r="E16" s="46">
        <v>1136918.7700699999</v>
      </c>
      <c r="F16" s="64">
        <v>99.362655421998042</v>
      </c>
      <c r="G16" s="64">
        <v>-34318</v>
      </c>
      <c r="H16" s="275" t="s">
        <v>188</v>
      </c>
      <c r="I16" s="66">
        <f t="shared" si="0"/>
        <v>2188740.8700700002</v>
      </c>
      <c r="J16" s="688">
        <f t="shared" si="2"/>
        <v>-6.6117385632343262E-2</v>
      </c>
      <c r="K16" s="22"/>
      <c r="L16" s="22"/>
      <c r="M16" s="697"/>
      <c r="N16" s="697"/>
      <c r="O16" s="698"/>
      <c r="P16" s="676"/>
      <c r="Q16" s="377"/>
      <c r="R16" s="377"/>
      <c r="S16" s="377"/>
      <c r="T16" s="377"/>
      <c r="U16" s="377"/>
      <c r="V16" s="377"/>
      <c r="W16" s="377"/>
      <c r="X16" s="377"/>
      <c r="Y16" s="377"/>
      <c r="Z16" s="377"/>
      <c r="AA16" s="377"/>
      <c r="AB16" s="377"/>
      <c r="AC16" s="377"/>
      <c r="AD16" s="377"/>
      <c r="AE16" s="377"/>
      <c r="AF16" s="377"/>
      <c r="AG16" s="377"/>
      <c r="AH16" s="377"/>
    </row>
    <row r="17" spans="1:34" s="14" customFormat="1" ht="15.75" customHeight="1">
      <c r="B17" s="52">
        <v>2021</v>
      </c>
      <c r="C17" s="46">
        <f>'[1]7'!D16*1000</f>
        <v>1203308.9100000001</v>
      </c>
      <c r="D17" s="687">
        <f t="shared" si="1"/>
        <v>0.10787633197595792</v>
      </c>
      <c r="E17" s="376">
        <v>932545</v>
      </c>
      <c r="F17" s="64">
        <f>E17/E16*100</f>
        <v>82.023889881119942</v>
      </c>
      <c r="G17" s="64"/>
      <c r="H17" s="275" t="s">
        <v>188</v>
      </c>
      <c r="I17" s="66">
        <f>C17+E17+G17</f>
        <v>2135853.91</v>
      </c>
      <c r="J17" s="688">
        <f t="shared" si="2"/>
        <v>-2.4163189344706959E-2</v>
      </c>
      <c r="K17" s="22"/>
      <c r="L17" s="22"/>
      <c r="M17" s="697"/>
      <c r="N17" s="697"/>
      <c r="O17" s="377"/>
      <c r="P17" s="377"/>
      <c r="Q17" s="699"/>
      <c r="R17" s="377"/>
      <c r="S17" s="377"/>
      <c r="T17" s="377"/>
      <c r="U17" s="377"/>
      <c r="V17" s="377"/>
      <c r="W17" s="377"/>
      <c r="X17" s="377"/>
      <c r="Y17" s="377"/>
      <c r="Z17" s="377"/>
      <c r="AA17" s="377"/>
      <c r="AB17" s="377"/>
      <c r="AC17" s="377"/>
      <c r="AD17" s="377"/>
      <c r="AE17" s="377"/>
      <c r="AF17" s="377"/>
      <c r="AG17" s="377"/>
      <c r="AH17" s="377"/>
    </row>
    <row r="18" spans="1:34" s="14" customFormat="1" ht="15.75" customHeight="1">
      <c r="B18" s="52" t="s">
        <v>721</v>
      </c>
      <c r="C18" s="684">
        <f>10097426.9228811/10</f>
        <v>1009742.69228811</v>
      </c>
      <c r="D18" s="688">
        <f t="shared" si="1"/>
        <v>-0.1608616175807176</v>
      </c>
      <c r="E18" s="689">
        <v>612225.26500000001</v>
      </c>
      <c r="F18" s="64"/>
      <c r="G18" s="64"/>
      <c r="H18" s="275"/>
      <c r="I18" s="690"/>
      <c r="J18" s="691"/>
      <c r="K18" s="22"/>
      <c r="L18" s="22"/>
      <c r="M18" s="700"/>
      <c r="N18" s="700"/>
      <c r="O18" s="701"/>
      <c r="P18" s="425"/>
      <c r="Q18" s="699"/>
      <c r="R18" s="377"/>
      <c r="S18" s="377"/>
      <c r="T18" s="377"/>
      <c r="U18" s="377"/>
      <c r="V18" s="377"/>
      <c r="W18" s="377"/>
      <c r="X18" s="377"/>
      <c r="Y18" s="377"/>
      <c r="Z18" s="377"/>
      <c r="AA18" s="377"/>
      <c r="AB18" s="377"/>
      <c r="AC18" s="377"/>
      <c r="AD18" s="377"/>
      <c r="AE18" s="377"/>
      <c r="AF18" s="377"/>
      <c r="AG18" s="377"/>
      <c r="AH18" s="377"/>
    </row>
    <row r="19" spans="1:34" s="14" customFormat="1" ht="51.75" customHeight="1">
      <c r="A19" s="22"/>
      <c r="B19" s="834" t="s">
        <v>758</v>
      </c>
      <c r="C19" s="835"/>
      <c r="D19" s="835"/>
      <c r="E19" s="835"/>
      <c r="F19" s="835"/>
      <c r="G19" s="835"/>
      <c r="H19" s="835"/>
      <c r="I19" s="835"/>
      <c r="J19" s="836"/>
      <c r="K19" s="22"/>
      <c r="L19" s="22"/>
      <c r="M19" s="377"/>
      <c r="N19" s="377"/>
      <c r="O19" s="377"/>
      <c r="P19" s="377"/>
      <c r="Q19" s="377"/>
      <c r="R19" s="377"/>
      <c r="S19" s="377"/>
      <c r="T19" s="377"/>
      <c r="U19" s="377"/>
      <c r="V19" s="377"/>
      <c r="W19" s="377"/>
      <c r="X19" s="377"/>
      <c r="Y19" s="377"/>
      <c r="Z19" s="377"/>
      <c r="AA19" s="377"/>
      <c r="AB19" s="377"/>
      <c r="AC19" s="377"/>
      <c r="AD19" s="377"/>
      <c r="AE19" s="377"/>
      <c r="AF19" s="377"/>
      <c r="AG19" s="377"/>
      <c r="AH19" s="377"/>
    </row>
    <row r="20" spans="1:34" ht="15" customHeight="1"/>
    <row r="21" spans="1:34" ht="15.75" customHeight="1"/>
    <row r="22" spans="1:34" ht="15" customHeight="1"/>
    <row r="23" spans="1:34" ht="15" customHeight="1"/>
    <row r="24" spans="1:34" ht="15" customHeight="1"/>
    <row r="25" spans="1:34" ht="15" customHeight="1">
      <c r="O25" s="677"/>
    </row>
    <row r="26" spans="1:34" ht="15" customHeight="1"/>
    <row r="27" spans="1:34" ht="15" customHeight="1">
      <c r="J27" s="10"/>
    </row>
    <row r="28" spans="1:34" ht="15" customHeight="1">
      <c r="J28" s="11"/>
      <c r="O28" s="678"/>
    </row>
    <row r="29" spans="1:34" ht="15" customHeight="1">
      <c r="N29" s="674"/>
      <c r="O29" s="678"/>
    </row>
    <row r="30" spans="1:34" ht="15" customHeight="1">
      <c r="N30" s="674"/>
      <c r="O30" s="678"/>
    </row>
    <row r="31" spans="1:34" ht="15" customHeight="1"/>
    <row r="32" spans="1:34" ht="15" customHeight="1"/>
    <row r="33" spans="12:12" ht="15" customHeight="1"/>
    <row r="34" spans="12:12" ht="18" customHeight="1">
      <c r="L34" s="21"/>
    </row>
    <row r="35" spans="12:12" ht="7.5" customHeight="1"/>
    <row r="36" spans="12:12" ht="7.5" customHeight="1"/>
  </sheetData>
  <customSheetViews>
    <customSheetView guid="{5CDC6F58-B038-4A0E-A13D-C643B013E119}" topLeftCell="A16">
      <selection activeCell="D35" sqref="D35"/>
      <pageMargins left="0" right="0" top="0" bottom="0" header="0" footer="0"/>
      <printOptions horizontalCentered="1"/>
      <pageSetup firstPageNumber="0" orientation="portrait" r:id="rId1"/>
      <headerFooter alignWithMargins="0">
        <oddFooter>&amp;C&amp;10&amp;A</oddFooter>
      </headerFooter>
    </customSheetView>
  </customSheetViews>
  <mergeCells count="11">
    <mergeCell ref="B19:J19"/>
    <mergeCell ref="B4:J4"/>
    <mergeCell ref="B5:J5"/>
    <mergeCell ref="H6:H7"/>
    <mergeCell ref="I6:I7"/>
    <mergeCell ref="B1:J1"/>
    <mergeCell ref="B6:B7"/>
    <mergeCell ref="E6:E7"/>
    <mergeCell ref="C6:C7"/>
    <mergeCell ref="B3:J3"/>
    <mergeCell ref="G6:G7"/>
  </mergeCells>
  <printOptions horizontalCentered="1"/>
  <pageMargins left="0.39370078740157483" right="0.39370078740157483" top="1.299212598425197" bottom="0.78740157480314965" header="0.51181102362204722" footer="0.59055118110236227"/>
  <pageSetup paperSize="126" scale="99" firstPageNumber="0" orientation="portrait" r:id="rId2"/>
  <headerFooter alignWithMargins="0">
    <oddFooter>&amp;C&amp;10 11</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51"/>
  <sheetViews>
    <sheetView topLeftCell="A11" zoomScaleNormal="100" workbookViewId="0">
      <selection activeCell="B21" sqref="B21"/>
    </sheetView>
  </sheetViews>
  <sheetFormatPr baseColWidth="10" defaultColWidth="10.90625" defaultRowHeight="18"/>
  <cols>
    <col min="1" max="1" width="1.36328125" style="1" customWidth="1"/>
    <col min="2" max="2" width="13.90625" customWidth="1"/>
    <col min="3" max="6" width="12.08984375" customWidth="1"/>
    <col min="7" max="16384" width="10.90625" style="1"/>
  </cols>
  <sheetData>
    <row r="1" spans="1:15" s="15" customFormat="1" ht="16.5" customHeight="1">
      <c r="B1" s="767" t="s">
        <v>189</v>
      </c>
      <c r="C1" s="767"/>
      <c r="D1" s="767"/>
      <c r="E1" s="767"/>
      <c r="F1" s="767"/>
    </row>
    <row r="2" spans="1:15" s="15" customFormat="1" ht="11.25" customHeight="1">
      <c r="A2" s="17"/>
      <c r="B2" s="17"/>
      <c r="C2" s="17"/>
      <c r="D2" s="16"/>
      <c r="E2" s="16"/>
      <c r="F2" s="16"/>
    </row>
    <row r="3" spans="1:15" s="15" customFormat="1" ht="15.75" customHeight="1">
      <c r="B3" s="767" t="s">
        <v>190</v>
      </c>
      <c r="C3" s="767"/>
      <c r="D3" s="767"/>
      <c r="E3" s="767"/>
      <c r="F3" s="767"/>
    </row>
    <row r="4" spans="1:15" s="15" customFormat="1" ht="15.75" customHeight="1">
      <c r="B4" s="839" t="s">
        <v>637</v>
      </c>
      <c r="C4" s="839"/>
      <c r="D4" s="839"/>
      <c r="E4" s="839"/>
      <c r="F4" s="839"/>
    </row>
    <row r="5" spans="1:15" s="15" customFormat="1" ht="15.75" customHeight="1">
      <c r="B5" s="839" t="s">
        <v>180</v>
      </c>
      <c r="C5" s="839"/>
      <c r="D5" s="839"/>
      <c r="E5" s="839"/>
      <c r="F5" s="839"/>
      <c r="G5" s="20"/>
    </row>
    <row r="6" spans="1:15" s="14" customFormat="1" ht="15.75" customHeight="1">
      <c r="A6" s="22"/>
      <c r="B6" s="437" t="s">
        <v>191</v>
      </c>
      <c r="C6" s="212">
        <v>2019</v>
      </c>
      <c r="D6" s="212">
        <v>2020</v>
      </c>
      <c r="E6" s="212">
        <v>2021</v>
      </c>
      <c r="F6" s="212">
        <v>2022</v>
      </c>
      <c r="G6" s="20"/>
      <c r="H6" s="95"/>
      <c r="I6" s="95"/>
      <c r="J6" s="22"/>
      <c r="K6" s="68"/>
      <c r="L6" s="22"/>
      <c r="M6" s="22"/>
      <c r="N6" s="22"/>
      <c r="O6" s="22"/>
    </row>
    <row r="7" spans="1:15" s="14" customFormat="1" ht="15.75" customHeight="1">
      <c r="A7" s="22"/>
      <c r="B7" s="24" t="str">
        <f>'13'!B8</f>
        <v>Enero</v>
      </c>
      <c r="C7" s="67">
        <v>110928.26</v>
      </c>
      <c r="D7" s="67">
        <v>96514.718999999997</v>
      </c>
      <c r="E7" s="67">
        <v>63398.959000000003</v>
      </c>
      <c r="F7" s="67">
        <v>90745.256999999998</v>
      </c>
      <c r="G7" s="22"/>
      <c r="H7" s="22"/>
      <c r="I7" s="1"/>
      <c r="J7" s="1"/>
      <c r="K7" s="1"/>
      <c r="L7" s="22"/>
      <c r="M7" s="22"/>
      <c r="N7" s="22"/>
      <c r="O7" s="22"/>
    </row>
    <row r="8" spans="1:15" s="14" customFormat="1" ht="15.75" customHeight="1">
      <c r="A8" s="22"/>
      <c r="B8" s="24" t="s">
        <v>192</v>
      </c>
      <c r="C8" s="67">
        <v>130574.61</v>
      </c>
      <c r="D8" s="67">
        <v>69539.14</v>
      </c>
      <c r="E8" s="67">
        <v>79487.328999999998</v>
      </c>
      <c r="F8" s="67">
        <v>88361.55</v>
      </c>
      <c r="G8" s="22"/>
      <c r="H8" s="22"/>
      <c r="I8" s="11"/>
      <c r="J8" s="1"/>
      <c r="K8" s="1"/>
      <c r="L8" s="22"/>
      <c r="M8" s="22"/>
      <c r="N8" s="22"/>
      <c r="O8" s="22"/>
    </row>
    <row r="9" spans="1:15" s="14" customFormat="1" ht="15.75" customHeight="1">
      <c r="A9" s="22"/>
      <c r="B9" s="24" t="str">
        <f>'13'!B10</f>
        <v>Marzo</v>
      </c>
      <c r="C9" s="67">
        <v>58957.94</v>
      </c>
      <c r="D9" s="67">
        <v>119307.88800000001</v>
      </c>
      <c r="E9" s="67">
        <v>53003.621999999996</v>
      </c>
      <c r="F9" s="67">
        <v>71525.05</v>
      </c>
      <c r="G9" s="22"/>
      <c r="H9" s="22"/>
      <c r="I9" s="1"/>
      <c r="J9" s="1"/>
      <c r="K9" s="1"/>
      <c r="L9" s="22"/>
      <c r="M9" s="22"/>
      <c r="N9" s="22"/>
      <c r="O9" s="22"/>
    </row>
    <row r="10" spans="1:15" s="14" customFormat="1" ht="15.75" customHeight="1">
      <c r="A10" s="22"/>
      <c r="B10" s="24" t="str">
        <f>'13'!B11</f>
        <v>Abril</v>
      </c>
      <c r="C10" s="67">
        <v>117091.58500000001</v>
      </c>
      <c r="D10" s="67">
        <v>124223.18</v>
      </c>
      <c r="E10" s="67">
        <v>94189.157999999996</v>
      </c>
      <c r="F10" s="67">
        <v>121250.43000000001</v>
      </c>
      <c r="G10" s="22"/>
      <c r="H10" s="22"/>
      <c r="I10" s="1"/>
      <c r="J10" s="1"/>
      <c r="K10" s="1"/>
      <c r="L10" s="22"/>
      <c r="M10" s="22"/>
      <c r="N10" s="22"/>
      <c r="O10" s="22"/>
    </row>
    <row r="11" spans="1:15" s="14" customFormat="1" ht="15.75" customHeight="1">
      <c r="A11" s="22"/>
      <c r="B11" s="24" t="str">
        <f>'13'!B12</f>
        <v>Mayo</v>
      </c>
      <c r="C11" s="67">
        <v>90954.182000000001</v>
      </c>
      <c r="D11" s="67">
        <v>62552.36</v>
      </c>
      <c r="E11" s="67">
        <v>82688.937090000007</v>
      </c>
      <c r="F11" s="67">
        <v>98007.858000000007</v>
      </c>
      <c r="G11" s="95"/>
      <c r="H11" s="22"/>
      <c r="I11" s="1"/>
      <c r="J11" s="1"/>
      <c r="K11" s="1"/>
      <c r="L11" s="22"/>
      <c r="M11" s="22"/>
      <c r="N11" s="22"/>
      <c r="O11" s="22"/>
    </row>
    <row r="12" spans="1:15" s="14" customFormat="1" ht="15.75" customHeight="1">
      <c r="A12" s="22"/>
      <c r="B12" s="24" t="str">
        <f>'13'!B13</f>
        <v>Junio</v>
      </c>
      <c r="C12" s="67">
        <v>47586.582000000002</v>
      </c>
      <c r="D12" s="67">
        <v>13641.522000000001</v>
      </c>
      <c r="E12" s="67">
        <v>45958.144</v>
      </c>
      <c r="F12" s="67">
        <v>87959.180000000008</v>
      </c>
      <c r="G12" s="22"/>
      <c r="H12" s="22"/>
      <c r="I12" s="1"/>
      <c r="J12" s="1"/>
      <c r="K12" s="1"/>
      <c r="L12" s="22"/>
      <c r="M12" s="22"/>
      <c r="N12" s="22"/>
      <c r="O12" s="22"/>
    </row>
    <row r="13" spans="1:15" s="14" customFormat="1" ht="15.75" customHeight="1">
      <c r="A13" s="22"/>
      <c r="B13" s="24" t="str">
        <f>'13'!B14</f>
        <v>Julio</v>
      </c>
      <c r="C13" s="67">
        <v>112338.01</v>
      </c>
      <c r="D13" s="67">
        <v>123117.16</v>
      </c>
      <c r="E13" s="67">
        <v>99473.799999999988</v>
      </c>
      <c r="F13" s="67">
        <v>56062.34</v>
      </c>
      <c r="G13" s="22"/>
      <c r="H13" s="1"/>
      <c r="I13" s="1"/>
      <c r="J13" s="1"/>
      <c r="K13" s="1"/>
      <c r="L13" s="22"/>
      <c r="M13" s="22"/>
      <c r="N13" s="22"/>
      <c r="O13" s="22"/>
    </row>
    <row r="14" spans="1:15" s="14" customFormat="1" ht="15.75" customHeight="1">
      <c r="A14" s="22"/>
      <c r="B14" s="24" t="str">
        <f>'13'!B15</f>
        <v>Agosto</v>
      </c>
      <c r="C14" s="67">
        <v>92228.86</v>
      </c>
      <c r="D14" s="67">
        <v>92572.023770000014</v>
      </c>
      <c r="E14" s="67">
        <v>113069.762</v>
      </c>
      <c r="F14" s="67"/>
      <c r="G14" s="248"/>
      <c r="H14" s="1"/>
      <c r="I14" s="1"/>
      <c r="J14" s="1"/>
      <c r="K14" s="1"/>
      <c r="L14" s="22"/>
      <c r="M14" s="22"/>
      <c r="N14" s="22"/>
      <c r="O14" s="22"/>
    </row>
    <row r="15" spans="1:15" s="14" customFormat="1" ht="15.75" customHeight="1">
      <c r="A15" s="22"/>
      <c r="B15" s="24" t="str">
        <f>'13'!B16</f>
        <v>Septiembre</v>
      </c>
      <c r="C15" s="67">
        <v>139531.95000000001</v>
      </c>
      <c r="D15" s="67">
        <v>98529.35</v>
      </c>
      <c r="E15" s="67">
        <v>52095.76</v>
      </c>
      <c r="F15" s="67"/>
      <c r="G15" s="119"/>
      <c r="H15" s="1"/>
      <c r="I15" s="1"/>
      <c r="J15" s="1"/>
      <c r="K15" s="1"/>
      <c r="L15" s="22"/>
      <c r="M15" s="22"/>
      <c r="N15" s="22"/>
      <c r="O15" s="22"/>
    </row>
    <row r="16" spans="1:15" s="14" customFormat="1" ht="15.75" customHeight="1">
      <c r="A16" s="22"/>
      <c r="B16" s="24" t="str">
        <f>'13'!B17</f>
        <v>Octubre</v>
      </c>
      <c r="C16" s="67">
        <v>45828.93</v>
      </c>
      <c r="D16" s="67">
        <v>155516.505</v>
      </c>
      <c r="E16" s="67">
        <v>46526.400000000001</v>
      </c>
      <c r="F16" s="67"/>
      <c r="G16" s="15"/>
      <c r="H16" s="1"/>
      <c r="I16" s="1"/>
      <c r="J16" s="1"/>
      <c r="K16" s="1"/>
      <c r="L16" s="22"/>
      <c r="M16" s="22"/>
      <c r="N16" s="22"/>
      <c r="O16" s="22"/>
    </row>
    <row r="17" spans="1:15" s="14" customFormat="1" ht="15.75" customHeight="1">
      <c r="A17" s="22"/>
      <c r="B17" s="24" t="s">
        <v>193</v>
      </c>
      <c r="C17" s="67">
        <v>84061.69</v>
      </c>
      <c r="D17" s="67">
        <v>85724.653000000006</v>
      </c>
      <c r="E17" s="67">
        <v>93586.786000000007</v>
      </c>
      <c r="F17" s="67"/>
      <c r="G17" s="22"/>
      <c r="H17" s="1"/>
      <c r="I17" s="1"/>
      <c r="J17" s="1"/>
      <c r="K17" s="96"/>
      <c r="L17" s="22"/>
      <c r="M17" s="22"/>
      <c r="N17" s="22"/>
      <c r="O17" s="22"/>
    </row>
    <row r="18" spans="1:15" s="14" customFormat="1" ht="15.75" customHeight="1">
      <c r="A18" s="22"/>
      <c r="B18" s="24" t="s">
        <v>194</v>
      </c>
      <c r="C18" s="67">
        <v>85715.07</v>
      </c>
      <c r="D18" s="67">
        <v>95680.2693</v>
      </c>
      <c r="E18" s="67">
        <v>118216.40100000001</v>
      </c>
      <c r="F18" s="67"/>
      <c r="G18" s="119"/>
      <c r="H18" s="1"/>
      <c r="I18" s="1"/>
      <c r="J18" s="1"/>
      <c r="K18" s="22"/>
      <c r="L18" s="22"/>
      <c r="M18" s="22"/>
      <c r="N18" s="22"/>
      <c r="O18" s="22"/>
    </row>
    <row r="19" spans="1:15" s="14" customFormat="1" ht="15.75" customHeight="1">
      <c r="A19" s="22"/>
      <c r="B19" s="24" t="s">
        <v>195</v>
      </c>
      <c r="C19" s="67">
        <f t="shared" ref="C19:D19" si="0">SUM(C7:C18)</f>
        <v>1115797.6690000002</v>
      </c>
      <c r="D19" s="67">
        <f t="shared" si="0"/>
        <v>1136918.7700699999</v>
      </c>
      <c r="E19" s="67">
        <f>SUM(E7:E18)</f>
        <v>941695.05808999995</v>
      </c>
      <c r="F19" s="67">
        <f>SUM(F7:F18)</f>
        <v>613911.66500000004</v>
      </c>
      <c r="G19" s="94"/>
      <c r="H19" s="95"/>
      <c r="I19" s="95"/>
      <c r="J19" s="95"/>
      <c r="K19" s="22"/>
      <c r="L19" s="22"/>
      <c r="M19" s="22"/>
      <c r="N19" s="22"/>
      <c r="O19" s="22"/>
    </row>
    <row r="20" spans="1:15" ht="53.25" customHeight="1">
      <c r="B20" s="792" t="s">
        <v>742</v>
      </c>
      <c r="C20" s="792"/>
      <c r="D20" s="792"/>
      <c r="E20" s="792"/>
      <c r="F20" s="792"/>
    </row>
    <row r="21" spans="1:15" ht="12">
      <c r="B21" s="6"/>
      <c r="C21" s="6"/>
      <c r="D21" s="6"/>
      <c r="E21" s="6"/>
      <c r="F21" s="6"/>
    </row>
    <row r="22" spans="1:15" ht="42" customHeight="1">
      <c r="B22" s="1"/>
      <c r="C22" s="1"/>
      <c r="D22" s="1"/>
      <c r="E22" s="1"/>
      <c r="F22" s="1"/>
    </row>
    <row r="23" spans="1:15" ht="12">
      <c r="B23" s="1"/>
      <c r="C23" s="1"/>
      <c r="D23" s="1"/>
      <c r="E23" s="1"/>
      <c r="F23" s="1"/>
    </row>
    <row r="24" spans="1:15" ht="12">
      <c r="B24" s="1"/>
      <c r="C24" s="1"/>
      <c r="D24" s="1"/>
      <c r="E24" s="1"/>
      <c r="F24" s="1"/>
    </row>
    <row r="25" spans="1:15" ht="12">
      <c r="B25" s="1"/>
      <c r="C25" s="1"/>
      <c r="D25" s="1"/>
      <c r="E25" s="1"/>
      <c r="F25" s="1"/>
    </row>
    <row r="26" spans="1:15" ht="12">
      <c r="B26" s="1"/>
      <c r="C26" s="1"/>
      <c r="D26" s="1"/>
      <c r="E26" s="1"/>
      <c r="F26" s="1"/>
    </row>
    <row r="27" spans="1:15" ht="12">
      <c r="B27" s="1"/>
      <c r="C27" s="1"/>
      <c r="D27" s="1"/>
      <c r="E27" s="1"/>
      <c r="F27" s="1"/>
    </row>
    <row r="28" spans="1:15" ht="12">
      <c r="B28" s="1"/>
      <c r="C28" s="1"/>
      <c r="D28" s="1"/>
      <c r="E28" s="1"/>
      <c r="F28" s="1"/>
    </row>
    <row r="29" spans="1:15" ht="12">
      <c r="B29" s="1"/>
      <c r="C29" s="1"/>
      <c r="D29" s="1"/>
      <c r="E29" s="1"/>
      <c r="F29" s="1"/>
    </row>
    <row r="30" spans="1:15" ht="12">
      <c r="B30" s="1"/>
      <c r="C30" s="1"/>
      <c r="D30" s="1"/>
      <c r="E30" s="1"/>
      <c r="F30" s="1"/>
    </row>
    <row r="31" spans="1:15" ht="12">
      <c r="B31" s="1"/>
      <c r="C31" s="1"/>
      <c r="D31" s="1"/>
      <c r="E31" s="1"/>
      <c r="F31" s="1"/>
    </row>
    <row r="32" spans="1:15" ht="12">
      <c r="B32" s="1"/>
      <c r="C32" s="1"/>
      <c r="D32" s="1"/>
      <c r="E32" s="1"/>
      <c r="F32" s="1"/>
    </row>
    <row r="33" spans="2:6" ht="12">
      <c r="B33" s="1"/>
      <c r="C33" s="1"/>
      <c r="D33" s="1"/>
      <c r="E33" s="1"/>
      <c r="F33" s="1"/>
    </row>
    <row r="34" spans="2:6" ht="12">
      <c r="B34" s="1"/>
      <c r="C34" s="1"/>
      <c r="D34" s="1"/>
      <c r="E34" s="1"/>
      <c r="F34" s="1"/>
    </row>
    <row r="35" spans="2:6" ht="12">
      <c r="B35" s="1"/>
      <c r="C35" s="1"/>
      <c r="D35" s="1"/>
      <c r="E35" s="1"/>
      <c r="F35" s="1"/>
    </row>
    <row r="36" spans="2:6" ht="22.7" customHeight="1">
      <c r="B36" s="1"/>
      <c r="C36" s="1"/>
      <c r="D36" s="1"/>
      <c r="E36" s="1"/>
      <c r="F36" s="1"/>
    </row>
    <row r="37" spans="2:6" ht="12">
      <c r="B37" s="1"/>
      <c r="C37" s="1"/>
      <c r="D37" s="1"/>
      <c r="E37" s="1"/>
      <c r="F37" s="1"/>
    </row>
    <row r="38" spans="2:6" ht="18" customHeight="1">
      <c r="B38" s="90"/>
      <c r="C38" s="1"/>
      <c r="D38" s="1"/>
      <c r="E38" s="1"/>
      <c r="F38" s="1"/>
    </row>
    <row r="50" spans="8:12">
      <c r="H50"/>
      <c r="I50"/>
      <c r="J50"/>
      <c r="K50"/>
      <c r="L50"/>
    </row>
    <row r="51" spans="8:12">
      <c r="H51"/>
      <c r="I51"/>
      <c r="J51"/>
      <c r="K51"/>
      <c r="L51"/>
    </row>
  </sheetData>
  <customSheetViews>
    <customSheetView guid="{5CDC6F58-B038-4A0E-A13D-C643B013E119}" scale="98" topLeftCell="A18">
      <selection activeCell="E38" sqref="E38"/>
      <pageMargins left="0" right="0" top="0" bottom="0" header="0" footer="0"/>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paperSize="126" scale="90" firstPageNumber="0" orientation="portrait" r:id="rId2"/>
  <headerFooter alignWithMargins="0">
    <oddFooter>&amp;C&amp;10&amp;A</oddFooter>
  </headerFooter>
  <ignoredErrors>
    <ignoredError sqref="C19: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41"/>
  <sheetViews>
    <sheetView topLeftCell="A12" zoomScale="90" zoomScaleNormal="90" workbookViewId="0">
      <selection activeCell="N20" sqref="N20"/>
    </sheetView>
  </sheetViews>
  <sheetFormatPr baseColWidth="10" defaultColWidth="10.90625" defaultRowHeight="12"/>
  <cols>
    <col min="1" max="1" width="1.6328125" style="1" customWidth="1"/>
    <col min="2" max="2" width="8.26953125" style="1" customWidth="1"/>
    <col min="3" max="10" width="6.36328125" style="1" customWidth="1"/>
    <col min="11" max="11" width="4.7265625" style="1" customWidth="1"/>
    <col min="12" max="12" width="1.453125" style="1" customWidth="1"/>
    <col min="13" max="13" width="5.26953125" style="373" customWidth="1"/>
    <col min="14" max="17" width="10.90625" style="373"/>
    <col min="18" max="18" width="4.7265625" style="373" customWidth="1"/>
    <col min="19" max="20" width="10.90625" style="373"/>
    <col min="21" max="16384" width="10.90625" style="1"/>
  </cols>
  <sheetData>
    <row r="1" spans="2:20" s="15" customFormat="1" ht="12.75">
      <c r="B1" s="767" t="s">
        <v>196</v>
      </c>
      <c r="C1" s="767"/>
      <c r="D1" s="767"/>
      <c r="E1" s="767"/>
      <c r="F1" s="767"/>
      <c r="G1" s="767"/>
      <c r="H1" s="767"/>
      <c r="I1" s="767"/>
      <c r="J1" s="767"/>
      <c r="K1" s="767"/>
      <c r="M1" s="308" t="s">
        <v>197</v>
      </c>
      <c r="N1" s="308" t="str">
        <f>C6</f>
        <v>Argentina</v>
      </c>
      <c r="O1" s="308" t="str">
        <f>E6</f>
        <v>Canadá</v>
      </c>
      <c r="P1" s="308" t="str">
        <f>G6</f>
        <v>EE.UU.</v>
      </c>
      <c r="Q1" s="308" t="s">
        <v>197</v>
      </c>
      <c r="R1" s="308"/>
      <c r="S1" s="308"/>
      <c r="T1" s="308"/>
    </row>
    <row r="2" spans="2:20" s="15" customFormat="1" ht="18">
      <c r="B2" s="17"/>
      <c r="C2" s="17"/>
      <c r="D2" s="17"/>
      <c r="E2" s="17"/>
      <c r="F2" s="17"/>
      <c r="G2" s="17"/>
      <c r="H2" s="17"/>
      <c r="I2" s="23"/>
      <c r="J2" s="23"/>
      <c r="K2" s="11"/>
      <c r="M2" s="440" t="e">
        <f>1-#REF!-#REF!-#REF!</f>
        <v>#REF!</v>
      </c>
      <c r="N2" s="594">
        <f>+D21</f>
        <v>0.5379130670146387</v>
      </c>
      <c r="O2" s="594">
        <f>+F21</f>
        <v>0.20783840895556641</v>
      </c>
      <c r="P2" s="594">
        <f>+H21</f>
        <v>5.7757711126148963E-2</v>
      </c>
      <c r="Q2" s="440">
        <f>1-N2-O2-P2</f>
        <v>0.19649081290364595</v>
      </c>
      <c r="R2" s="308"/>
      <c r="S2" s="308"/>
      <c r="T2" s="308"/>
    </row>
    <row r="3" spans="2:20" s="15" customFormat="1" ht="12.75">
      <c r="B3" s="767" t="s">
        <v>38</v>
      </c>
      <c r="C3" s="767"/>
      <c r="D3" s="767"/>
      <c r="E3" s="767"/>
      <c r="F3" s="767"/>
      <c r="G3" s="767"/>
      <c r="H3" s="767"/>
      <c r="I3" s="767"/>
      <c r="J3" s="767"/>
      <c r="K3" s="767"/>
      <c r="M3" s="308"/>
      <c r="N3" s="308"/>
      <c r="O3" s="308"/>
      <c r="P3" s="308"/>
      <c r="Q3" s="308"/>
      <c r="R3" s="308"/>
      <c r="S3" s="308"/>
      <c r="T3" s="308"/>
    </row>
    <row r="4" spans="2:20" s="15" customFormat="1" ht="12.75">
      <c r="B4" s="839" t="s">
        <v>636</v>
      </c>
      <c r="C4" s="839"/>
      <c r="D4" s="839"/>
      <c r="E4" s="839"/>
      <c r="F4" s="839"/>
      <c r="G4" s="839"/>
      <c r="H4" s="839"/>
      <c r="I4" s="839"/>
      <c r="J4" s="839"/>
      <c r="K4" s="839"/>
      <c r="M4" s="308"/>
      <c r="N4" s="308"/>
      <c r="O4" s="308"/>
      <c r="P4" s="308"/>
      <c r="Q4" s="308"/>
      <c r="R4" s="308"/>
      <c r="S4" s="308"/>
      <c r="T4" s="308"/>
    </row>
    <row r="5" spans="2:20" s="15" customFormat="1" ht="12.75">
      <c r="B5" s="841" t="s">
        <v>180</v>
      </c>
      <c r="C5" s="841"/>
      <c r="D5" s="841"/>
      <c r="E5" s="841"/>
      <c r="F5" s="841"/>
      <c r="G5" s="841"/>
      <c r="H5" s="841"/>
      <c r="I5" s="841"/>
      <c r="J5" s="841"/>
      <c r="K5" s="841"/>
      <c r="M5" s="308"/>
      <c r="N5" s="308"/>
      <c r="O5" s="308"/>
      <c r="P5" s="308"/>
      <c r="Q5" s="308"/>
      <c r="R5" s="308"/>
      <c r="S5" s="308"/>
      <c r="T5" s="308"/>
    </row>
    <row r="6" spans="2:20" s="14" customFormat="1" ht="24" customHeight="1">
      <c r="B6" s="520" t="s">
        <v>198</v>
      </c>
      <c r="C6" s="833" t="s">
        <v>112</v>
      </c>
      <c r="D6" s="833"/>
      <c r="E6" s="833" t="s">
        <v>114</v>
      </c>
      <c r="F6" s="833"/>
      <c r="G6" s="833" t="s">
        <v>119</v>
      </c>
      <c r="H6" s="833"/>
      <c r="I6" s="842" t="s">
        <v>195</v>
      </c>
      <c r="J6" s="842"/>
      <c r="K6" s="842"/>
      <c r="L6" s="22"/>
      <c r="M6" s="300"/>
      <c r="N6" s="300"/>
      <c r="O6" s="300"/>
      <c r="P6" s="465"/>
      <c r="Q6" s="300"/>
      <c r="R6" s="300"/>
      <c r="S6" s="300"/>
      <c r="T6" s="300"/>
    </row>
    <row r="7" spans="2:20" s="14" customFormat="1" ht="17.25" customHeight="1">
      <c r="B7" s="215"/>
      <c r="C7" s="128">
        <v>2021</v>
      </c>
      <c r="D7" s="128">
        <v>2022</v>
      </c>
      <c r="E7" s="128">
        <v>2021</v>
      </c>
      <c r="F7" s="128">
        <v>2022</v>
      </c>
      <c r="G7" s="128">
        <v>2021</v>
      </c>
      <c r="H7" s="128">
        <v>2022</v>
      </c>
      <c r="I7" s="128">
        <v>2021</v>
      </c>
      <c r="J7" s="128">
        <v>2022</v>
      </c>
      <c r="K7" s="128" t="s">
        <v>199</v>
      </c>
      <c r="L7" s="22"/>
      <c r="M7" s="300"/>
      <c r="N7" s="300"/>
      <c r="O7" s="300"/>
      <c r="P7" s="300"/>
      <c r="Q7" s="300"/>
      <c r="R7" s="300"/>
      <c r="S7" s="300"/>
      <c r="T7" s="300"/>
    </row>
    <row r="8" spans="2:20" s="14" customFormat="1" ht="15.75" customHeight="1">
      <c r="B8" s="24" t="s">
        <v>200</v>
      </c>
      <c r="C8" s="379">
        <v>37232.027000000002</v>
      </c>
      <c r="D8" s="46">
        <v>61185.43</v>
      </c>
      <c r="E8" s="46">
        <v>2631.4520000000002</v>
      </c>
      <c r="F8" s="46">
        <v>23831.526999999998</v>
      </c>
      <c r="G8" s="46">
        <v>23525.08</v>
      </c>
      <c r="H8" s="46">
        <v>2000</v>
      </c>
      <c r="I8" s="46">
        <v>63398.959000000003</v>
      </c>
      <c r="J8" s="46">
        <v>90326.956999999995</v>
      </c>
      <c r="K8" s="387">
        <f t="shared" ref="K8:K13" si="0">+J8/I8*100-100</f>
        <v>42.473880367657131</v>
      </c>
      <c r="L8" s="22"/>
      <c r="M8" s="300"/>
      <c r="N8" s="300"/>
      <c r="O8" s="300"/>
      <c r="P8" s="300"/>
      <c r="Q8" s="300"/>
      <c r="R8" s="300"/>
      <c r="S8" s="300"/>
      <c r="T8" s="300"/>
    </row>
    <row r="9" spans="2:20" s="14" customFormat="1" ht="15.75" customHeight="1">
      <c r="B9" s="24" t="s">
        <v>201</v>
      </c>
      <c r="C9" s="295">
        <v>57265.148999999998</v>
      </c>
      <c r="D9" s="46">
        <v>59551.519999999997</v>
      </c>
      <c r="E9" s="46">
        <v>17126.95</v>
      </c>
      <c r="F9" s="46">
        <v>7132.22</v>
      </c>
      <c r="G9" s="46">
        <v>5086.2299999999996</v>
      </c>
      <c r="H9" s="46">
        <v>1977.28</v>
      </c>
      <c r="I9" s="46">
        <v>79487.328999999998</v>
      </c>
      <c r="J9" s="46">
        <v>88013.97</v>
      </c>
      <c r="K9" s="387">
        <f t="shared" si="0"/>
        <v>10.727044306646661</v>
      </c>
      <c r="L9" s="22"/>
      <c r="M9" s="300"/>
      <c r="N9" s="300"/>
      <c r="O9" s="300"/>
      <c r="P9" s="300"/>
      <c r="Q9" s="300"/>
      <c r="R9" s="300"/>
      <c r="S9" s="300"/>
      <c r="T9" s="300"/>
    </row>
    <row r="10" spans="2:20" s="14" customFormat="1" ht="15.75" customHeight="1">
      <c r="B10" s="24" t="s">
        <v>202</v>
      </c>
      <c r="C10" s="295">
        <v>16324.164000000001</v>
      </c>
      <c r="D10" s="46">
        <v>57536.7</v>
      </c>
      <c r="E10" s="46">
        <v>25599.43</v>
      </c>
      <c r="F10" s="46">
        <v>8658</v>
      </c>
      <c r="G10" s="46">
        <v>11080</v>
      </c>
      <c r="H10" s="46">
        <v>0</v>
      </c>
      <c r="I10" s="46">
        <v>53003.593999999997</v>
      </c>
      <c r="J10" s="46">
        <v>71084.13</v>
      </c>
      <c r="K10" s="387">
        <f t="shared" si="0"/>
        <v>34.111905694545953</v>
      </c>
      <c r="L10" s="22"/>
      <c r="M10" s="300"/>
      <c r="N10" s="300"/>
      <c r="O10" s="300"/>
      <c r="P10" s="300"/>
      <c r="Q10" s="300"/>
      <c r="R10" s="300"/>
      <c r="S10" s="300"/>
      <c r="T10" s="300"/>
    </row>
    <row r="11" spans="2:20" s="14" customFormat="1" ht="15" customHeight="1">
      <c r="B11" s="24" t="s">
        <v>203</v>
      </c>
      <c r="C11" s="295">
        <v>54964.597999999998</v>
      </c>
      <c r="D11" s="46">
        <v>21053.7</v>
      </c>
      <c r="E11" s="46">
        <v>77.58</v>
      </c>
      <c r="F11" s="46">
        <v>42344.078000000001</v>
      </c>
      <c r="G11" s="46">
        <v>39118.519999999997</v>
      </c>
      <c r="H11" s="46">
        <v>25324.34</v>
      </c>
      <c r="I11" s="46">
        <v>94189.157999999996</v>
      </c>
      <c r="J11" s="46">
        <v>121222.83</v>
      </c>
      <c r="K11" s="387">
        <f t="shared" si="0"/>
        <v>28.701469016210979</v>
      </c>
      <c r="L11" s="22"/>
      <c r="M11" s="300"/>
      <c r="N11" s="300"/>
      <c r="O11" s="300"/>
      <c r="P11" s="300"/>
      <c r="Q11" s="300"/>
      <c r="R11" s="300"/>
      <c r="S11" s="300"/>
      <c r="T11" s="300"/>
    </row>
    <row r="12" spans="2:20" s="14" customFormat="1" ht="15.75" customHeight="1">
      <c r="B12" s="24" t="s">
        <v>204</v>
      </c>
      <c r="C12" s="295">
        <v>13293.19</v>
      </c>
      <c r="D12" s="46">
        <v>88104.51</v>
      </c>
      <c r="E12" s="46">
        <v>64748.275999999998</v>
      </c>
      <c r="F12" s="46">
        <v>3391.55</v>
      </c>
      <c r="G12" s="46">
        <v>4490.1499999999996</v>
      </c>
      <c r="H12" s="46">
        <v>2563.61</v>
      </c>
      <c r="I12" s="46">
        <v>82688.937090000007</v>
      </c>
      <c r="J12" s="46">
        <v>97703.228000000003</v>
      </c>
      <c r="K12" s="387">
        <f t="shared" si="0"/>
        <v>18.157557030462485</v>
      </c>
      <c r="L12" s="22"/>
      <c r="M12" s="300"/>
      <c r="N12" s="300" t="s">
        <v>663</v>
      </c>
      <c r="O12" s="300"/>
      <c r="P12" s="300"/>
      <c r="Q12" s="300"/>
      <c r="R12" s="300"/>
      <c r="S12" s="300"/>
      <c r="T12" s="300"/>
    </row>
    <row r="13" spans="2:20" s="14" customFormat="1" ht="15.75" customHeight="1">
      <c r="B13" s="24" t="s">
        <v>205</v>
      </c>
      <c r="C13" s="295">
        <v>34097.440000000002</v>
      </c>
      <c r="D13" s="46">
        <v>41892.11</v>
      </c>
      <c r="E13" s="46">
        <v>4147.6779999999999</v>
      </c>
      <c r="F13" s="46">
        <v>41886.550000000003</v>
      </c>
      <c r="G13" s="46">
        <v>7357.7</v>
      </c>
      <c r="H13" s="46">
        <v>3495.5</v>
      </c>
      <c r="I13" s="46">
        <v>45814.447999999997</v>
      </c>
      <c r="J13" s="46">
        <v>87814.66</v>
      </c>
      <c r="K13" s="387">
        <f t="shared" si="0"/>
        <v>91.67460011741278</v>
      </c>
      <c r="L13" s="22"/>
      <c r="M13" s="11"/>
      <c r="N13" s="300"/>
      <c r="O13" s="300"/>
      <c r="P13" s="300"/>
      <c r="Q13" s="300"/>
      <c r="R13" s="300"/>
      <c r="S13" s="300"/>
      <c r="T13" s="300"/>
    </row>
    <row r="14" spans="2:20" s="14" customFormat="1" ht="15.75" customHeight="1">
      <c r="B14" s="24" t="s">
        <v>206</v>
      </c>
      <c r="C14" s="295">
        <v>41315.53</v>
      </c>
      <c r="D14" s="46"/>
      <c r="E14" s="46">
        <v>54073.7</v>
      </c>
      <c r="F14" s="46"/>
      <c r="G14" s="46">
        <v>0</v>
      </c>
      <c r="H14" s="46"/>
      <c r="I14" s="46">
        <v>95415.9</v>
      </c>
      <c r="J14" s="46">
        <v>56059.49</v>
      </c>
      <c r="K14" s="387"/>
      <c r="L14" s="22"/>
      <c r="M14" s="300"/>
      <c r="N14" s="373"/>
      <c r="O14" s="373"/>
      <c r="P14" s="373"/>
      <c r="Q14" s="300"/>
      <c r="R14" s="300"/>
      <c r="S14" s="300"/>
      <c r="T14" s="300"/>
    </row>
    <row r="15" spans="2:20" s="14" customFormat="1" ht="15.75" customHeight="1">
      <c r="B15" s="348" t="s">
        <v>207</v>
      </c>
      <c r="C15" s="295">
        <v>57138.36</v>
      </c>
      <c r="D15" s="46"/>
      <c r="E15" s="46">
        <v>38475.89</v>
      </c>
      <c r="F15" s="46"/>
      <c r="G15" s="46">
        <v>14398.512000000001</v>
      </c>
      <c r="H15" s="46"/>
      <c r="I15" s="46">
        <v>110012.762</v>
      </c>
      <c r="J15" s="46"/>
      <c r="K15" s="387"/>
      <c r="L15" s="22"/>
      <c r="M15" s="300"/>
      <c r="N15" s="373"/>
      <c r="O15" s="373"/>
      <c r="P15" s="373"/>
      <c r="Q15" s="300"/>
      <c r="R15" s="300"/>
      <c r="S15" s="300"/>
      <c r="T15" s="300"/>
    </row>
    <row r="16" spans="2:20" s="14" customFormat="1" ht="15.75" customHeight="1">
      <c r="B16" s="24" t="s">
        <v>208</v>
      </c>
      <c r="C16" s="295">
        <v>26449.01</v>
      </c>
      <c r="D16" s="46"/>
      <c r="E16" s="46">
        <v>7106.93</v>
      </c>
      <c r="F16" s="46"/>
      <c r="G16" s="46">
        <v>17617.29</v>
      </c>
      <c r="H16" s="46"/>
      <c r="I16" s="46">
        <v>51173.23</v>
      </c>
      <c r="J16" s="46"/>
      <c r="K16" s="387"/>
      <c r="L16" s="22"/>
      <c r="M16" s="300"/>
      <c r="N16" s="373"/>
      <c r="O16" s="373"/>
      <c r="P16" s="373"/>
      <c r="Q16" s="300"/>
      <c r="R16" s="300"/>
      <c r="S16" s="300"/>
      <c r="T16" s="300"/>
    </row>
    <row r="17" spans="1:20" s="14" customFormat="1" ht="15.75" customHeight="1">
      <c r="A17" s="22"/>
      <c r="B17" s="24" t="s">
        <v>209</v>
      </c>
      <c r="C17" s="46">
        <v>42511.15</v>
      </c>
      <c r="D17" s="46"/>
      <c r="E17" s="46">
        <v>35.18</v>
      </c>
      <c r="F17" s="46"/>
      <c r="G17" s="46">
        <v>3428.31</v>
      </c>
      <c r="H17" s="46"/>
      <c r="I17" s="46">
        <v>45974.64</v>
      </c>
      <c r="J17" s="46"/>
      <c r="K17" s="387"/>
      <c r="L17" s="22"/>
      <c r="M17" s="300"/>
      <c r="N17" s="377"/>
      <c r="O17" s="300"/>
      <c r="P17" s="300"/>
      <c r="Q17" s="300"/>
      <c r="R17" s="300"/>
      <c r="S17" s="300"/>
      <c r="T17" s="300"/>
    </row>
    <row r="18" spans="1:20" s="14" customFormat="1" ht="15.75" customHeight="1">
      <c r="A18" s="22"/>
      <c r="B18" s="24" t="s">
        <v>193</v>
      </c>
      <c r="C18" s="295">
        <v>36100.633999999998</v>
      </c>
      <c r="D18" s="46"/>
      <c r="E18" s="46">
        <v>38241.881999999998</v>
      </c>
      <c r="F18" s="46"/>
      <c r="G18" s="46">
        <v>17755.03</v>
      </c>
      <c r="H18" s="46"/>
      <c r="I18" s="46">
        <v>93437.046000000002</v>
      </c>
      <c r="J18" s="46"/>
      <c r="K18" s="387"/>
      <c r="L18" s="22"/>
      <c r="M18" s="300"/>
      <c r="N18" s="377"/>
      <c r="O18" s="300"/>
      <c r="P18" s="300"/>
      <c r="Q18" s="300"/>
      <c r="R18" s="300"/>
      <c r="S18" s="300"/>
      <c r="T18" s="300"/>
    </row>
    <row r="19" spans="1:20" s="14" customFormat="1" ht="15.75" customHeight="1">
      <c r="A19" s="22"/>
      <c r="B19" s="24" t="s">
        <v>210</v>
      </c>
      <c r="C19" s="295">
        <v>43609.3</v>
      </c>
      <c r="D19" s="46"/>
      <c r="E19" s="46">
        <v>73586.600999999995</v>
      </c>
      <c r="F19" s="46"/>
      <c r="G19" s="46">
        <v>154.54</v>
      </c>
      <c r="H19" s="46"/>
      <c r="I19" s="46">
        <v>117948.94100000001</v>
      </c>
      <c r="J19" s="46"/>
      <c r="K19" s="387"/>
      <c r="L19" s="22"/>
      <c r="M19" s="300"/>
      <c r="N19" s="377"/>
      <c r="O19" s="300"/>
      <c r="P19" s="300"/>
      <c r="Q19" s="300"/>
      <c r="R19" s="300"/>
      <c r="S19" s="300"/>
      <c r="T19" s="300"/>
    </row>
    <row r="20" spans="1:20" s="14" customFormat="1" ht="15.75" customHeight="1">
      <c r="A20" s="22"/>
      <c r="B20" s="24" t="s">
        <v>195</v>
      </c>
      <c r="C20" s="295">
        <f>SUM(C8:C19)</f>
        <v>460300.55200000008</v>
      </c>
      <c r="D20" s="295">
        <f t="shared" ref="D20:I20" si="1">SUM(D8:D19)</f>
        <v>329323.96999999997</v>
      </c>
      <c r="E20" s="295">
        <f t="shared" si="1"/>
        <v>325851.549</v>
      </c>
      <c r="F20" s="295">
        <f t="shared" si="1"/>
        <v>127243.92500000002</v>
      </c>
      <c r="G20" s="295">
        <f t="shared" si="1"/>
        <v>144011.36199999999</v>
      </c>
      <c r="H20" s="295">
        <f t="shared" si="1"/>
        <v>35360.729999999996</v>
      </c>
      <c r="I20" s="295">
        <f t="shared" si="1"/>
        <v>932544.94408999989</v>
      </c>
      <c r="J20" s="295">
        <f>SUM(J8:J19)</f>
        <v>612225.26500000001</v>
      </c>
      <c r="K20" s="387"/>
      <c r="L20" s="22"/>
      <c r="M20" s="11"/>
      <c r="N20" s="377"/>
      <c r="O20" s="300"/>
      <c r="P20" s="300"/>
      <c r="Q20" s="300"/>
      <c r="R20" s="300"/>
      <c r="S20" s="300"/>
      <c r="T20" s="300"/>
    </row>
    <row r="21" spans="1:20" s="14" customFormat="1" ht="15.75" customHeight="1">
      <c r="A21" s="22"/>
      <c r="B21" s="57" t="s">
        <v>211</v>
      </c>
      <c r="C21" s="521">
        <f>C20/I20</f>
        <v>0.49359610484958727</v>
      </c>
      <c r="D21" s="521">
        <f>+D20/$J$20</f>
        <v>0.5379130670146387</v>
      </c>
      <c r="E21" s="521">
        <f>+E20/$I$20</f>
        <v>0.34942181721651377</v>
      </c>
      <c r="F21" s="521">
        <f>+F20/$J$20</f>
        <v>0.20783840895556641</v>
      </c>
      <c r="G21" s="521">
        <f>+G20/$I$20</f>
        <v>0.15442833389711827</v>
      </c>
      <c r="H21" s="521">
        <f>+H20/$J$20</f>
        <v>5.7757711126148963E-2</v>
      </c>
      <c r="I21" s="521">
        <f>+I20/$I$20</f>
        <v>1</v>
      </c>
      <c r="J21" s="521">
        <f>+J20/$J$20</f>
        <v>1</v>
      </c>
      <c r="K21" s="77"/>
      <c r="L21" s="22"/>
      <c r="M21" s="300"/>
      <c r="N21" s="11"/>
      <c r="O21" s="300"/>
      <c r="P21" s="300"/>
      <c r="Q21" s="300"/>
      <c r="R21" s="300"/>
      <c r="S21" s="300"/>
      <c r="T21" s="300"/>
    </row>
    <row r="22" spans="1:20" s="14" customFormat="1" ht="57.75" customHeight="1">
      <c r="A22" s="22"/>
      <c r="B22" s="843" t="s">
        <v>722</v>
      </c>
      <c r="C22" s="844"/>
      <c r="D22" s="844"/>
      <c r="E22" s="844"/>
      <c r="F22" s="844"/>
      <c r="G22" s="844"/>
      <c r="H22" s="844"/>
      <c r="I22" s="844"/>
      <c r="J22" s="844"/>
      <c r="K22" s="845"/>
      <c r="L22" s="22"/>
      <c r="M22" s="391"/>
      <c r="N22" s="624"/>
      <c r="O22" s="391"/>
      <c r="P22" s="391"/>
      <c r="Q22" s="300"/>
      <c r="R22" s="300"/>
      <c r="S22" s="300"/>
      <c r="T22" s="300"/>
    </row>
    <row r="23" spans="1:20" s="14" customFormat="1" ht="8.25" customHeight="1">
      <c r="A23" s="22"/>
      <c r="B23" s="29"/>
      <c r="C23" s="29"/>
      <c r="D23" s="29"/>
      <c r="E23" s="29"/>
      <c r="F23" s="29"/>
      <c r="G23" s="29"/>
      <c r="H23" s="29"/>
      <c r="I23" s="490"/>
      <c r="J23" s="491"/>
      <c r="K23" s="29"/>
      <c r="L23" s="22"/>
      <c r="M23" s="391"/>
      <c r="N23" s="624"/>
      <c r="O23" s="391"/>
      <c r="P23" s="391"/>
      <c r="Q23" s="300"/>
      <c r="R23" s="300"/>
      <c r="S23" s="300"/>
      <c r="T23" s="300"/>
    </row>
    <row r="24" spans="1:20" s="14" customFormat="1" ht="15.75" customHeight="1">
      <c r="A24" s="22"/>
      <c r="B24" s="840"/>
      <c r="C24" s="840"/>
      <c r="D24" s="840"/>
      <c r="E24" s="840"/>
      <c r="F24" s="840"/>
      <c r="G24" s="840"/>
      <c r="H24" s="840"/>
      <c r="I24" s="840"/>
      <c r="J24" s="840"/>
      <c r="K24" s="840"/>
      <c r="L24" s="22"/>
      <c r="M24" s="391"/>
      <c r="N24" s="624"/>
      <c r="O24" s="391"/>
      <c r="P24" s="391"/>
      <c r="Q24" s="300"/>
      <c r="R24" s="300"/>
      <c r="S24" s="300"/>
      <c r="T24" s="300"/>
    </row>
    <row r="25" spans="1:20" s="14" customFormat="1" ht="15.75" customHeight="1">
      <c r="A25" s="22"/>
      <c r="B25" s="1"/>
      <c r="C25" s="22"/>
      <c r="D25" s="22"/>
      <c r="E25" s="22"/>
      <c r="F25" s="22"/>
      <c r="G25" s="22"/>
      <c r="H25" s="22"/>
      <c r="I25" s="22"/>
      <c r="J25" s="22"/>
      <c r="K25" s="22"/>
      <c r="L25" s="22"/>
      <c r="M25" s="391"/>
      <c r="N25" s="391"/>
      <c r="O25" s="391"/>
      <c r="P25" s="391"/>
      <c r="Q25" s="300"/>
      <c r="R25" s="300"/>
      <c r="S25" s="300"/>
      <c r="T25" s="300"/>
    </row>
    <row r="26" spans="1:20" ht="17.25" customHeight="1">
      <c r="B26" s="59"/>
      <c r="C26" s="59"/>
      <c r="D26" s="59"/>
      <c r="E26" s="59"/>
      <c r="F26" s="59"/>
      <c r="G26" s="59"/>
      <c r="H26" s="59"/>
      <c r="I26" s="59"/>
      <c r="J26" s="59"/>
      <c r="K26" s="59"/>
      <c r="L26" s="90"/>
      <c r="M26" s="391"/>
      <c r="N26" s="391"/>
      <c r="O26" s="391"/>
      <c r="P26" s="391"/>
    </row>
    <row r="27" spans="1:20" ht="15" customHeight="1">
      <c r="B27" s="2"/>
      <c r="C27" s="2"/>
      <c r="D27" s="2"/>
      <c r="E27" s="2"/>
      <c r="F27" s="2"/>
      <c r="G27" s="2"/>
      <c r="H27" s="2"/>
      <c r="I27" s="2"/>
      <c r="J27" s="2"/>
      <c r="K27" s="2"/>
      <c r="M27" s="391"/>
      <c r="N27" s="391"/>
      <c r="O27" s="391"/>
      <c r="P27" s="391"/>
    </row>
    <row r="28" spans="1:20" ht="15" customHeight="1">
      <c r="M28" s="391"/>
      <c r="N28" s="391"/>
      <c r="O28" s="391"/>
      <c r="P28" s="391"/>
    </row>
    <row r="29" spans="1:20" ht="15" customHeight="1">
      <c r="M29" s="391"/>
      <c r="N29" s="391"/>
      <c r="O29" s="391"/>
      <c r="P29" s="391"/>
    </row>
    <row r="30" spans="1:20" ht="15" customHeight="1">
      <c r="M30" s="391"/>
      <c r="N30" s="391"/>
      <c r="O30" s="391"/>
      <c r="P30" s="391"/>
    </row>
    <row r="31" spans="1:20" ht="15" customHeight="1">
      <c r="M31" s="391"/>
      <c r="N31" s="391"/>
      <c r="O31" s="391"/>
      <c r="P31" s="391"/>
    </row>
    <row r="32" spans="1:20" ht="15" customHeight="1"/>
    <row r="33" spans="18:18" ht="15" customHeight="1"/>
    <row r="34" spans="18:18" ht="15" customHeight="1"/>
    <row r="35" spans="18:18" ht="15" customHeight="1"/>
    <row r="36" spans="18:18" ht="15" customHeight="1"/>
    <row r="37" spans="18:18" ht="15" customHeight="1"/>
    <row r="38" spans="18:18" ht="15" customHeight="1">
      <c r="R38" s="595"/>
    </row>
    <row r="39" spans="18:18" ht="15" customHeight="1"/>
    <row r="40" spans="18:18" ht="15" customHeight="1"/>
    <row r="41" spans="18:18" ht="15" customHeight="1"/>
  </sheetData>
  <customSheetViews>
    <customSheetView guid="{5CDC6F58-B038-4A0E-A13D-C643B013E119}" hiddenColumns="1" topLeftCell="A31">
      <selection activeCell="A43" sqref="A43:J43"/>
      <pageMargins left="0" right="0" top="0" bottom="0" header="0" footer="0"/>
      <printOptions horizontalCentered="1"/>
      <pageSetup scale="95" firstPageNumber="0" orientation="portrait" r:id="rId1"/>
      <headerFooter alignWithMargins="0">
        <oddFooter>&amp;C&amp;10&amp;A</oddFooter>
      </headerFooter>
    </customSheetView>
  </customSheetViews>
  <mergeCells count="10">
    <mergeCell ref="B24:K24"/>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paperSize="126" scale="97" firstPageNumber="0" orientation="portrait" r:id="rId2"/>
  <headerFooter alignWithMargins="0">
    <oddFooter>&amp;C&amp;10&amp;A</oddFooter>
  </headerFooter>
  <ignoredErrors>
    <ignoredError sqref="C20:J20" formulaRange="1"/>
    <ignoredError sqref="I21" formula="1" formulaRange="1"/>
    <ignoredError sqref="E21:H21" formula="1"/>
    <ignoredError sqref="M2" evalError="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X38"/>
  <sheetViews>
    <sheetView topLeftCell="A10" zoomScaleNormal="100" workbookViewId="0">
      <selection activeCell="M31" sqref="M31"/>
    </sheetView>
  </sheetViews>
  <sheetFormatPr baseColWidth="10" defaultColWidth="10.90625" defaultRowHeight="12.75"/>
  <cols>
    <col min="1" max="1" width="2.26953125" style="1" customWidth="1"/>
    <col min="2" max="2" width="9.81640625" style="1" customWidth="1"/>
    <col min="3" max="8" width="5.453125" style="1" customWidth="1"/>
    <col min="9" max="9" width="6.7265625" style="1" customWidth="1"/>
    <col min="10" max="10" width="6.08984375" style="1" bestFit="1" customWidth="1"/>
    <col min="11" max="11" width="5.453125" style="1" customWidth="1"/>
    <col min="12" max="12" width="1.453125" style="1" customWidth="1"/>
    <col min="13" max="13" width="7.6328125" style="670" customWidth="1"/>
    <col min="14" max="14" width="8.36328125" style="480" bestFit="1" customWidth="1"/>
    <col min="15" max="15" width="7.1796875" style="480" bestFit="1" customWidth="1"/>
    <col min="16" max="16" width="5.26953125" style="480" customWidth="1"/>
    <col min="17" max="17" width="10.90625" style="480"/>
    <col min="18" max="18" width="10.90625" style="1"/>
    <col min="19" max="22" width="10.90625" style="22"/>
    <col min="23" max="23" width="10.90625" style="1"/>
    <col min="24" max="24" width="4.7265625" style="1" customWidth="1"/>
    <col min="25" max="16384" width="10.90625" style="1"/>
  </cols>
  <sheetData>
    <row r="1" spans="2:23" s="15" customFormat="1">
      <c r="B1" s="767" t="s">
        <v>212</v>
      </c>
      <c r="C1" s="767"/>
      <c r="D1" s="767"/>
      <c r="E1" s="767"/>
      <c r="F1" s="767"/>
      <c r="G1" s="767"/>
      <c r="H1" s="767"/>
      <c r="I1" s="767"/>
      <c r="J1" s="767"/>
      <c r="K1" s="767"/>
      <c r="M1" s="663"/>
      <c r="N1" s="469" t="str">
        <f>E6</f>
        <v>Intermedio</v>
      </c>
      <c r="O1" s="469" t="str">
        <f>G6</f>
        <v>Fuerte</v>
      </c>
      <c r="P1" s="469" t="s">
        <v>197</v>
      </c>
      <c r="Q1" s="469"/>
    </row>
    <row r="2" spans="2:23" s="15" customFormat="1">
      <c r="B2" s="17"/>
      <c r="C2" s="17"/>
      <c r="D2" s="17"/>
      <c r="E2" s="17"/>
      <c r="F2" s="17"/>
      <c r="G2" s="17"/>
      <c r="H2" s="17"/>
      <c r="M2" s="664"/>
      <c r="N2" s="470">
        <f>F21</f>
        <v>0.42588992958335359</v>
      </c>
      <c r="O2" s="470">
        <f>H21</f>
        <v>0.1961031614727628</v>
      </c>
      <c r="P2" s="470">
        <f>1-M2-N2-O2</f>
        <v>0.37800690894388361</v>
      </c>
      <c r="Q2" s="469"/>
    </row>
    <row r="3" spans="2:23" s="15" customFormat="1">
      <c r="B3" s="767" t="s">
        <v>40</v>
      </c>
      <c r="C3" s="767"/>
      <c r="D3" s="767"/>
      <c r="E3" s="767"/>
      <c r="F3" s="767"/>
      <c r="G3" s="767"/>
      <c r="H3" s="767"/>
      <c r="I3" s="767"/>
      <c r="J3" s="767"/>
      <c r="K3" s="767"/>
      <c r="M3" s="663"/>
      <c r="N3" s="469"/>
      <c r="O3" s="469"/>
      <c r="P3" s="469"/>
      <c r="Q3" s="469"/>
    </row>
    <row r="4" spans="2:23" s="15" customFormat="1">
      <c r="B4" s="839" t="s">
        <v>636</v>
      </c>
      <c r="C4" s="839"/>
      <c r="D4" s="839"/>
      <c r="E4" s="839"/>
      <c r="F4" s="839"/>
      <c r="G4" s="839"/>
      <c r="H4" s="839"/>
      <c r="I4" s="839"/>
      <c r="J4" s="839"/>
      <c r="K4" s="839"/>
      <c r="M4" s="663"/>
      <c r="N4" s="469"/>
      <c r="O4" s="469"/>
      <c r="P4" s="469"/>
      <c r="Q4" s="469"/>
    </row>
    <row r="5" spans="2:23" s="15" customFormat="1">
      <c r="B5" s="853" t="s">
        <v>180</v>
      </c>
      <c r="C5" s="853"/>
      <c r="D5" s="853"/>
      <c r="E5" s="853"/>
      <c r="F5" s="853"/>
      <c r="G5" s="853"/>
      <c r="H5" s="853"/>
      <c r="I5" s="853"/>
      <c r="J5" s="853"/>
      <c r="K5" s="853"/>
      <c r="M5" s="665"/>
      <c r="N5" s="469"/>
      <c r="O5" s="469"/>
      <c r="P5" s="469"/>
      <c r="Q5" s="469"/>
    </row>
    <row r="6" spans="2:23" s="22" customFormat="1" ht="24" customHeight="1">
      <c r="B6" s="854" t="s">
        <v>198</v>
      </c>
      <c r="C6" s="830" t="s">
        <v>213</v>
      </c>
      <c r="D6" s="830"/>
      <c r="E6" s="830" t="s">
        <v>175</v>
      </c>
      <c r="F6" s="830"/>
      <c r="G6" s="830" t="s">
        <v>214</v>
      </c>
      <c r="H6" s="830"/>
      <c r="I6" s="793" t="s">
        <v>195</v>
      </c>
      <c r="J6" s="793"/>
      <c r="K6" s="793"/>
      <c r="M6" s="665"/>
      <c r="N6" s="471"/>
      <c r="O6" s="471"/>
      <c r="P6" s="471"/>
      <c r="Q6" s="471"/>
    </row>
    <row r="7" spans="2:23" s="22" customFormat="1" ht="18">
      <c r="B7" s="854"/>
      <c r="C7" s="128">
        <v>2021</v>
      </c>
      <c r="D7" s="128">
        <v>2022</v>
      </c>
      <c r="E7" s="128">
        <v>2021</v>
      </c>
      <c r="F7" s="128">
        <v>2022</v>
      </c>
      <c r="G7" s="128">
        <v>2021</v>
      </c>
      <c r="H7" s="128">
        <v>2022</v>
      </c>
      <c r="I7" s="128">
        <v>2021</v>
      </c>
      <c r="J7" s="128">
        <v>2022</v>
      </c>
      <c r="K7" s="212" t="s">
        <v>199</v>
      </c>
      <c r="M7" s="665"/>
      <c r="N7" s="472"/>
      <c r="O7" s="471"/>
      <c r="P7" s="471"/>
      <c r="Q7" s="471"/>
    </row>
    <row r="8" spans="2:23" s="22" customFormat="1" ht="15.75" customHeight="1">
      <c r="B8" s="24" t="s">
        <v>200</v>
      </c>
      <c r="C8" s="645">
        <v>23355.56</v>
      </c>
      <c r="D8" s="645">
        <v>3310</v>
      </c>
      <c r="E8" s="645">
        <v>27135.919999999998</v>
      </c>
      <c r="F8" s="645">
        <v>64657.165000000001</v>
      </c>
      <c r="G8" s="645">
        <v>11675.478999999999</v>
      </c>
      <c r="H8" s="645">
        <v>22220.472000000002</v>
      </c>
      <c r="I8" s="645">
        <v>63398.958999999995</v>
      </c>
      <c r="J8" s="645">
        <v>90326.957000000024</v>
      </c>
      <c r="K8" s="295">
        <f t="shared" ref="K8:K9" si="0">J8/I8*100-100</f>
        <v>42.473880367657188</v>
      </c>
      <c r="M8" s="666"/>
      <c r="N8" s="473"/>
      <c r="O8" s="473"/>
      <c r="P8" s="471"/>
      <c r="Q8" s="471"/>
      <c r="T8" s="466"/>
      <c r="U8" s="95"/>
      <c r="V8" s="95"/>
      <c r="W8" s="95"/>
    </row>
    <row r="9" spans="2:23" s="22" customFormat="1" ht="15.75" customHeight="1">
      <c r="B9" s="24" t="s">
        <v>201</v>
      </c>
      <c r="C9" s="645">
        <v>9652.17</v>
      </c>
      <c r="D9" s="645">
        <v>41091.839999999997</v>
      </c>
      <c r="E9" s="645">
        <v>40035.879999999997</v>
      </c>
      <c r="F9" s="645">
        <v>39426.449999999997</v>
      </c>
      <c r="G9" s="645">
        <v>28791.278999999999</v>
      </c>
      <c r="H9" s="645">
        <v>7215.68</v>
      </c>
      <c r="I9" s="645">
        <v>79487.328999999998</v>
      </c>
      <c r="J9" s="645">
        <v>88013.97</v>
      </c>
      <c r="K9" s="295">
        <f t="shared" si="0"/>
        <v>10.727044306646661</v>
      </c>
      <c r="M9" s="666"/>
      <c r="N9" s="474" t="s">
        <v>175</v>
      </c>
      <c r="O9" s="474" t="s">
        <v>214</v>
      </c>
      <c r="P9" s="474" t="s">
        <v>197</v>
      </c>
      <c r="Q9" s="471"/>
      <c r="T9" s="466"/>
      <c r="U9" s="95"/>
      <c r="V9" s="95"/>
      <c r="W9" s="95"/>
    </row>
    <row r="10" spans="2:23" s="22" customFormat="1" ht="15.75" customHeight="1">
      <c r="B10" s="24" t="s">
        <v>202</v>
      </c>
      <c r="C10" s="645">
        <v>8970</v>
      </c>
      <c r="D10" s="645">
        <v>48619.93</v>
      </c>
      <c r="E10" s="645">
        <v>21938.27</v>
      </c>
      <c r="F10" s="645">
        <v>18602.2</v>
      </c>
      <c r="G10" s="645">
        <v>21087.324000000001</v>
      </c>
      <c r="H10" s="645">
        <v>2708</v>
      </c>
      <c r="I10" s="645">
        <v>53003.593999999997</v>
      </c>
      <c r="J10" s="645">
        <v>71084.13</v>
      </c>
      <c r="K10" s="295">
        <f>J10/I10*100-100</f>
        <v>34.111905694545953</v>
      </c>
      <c r="M10" s="667" t="s">
        <v>663</v>
      </c>
      <c r="N10" s="475">
        <f>F21</f>
        <v>0.42588992958335359</v>
      </c>
      <c r="O10" s="475">
        <f>H21</f>
        <v>0.1961031614727628</v>
      </c>
      <c r="P10" s="476">
        <f>1-(SUM(M10:O10))</f>
        <v>0.37800690894388356</v>
      </c>
      <c r="Q10" s="471"/>
      <c r="T10" s="466"/>
      <c r="U10" s="95"/>
      <c r="V10" s="95"/>
      <c r="W10" s="95"/>
    </row>
    <row r="11" spans="2:23" s="22" customFormat="1" ht="15.75" customHeight="1">
      <c r="B11" s="24" t="s">
        <v>203</v>
      </c>
      <c r="C11" s="645">
        <v>50475.07</v>
      </c>
      <c r="D11" s="645">
        <v>23088.23</v>
      </c>
      <c r="E11" s="645">
        <v>37006.730000000003</v>
      </c>
      <c r="F11" s="645">
        <v>53532.472000000002</v>
      </c>
      <c r="G11" s="645">
        <v>5951.3580000000002</v>
      </c>
      <c r="H11" s="645">
        <v>32907.578000000001</v>
      </c>
      <c r="I11" s="645">
        <v>94189.157999999996</v>
      </c>
      <c r="J11" s="645">
        <v>121222.83</v>
      </c>
      <c r="K11" s="295">
        <f>J11/I11*100-100</f>
        <v>28.701469016210979</v>
      </c>
      <c r="M11" s="666"/>
      <c r="N11" s="472"/>
      <c r="O11" s="471"/>
      <c r="P11" s="471"/>
      <c r="Q11" s="471"/>
      <c r="T11" s="466"/>
      <c r="U11" s="95"/>
      <c r="V11" s="95"/>
      <c r="W11" s="95"/>
    </row>
    <row r="12" spans="2:23" s="22" customFormat="1" ht="15.75" customHeight="1">
      <c r="B12" s="24" t="s">
        <v>204</v>
      </c>
      <c r="C12" s="645">
        <v>5410.4610899999998</v>
      </c>
      <c r="D12" s="645">
        <v>73810.03</v>
      </c>
      <c r="E12" s="645">
        <v>31537.294000000002</v>
      </c>
      <c r="F12" s="645">
        <v>19838.608</v>
      </c>
      <c r="G12" s="645">
        <v>43489.182000000001</v>
      </c>
      <c r="H12" s="645">
        <v>1262.55</v>
      </c>
      <c r="I12" s="645">
        <v>82688.937089999992</v>
      </c>
      <c r="J12" s="645">
        <v>97703.228000000003</v>
      </c>
      <c r="K12" s="295">
        <f>J12/I12*100-100</f>
        <v>18.157557030462513</v>
      </c>
      <c r="M12" s="672"/>
      <c r="N12" s="472"/>
      <c r="O12" s="471"/>
      <c r="P12" s="471"/>
      <c r="Q12" s="471"/>
      <c r="T12" s="466"/>
      <c r="U12" s="95"/>
      <c r="V12" s="95"/>
      <c r="W12" s="95"/>
    </row>
    <row r="13" spans="2:23" s="22" customFormat="1" ht="15.75" customHeight="1">
      <c r="B13" s="24" t="s">
        <v>205</v>
      </c>
      <c r="C13" s="645">
        <v>35867.25</v>
      </c>
      <c r="D13" s="645">
        <v>13439.52</v>
      </c>
      <c r="E13" s="645">
        <v>7321.07</v>
      </c>
      <c r="F13" s="645">
        <v>28713.09</v>
      </c>
      <c r="G13" s="645">
        <v>2579.078</v>
      </c>
      <c r="H13" s="645">
        <v>41886.550000000003</v>
      </c>
      <c r="I13" s="645">
        <v>45814.448000000004</v>
      </c>
      <c r="J13" s="645">
        <v>87814.66</v>
      </c>
      <c r="K13" s="295">
        <f>J13/I13*100-100</f>
        <v>91.674600117412723</v>
      </c>
      <c r="M13" s="425"/>
      <c r="N13" s="702"/>
      <c r="O13" s="702"/>
      <c r="P13" s="702"/>
      <c r="Q13" s="702"/>
      <c r="T13" s="466"/>
      <c r="U13" s="95"/>
      <c r="V13" s="95"/>
      <c r="W13" s="95"/>
    </row>
    <row r="14" spans="2:23" s="22" customFormat="1" ht="15.75" customHeight="1">
      <c r="B14" s="24" t="s">
        <v>206</v>
      </c>
      <c r="C14" s="645">
        <v>17879.82</v>
      </c>
      <c r="D14" s="645">
        <v>3666.42</v>
      </c>
      <c r="E14" s="645">
        <v>32090.080000000002</v>
      </c>
      <c r="F14" s="645">
        <v>35970.589999999997</v>
      </c>
      <c r="G14" s="645">
        <v>45362</v>
      </c>
      <c r="H14" s="645">
        <v>11858.48</v>
      </c>
      <c r="I14" s="645">
        <v>95415.9</v>
      </c>
      <c r="J14" s="645">
        <v>56059.489999999991</v>
      </c>
      <c r="K14" s="295">
        <f>J14/I14*100-100</f>
        <v>-41.247223995162244</v>
      </c>
      <c r="M14" s="666"/>
      <c r="N14" s="472"/>
      <c r="O14" s="471"/>
      <c r="P14" s="471"/>
      <c r="Q14" s="471"/>
      <c r="T14" s="466"/>
      <c r="U14" s="95"/>
      <c r="V14" s="95"/>
      <c r="W14" s="95"/>
    </row>
    <row r="15" spans="2:23" s="22" customFormat="1" ht="15.75" customHeight="1">
      <c r="B15" s="348" t="s">
        <v>207</v>
      </c>
      <c r="C15" s="645">
        <v>28102.959999999999</v>
      </c>
      <c r="D15" s="645">
        <v>0</v>
      </c>
      <c r="E15" s="645">
        <v>39953.269999999997</v>
      </c>
      <c r="F15" s="645">
        <v>0</v>
      </c>
      <c r="G15" s="645">
        <v>27026.02</v>
      </c>
      <c r="H15" s="645">
        <v>0</v>
      </c>
      <c r="I15" s="645">
        <v>110012.762</v>
      </c>
      <c r="J15" s="645">
        <v>0</v>
      </c>
      <c r="K15" s="295"/>
      <c r="M15" s="666"/>
      <c r="N15" s="472"/>
      <c r="O15" s="471"/>
      <c r="P15" s="471"/>
      <c r="Q15" s="471"/>
      <c r="T15" s="466"/>
      <c r="U15" s="95"/>
      <c r="V15" s="95"/>
      <c r="W15" s="95"/>
    </row>
    <row r="16" spans="2:23" s="22" customFormat="1" ht="15.75" customHeight="1">
      <c r="B16" s="24" t="s">
        <v>208</v>
      </c>
      <c r="C16" s="645">
        <v>10072.530000000001</v>
      </c>
      <c r="D16" s="645">
        <v>0</v>
      </c>
      <c r="E16" s="645">
        <v>31013.35</v>
      </c>
      <c r="F16" s="645">
        <v>0</v>
      </c>
      <c r="G16" s="645">
        <v>9472.69</v>
      </c>
      <c r="H16" s="645">
        <v>0</v>
      </c>
      <c r="I16" s="645">
        <v>51173.23</v>
      </c>
      <c r="J16" s="645">
        <v>0</v>
      </c>
      <c r="K16" s="295"/>
      <c r="M16" s="666"/>
      <c r="N16" s="472"/>
      <c r="O16" s="471"/>
      <c r="P16" s="471"/>
      <c r="Q16" s="471"/>
      <c r="T16" s="466"/>
      <c r="U16" s="95"/>
      <c r="V16" s="95"/>
      <c r="W16" s="95"/>
    </row>
    <row r="17" spans="2:23" s="22" customFormat="1" ht="15.75" customHeight="1">
      <c r="B17" s="24" t="s">
        <v>209</v>
      </c>
      <c r="C17" s="645">
        <v>17876.93</v>
      </c>
      <c r="D17" s="645">
        <v>0</v>
      </c>
      <c r="E17" s="645">
        <v>27869.42</v>
      </c>
      <c r="F17" s="645">
        <v>0</v>
      </c>
      <c r="G17" s="645">
        <v>0</v>
      </c>
      <c r="H17" s="645">
        <v>0</v>
      </c>
      <c r="I17" s="645">
        <v>45974.64</v>
      </c>
      <c r="J17" s="645">
        <v>0</v>
      </c>
      <c r="K17" s="295"/>
      <c r="M17" s="666"/>
      <c r="N17" s="477"/>
      <c r="O17" s="478"/>
      <c r="P17" s="479"/>
      <c r="Q17" s="479"/>
      <c r="T17" s="466"/>
      <c r="U17" s="95"/>
      <c r="V17" s="95"/>
      <c r="W17" s="95"/>
    </row>
    <row r="18" spans="2:23" s="22" customFormat="1" ht="15.75" customHeight="1">
      <c r="B18" s="24" t="s">
        <v>193</v>
      </c>
      <c r="C18" s="645">
        <v>10700.72</v>
      </c>
      <c r="D18" s="645">
        <v>0</v>
      </c>
      <c r="E18" s="645">
        <v>46923.824000000001</v>
      </c>
      <c r="F18" s="645">
        <v>0</v>
      </c>
      <c r="G18" s="645">
        <v>27441.882000000001</v>
      </c>
      <c r="H18" s="645">
        <v>0</v>
      </c>
      <c r="I18" s="645">
        <v>93437.046000000002</v>
      </c>
      <c r="J18" s="645">
        <v>0</v>
      </c>
      <c r="K18" s="295"/>
      <c r="M18" s="668"/>
      <c r="N18" s="479"/>
      <c r="O18" s="479"/>
      <c r="P18" s="479"/>
      <c r="Q18" s="479"/>
      <c r="T18" s="466"/>
      <c r="U18" s="95"/>
      <c r="V18" s="95"/>
      <c r="W18" s="95"/>
    </row>
    <row r="19" spans="2:23" s="22" customFormat="1" ht="15.75" customHeight="1">
      <c r="B19" s="24" t="s">
        <v>210</v>
      </c>
      <c r="C19" s="645">
        <v>6580.69</v>
      </c>
      <c r="D19" s="645">
        <v>0</v>
      </c>
      <c r="E19" s="645">
        <v>49491.720999999998</v>
      </c>
      <c r="F19" s="645">
        <v>0</v>
      </c>
      <c r="G19" s="645">
        <v>61581.99</v>
      </c>
      <c r="H19" s="645">
        <v>0</v>
      </c>
      <c r="I19" s="645">
        <v>117948.94099999999</v>
      </c>
      <c r="J19" s="645">
        <v>0</v>
      </c>
      <c r="K19" s="295"/>
      <c r="M19" s="668" t="s">
        <v>663</v>
      </c>
      <c r="N19" s="479"/>
      <c r="O19" s="479"/>
      <c r="P19" s="479"/>
      <c r="Q19" s="479"/>
      <c r="T19" s="466"/>
      <c r="U19" s="95"/>
      <c r="V19" s="95"/>
      <c r="W19" s="95"/>
    </row>
    <row r="20" spans="2:23" s="22" customFormat="1" ht="16.5" customHeight="1">
      <c r="B20" s="24" t="s">
        <v>195</v>
      </c>
      <c r="C20" s="295">
        <f t="shared" ref="C20:I20" si="1">SUM(C8:C19)</f>
        <v>224944.16108999998</v>
      </c>
      <c r="D20" s="295">
        <f t="shared" si="1"/>
        <v>207025.96999999997</v>
      </c>
      <c r="E20" s="295">
        <f t="shared" si="1"/>
        <v>392316.82900000003</v>
      </c>
      <c r="F20" s="295">
        <f t="shared" si="1"/>
        <v>260740.57499999998</v>
      </c>
      <c r="G20" s="295">
        <f t="shared" si="1"/>
        <v>284458.28200000001</v>
      </c>
      <c r="H20" s="295">
        <f t="shared" si="1"/>
        <v>120059.31</v>
      </c>
      <c r="I20" s="295">
        <f t="shared" si="1"/>
        <v>932544.94408999989</v>
      </c>
      <c r="J20" s="295">
        <f>SUM(J8:J19)</f>
        <v>612225.26500000001</v>
      </c>
      <c r="K20" s="295"/>
      <c r="M20" s="669"/>
      <c r="N20" s="468"/>
      <c r="O20" s="486"/>
      <c r="P20" s="471"/>
      <c r="Q20" s="471"/>
      <c r="T20" s="467"/>
      <c r="U20" s="95"/>
    </row>
    <row r="21" spans="2:23" s="22" customFormat="1" ht="16.5" customHeight="1">
      <c r="B21" s="47" t="s">
        <v>215</v>
      </c>
      <c r="C21" s="221">
        <f>C20/I20</f>
        <v>0.24121535644537323</v>
      </c>
      <c r="D21" s="221">
        <f>D20/J20</f>
        <v>0.33815326128365508</v>
      </c>
      <c r="E21" s="221">
        <f>E20/I20</f>
        <v>0.42069482172018247</v>
      </c>
      <c r="F21" s="221">
        <f>F20/J20</f>
        <v>0.42588992958335359</v>
      </c>
      <c r="G21" s="221">
        <f>G20/I20</f>
        <v>0.30503439410910255</v>
      </c>
      <c r="H21" s="221">
        <f>H20/J20</f>
        <v>0.1961031614727628</v>
      </c>
      <c r="I21" s="221">
        <v>1</v>
      </c>
      <c r="J21" s="221">
        <v>1</v>
      </c>
      <c r="K21" s="347"/>
      <c r="M21" s="665"/>
      <c r="N21" s="471"/>
      <c r="O21" s="471"/>
      <c r="P21" s="471"/>
      <c r="Q21" s="471"/>
      <c r="T21" s="466"/>
      <c r="U21" s="95"/>
    </row>
    <row r="22" spans="2:23" s="22" customFormat="1" ht="15.75" customHeight="1">
      <c r="B22" s="846" t="s">
        <v>723</v>
      </c>
      <c r="C22" s="847"/>
      <c r="D22" s="847"/>
      <c r="E22" s="847"/>
      <c r="F22" s="847"/>
      <c r="G22" s="847"/>
      <c r="H22" s="847"/>
      <c r="I22" s="847"/>
      <c r="J22" s="847"/>
      <c r="K22" s="848"/>
      <c r="M22" s="665"/>
      <c r="N22" s="471"/>
      <c r="O22" s="471"/>
      <c r="P22" s="471"/>
      <c r="Q22" s="471"/>
      <c r="T22" s="466"/>
      <c r="U22" s="95"/>
    </row>
    <row r="23" spans="2:23" s="22" customFormat="1" ht="30" customHeight="1">
      <c r="B23" s="849"/>
      <c r="C23" s="850"/>
      <c r="D23" s="850"/>
      <c r="E23" s="850"/>
      <c r="F23" s="850"/>
      <c r="G23" s="850"/>
      <c r="H23" s="850"/>
      <c r="I23" s="850"/>
      <c r="J23" s="850"/>
      <c r="K23" s="851"/>
      <c r="M23" s="665"/>
      <c r="N23" s="471"/>
      <c r="O23" s="471"/>
      <c r="P23" s="471"/>
      <c r="Q23" s="471"/>
      <c r="T23" s="466"/>
      <c r="U23" s="95"/>
    </row>
    <row r="24" spans="2:23" ht="17.25" customHeight="1">
      <c r="B24" s="852"/>
      <c r="C24" s="852"/>
      <c r="D24" s="852"/>
      <c r="E24" s="852"/>
      <c r="F24" s="852"/>
      <c r="G24" s="852"/>
      <c r="H24" s="852"/>
      <c r="I24" s="852"/>
      <c r="J24" s="852"/>
      <c r="K24" s="852"/>
      <c r="T24" s="466"/>
      <c r="U24" s="95"/>
    </row>
    <row r="25" spans="2:23" ht="15" customHeight="1"/>
    <row r="26" spans="2:23" ht="15" customHeight="1"/>
    <row r="27" spans="2:23" ht="15" customHeight="1"/>
    <row r="28" spans="2:23" ht="15" customHeight="1">
      <c r="M28" s="671"/>
    </row>
    <row r="29" spans="2:23" ht="15" customHeight="1"/>
    <row r="30" spans="2:23" ht="15" customHeight="1"/>
    <row r="31" spans="2:23" ht="15" customHeight="1"/>
    <row r="32" spans="2:23" ht="15" customHeight="1"/>
    <row r="34" spans="24:24" ht="15" customHeight="1"/>
    <row r="35" spans="24:24" ht="15" customHeight="1">
      <c r="X35" s="9"/>
    </row>
    <row r="36" spans="24:24" ht="15" customHeight="1"/>
    <row r="37" spans="24:24" ht="15" customHeight="1"/>
    <row r="38" spans="24:24" ht="15" customHeight="1"/>
  </sheetData>
  <mergeCells count="11">
    <mergeCell ref="B22:K23"/>
    <mergeCell ref="B24:K24"/>
    <mergeCell ref="B1:K1"/>
    <mergeCell ref="B3:K3"/>
    <mergeCell ref="B5:K5"/>
    <mergeCell ref="C6:D6"/>
    <mergeCell ref="E6:F6"/>
    <mergeCell ref="G6:H6"/>
    <mergeCell ref="I6:K6"/>
    <mergeCell ref="B6:B7"/>
    <mergeCell ref="B4:K4"/>
  </mergeCells>
  <phoneticPr fontId="47" type="noConversion"/>
  <printOptions horizontalCentered="1"/>
  <pageMargins left="0.59055118110236227" right="0.59055118110236227" top="0.74803149606299213" bottom="0.78740157480314965" header="0.51181102362204722" footer="0.59055118110236227"/>
  <pageSetup paperSize="126"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M22"/>
  <sheetViews>
    <sheetView zoomScaleNormal="100" workbookViewId="0">
      <selection activeCell="K20" sqref="K20"/>
    </sheetView>
  </sheetViews>
  <sheetFormatPr baseColWidth="10" defaultColWidth="10.90625" defaultRowHeight="12.75"/>
  <cols>
    <col min="1" max="1" width="1.6328125" style="250" customWidth="1"/>
    <col min="2" max="2" width="9.90625" style="250" customWidth="1"/>
    <col min="3" max="10" width="6.6328125" style="250" customWidth="1"/>
    <col min="11" max="16384" width="10.90625" style="250"/>
  </cols>
  <sheetData>
    <row r="1" spans="2:11">
      <c r="B1" s="767" t="s">
        <v>216</v>
      </c>
      <c r="C1" s="767"/>
      <c r="D1" s="767"/>
      <c r="E1" s="767"/>
      <c r="F1" s="767"/>
      <c r="G1" s="767"/>
      <c r="H1" s="767"/>
      <c r="I1" s="767"/>
      <c r="J1" s="767"/>
      <c r="K1" s="17"/>
    </row>
    <row r="3" spans="2:11">
      <c r="B3" s="767" t="s">
        <v>42</v>
      </c>
      <c r="C3" s="767"/>
      <c r="D3" s="767"/>
      <c r="E3" s="767"/>
      <c r="F3" s="767"/>
      <c r="G3" s="767"/>
      <c r="H3" s="767"/>
      <c r="I3" s="767"/>
      <c r="J3" s="767"/>
      <c r="K3" s="22"/>
    </row>
    <row r="4" spans="2:11">
      <c r="B4" s="767" t="s">
        <v>638</v>
      </c>
      <c r="C4" s="767"/>
      <c r="D4" s="767"/>
      <c r="E4" s="767"/>
      <c r="F4" s="767"/>
      <c r="G4" s="767"/>
      <c r="H4" s="767"/>
      <c r="I4" s="767"/>
      <c r="J4" s="767"/>
      <c r="K4" s="22"/>
    </row>
    <row r="5" spans="2:11" ht="13.7" customHeight="1">
      <c r="B5" s="767" t="s">
        <v>180</v>
      </c>
      <c r="C5" s="767"/>
      <c r="D5" s="767"/>
      <c r="E5" s="767"/>
      <c r="F5" s="767"/>
      <c r="G5" s="767"/>
      <c r="H5" s="767"/>
      <c r="I5" s="767"/>
      <c r="J5" s="767"/>
      <c r="K5" s="22"/>
    </row>
    <row r="6" spans="2:11" ht="104.25" customHeight="1">
      <c r="B6" s="488" t="s">
        <v>217</v>
      </c>
      <c r="C6" s="857" t="s">
        <v>218</v>
      </c>
      <c r="D6" s="857"/>
      <c r="E6" s="857" t="s">
        <v>219</v>
      </c>
      <c r="F6" s="857"/>
      <c r="G6" s="857" t="s">
        <v>220</v>
      </c>
      <c r="H6" s="857"/>
      <c r="I6" s="857" t="s">
        <v>221</v>
      </c>
      <c r="J6" s="857"/>
      <c r="K6" s="22"/>
    </row>
    <row r="7" spans="2:11" ht="15.75" customHeight="1">
      <c r="B7" s="522" t="s">
        <v>222</v>
      </c>
      <c r="C7" s="856" t="s">
        <v>214</v>
      </c>
      <c r="D7" s="856"/>
      <c r="E7" s="856" t="s">
        <v>175</v>
      </c>
      <c r="F7" s="856"/>
      <c r="G7" s="856" t="s">
        <v>213</v>
      </c>
      <c r="H7" s="856"/>
      <c r="I7" s="856" t="s">
        <v>197</v>
      </c>
      <c r="J7" s="856"/>
      <c r="K7" s="22"/>
    </row>
    <row r="8" spans="2:11" ht="15.75" customHeight="1">
      <c r="B8" s="350" t="s">
        <v>198</v>
      </c>
      <c r="C8" s="309">
        <v>2021</v>
      </c>
      <c r="D8" s="309">
        <v>2022</v>
      </c>
      <c r="E8" s="309">
        <v>2021</v>
      </c>
      <c r="F8" s="309">
        <v>2022</v>
      </c>
      <c r="G8" s="309">
        <v>2021</v>
      </c>
      <c r="H8" s="309">
        <v>2022</v>
      </c>
      <c r="I8" s="309">
        <v>2021</v>
      </c>
      <c r="J8" s="309">
        <v>2022</v>
      </c>
      <c r="K8" s="22"/>
    </row>
    <row r="9" spans="2:11" ht="15.75" customHeight="1">
      <c r="B9" s="350" t="s">
        <v>200</v>
      </c>
      <c r="C9" s="295">
        <v>10533.627</v>
      </c>
      <c r="D9" s="295"/>
      <c r="E9" s="295">
        <v>25466.400000000001</v>
      </c>
      <c r="F9" s="295">
        <v>60216.57</v>
      </c>
      <c r="G9" s="295"/>
      <c r="H9" s="295"/>
      <c r="I9" s="295">
        <v>1232</v>
      </c>
      <c r="J9" s="295">
        <v>139.32</v>
      </c>
      <c r="K9" s="22"/>
    </row>
    <row r="10" spans="2:11" ht="15.75" customHeight="1">
      <c r="B10" s="350" t="s">
        <v>201</v>
      </c>
      <c r="C10" s="295">
        <v>15955.329</v>
      </c>
      <c r="D10" s="295">
        <v>83.46</v>
      </c>
      <c r="E10" s="295">
        <v>30649.65</v>
      </c>
      <c r="F10" s="295">
        <v>35030.57</v>
      </c>
      <c r="G10" s="295">
        <v>9652.17</v>
      </c>
      <c r="H10" s="295">
        <v>21738.89</v>
      </c>
      <c r="I10" s="295">
        <v>1008</v>
      </c>
      <c r="J10" s="295">
        <v>280</v>
      </c>
      <c r="K10" s="22"/>
    </row>
    <row r="11" spans="2:11" ht="15.75" customHeight="1">
      <c r="B11" s="350" t="s">
        <v>202</v>
      </c>
      <c r="C11" s="295">
        <v>4344.2740000000003</v>
      </c>
      <c r="D11" s="295"/>
      <c r="E11" s="295">
        <v>9471.89</v>
      </c>
      <c r="F11" s="295">
        <v>12028.94</v>
      </c>
      <c r="G11" s="295">
        <v>1500</v>
      </c>
      <c r="H11" s="295">
        <v>43730.5</v>
      </c>
      <c r="I11" s="295">
        <v>1008</v>
      </c>
      <c r="J11" s="295">
        <v>1154</v>
      </c>
      <c r="K11" s="22" t="s">
        <v>663</v>
      </c>
    </row>
    <row r="12" spans="2:11" ht="15.75" customHeight="1">
      <c r="B12" s="350" t="s">
        <v>203</v>
      </c>
      <c r="C12" s="295"/>
      <c r="D12" s="295"/>
      <c r="E12" s="295">
        <v>36929.15</v>
      </c>
      <c r="F12" s="295">
        <v>10923.81</v>
      </c>
      <c r="G12" s="295">
        <v>17236.82</v>
      </c>
      <c r="H12" s="295">
        <v>8128.79</v>
      </c>
      <c r="I12" s="295">
        <v>756</v>
      </c>
      <c r="J12" s="295">
        <v>280</v>
      </c>
      <c r="K12" s="22" t="s">
        <v>663</v>
      </c>
    </row>
    <row r="13" spans="2:11" ht="15.75" customHeight="1">
      <c r="B13" s="350" t="s">
        <v>204</v>
      </c>
      <c r="C13" s="295"/>
      <c r="D13" s="295"/>
      <c r="E13" s="295">
        <v>8788.0499999999993</v>
      </c>
      <c r="F13" s="295">
        <v>13001.2</v>
      </c>
      <c r="G13" s="295">
        <v>4253.1400000000003</v>
      </c>
      <c r="H13" s="295">
        <v>73810.03</v>
      </c>
      <c r="I13" s="295">
        <v>252</v>
      </c>
      <c r="J13" s="295">
        <v>812</v>
      </c>
      <c r="K13" s="22"/>
    </row>
    <row r="14" spans="2:11" ht="15.75" customHeight="1">
      <c r="B14" s="350" t="s">
        <v>205</v>
      </c>
      <c r="C14" s="295"/>
      <c r="D14" s="295"/>
      <c r="E14" s="295">
        <v>5752.47</v>
      </c>
      <c r="F14" s="295">
        <v>27047.85</v>
      </c>
      <c r="G14" s="295">
        <v>28344.97</v>
      </c>
      <c r="H14" s="295">
        <v>13439.52</v>
      </c>
      <c r="I14" s="295"/>
      <c r="J14" s="295">
        <v>280</v>
      </c>
      <c r="K14" s="22"/>
    </row>
    <row r="15" spans="2:11" ht="15.75" customHeight="1">
      <c r="B15" s="350" t="s">
        <v>206</v>
      </c>
      <c r="C15" s="295">
        <v>0</v>
      </c>
      <c r="D15" s="295">
        <v>0</v>
      </c>
      <c r="E15" s="295">
        <v>11352.78</v>
      </c>
      <c r="F15" s="295">
        <v>25308.95</v>
      </c>
      <c r="G15" s="295">
        <v>17853.150000000001</v>
      </c>
      <c r="H15" s="295">
        <v>3666.42</v>
      </c>
      <c r="I15" s="295">
        <v>84</v>
      </c>
      <c r="J15" s="295">
        <v>364</v>
      </c>
      <c r="K15" s="22"/>
    </row>
    <row r="16" spans="2:11" ht="15.75" customHeight="1">
      <c r="B16" s="350" t="s">
        <v>207</v>
      </c>
      <c r="C16" s="362"/>
      <c r="D16" s="362"/>
      <c r="E16" s="362">
        <v>27694</v>
      </c>
      <c r="F16" s="362"/>
      <c r="G16" s="362">
        <v>28102.959999999999</v>
      </c>
      <c r="H16" s="362"/>
      <c r="I16" s="362">
        <v>532</v>
      </c>
      <c r="J16" s="362"/>
      <c r="K16" s="22"/>
    </row>
    <row r="17" spans="2:13" ht="15.75" customHeight="1">
      <c r="B17" s="350" t="s">
        <v>208</v>
      </c>
      <c r="C17" s="295"/>
      <c r="D17" s="362"/>
      <c r="E17" s="295">
        <v>25548.73</v>
      </c>
      <c r="F17" s="295"/>
      <c r="G17" s="362">
        <v>0</v>
      </c>
      <c r="H17" s="362"/>
      <c r="I17" s="362">
        <v>614.66</v>
      </c>
      <c r="J17" s="362"/>
      <c r="K17" s="22"/>
      <c r="L17" s="22"/>
      <c r="M17" s="22"/>
    </row>
    <row r="18" spans="2:13" ht="15.75" customHeight="1">
      <c r="B18" s="350" t="s">
        <v>209</v>
      </c>
      <c r="C18" s="295"/>
      <c r="D18" s="295"/>
      <c r="E18" s="295">
        <v>27311.38</v>
      </c>
      <c r="F18" s="295"/>
      <c r="G18" s="295">
        <v>14448.62</v>
      </c>
      <c r="H18" s="295"/>
      <c r="I18" s="295">
        <v>228.29</v>
      </c>
      <c r="J18" s="646"/>
      <c r="K18" s="22"/>
      <c r="L18" s="22"/>
      <c r="M18" s="22"/>
    </row>
    <row r="19" spans="2:13" ht="15.75" customHeight="1">
      <c r="B19" s="350" t="s">
        <v>193</v>
      </c>
      <c r="C19" s="295"/>
      <c r="D19" s="295"/>
      <c r="E19" s="295">
        <v>22627.23</v>
      </c>
      <c r="F19" s="295"/>
      <c r="G19" s="295">
        <v>10700.72</v>
      </c>
      <c r="H19" s="295"/>
      <c r="I19" s="362">
        <v>616.22</v>
      </c>
      <c r="J19" s="428"/>
      <c r="K19" s="22"/>
      <c r="L19" s="22"/>
      <c r="M19" s="22"/>
    </row>
    <row r="20" spans="2:13" ht="15.75" customHeight="1">
      <c r="B20" s="350" t="s">
        <v>194</v>
      </c>
      <c r="C20" s="295"/>
      <c r="D20" s="295"/>
      <c r="E20" s="295">
        <v>34943.71</v>
      </c>
      <c r="F20" s="295"/>
      <c r="G20" s="295">
        <v>6580.69</v>
      </c>
      <c r="H20" s="295"/>
      <c r="I20" s="362">
        <v>140</v>
      </c>
      <c r="J20" s="428"/>
      <c r="K20" s="22"/>
      <c r="L20" s="95"/>
      <c r="M20" s="22"/>
    </row>
    <row r="21" spans="2:13">
      <c r="B21" s="350" t="s">
        <v>195</v>
      </c>
      <c r="C21" s="295">
        <f t="shared" ref="C21:I21" si="0">SUM(C9:C20)</f>
        <v>30833.23</v>
      </c>
      <c r="D21" s="295">
        <f t="shared" si="0"/>
        <v>83.46</v>
      </c>
      <c r="E21" s="295">
        <f>SUM(E9:E20)</f>
        <v>266535.44000000006</v>
      </c>
      <c r="F21" s="295">
        <f t="shared" si="0"/>
        <v>183557.89</v>
      </c>
      <c r="G21" s="295">
        <f t="shared" si="0"/>
        <v>138673.24</v>
      </c>
      <c r="H21" s="295">
        <f t="shared" si="0"/>
        <v>164514.15</v>
      </c>
      <c r="I21" s="295">
        <f t="shared" si="0"/>
        <v>6471.17</v>
      </c>
      <c r="J21" s="295">
        <f>SUM(J9:J20)</f>
        <v>3309.3199999999997</v>
      </c>
      <c r="K21" s="95"/>
      <c r="L21" s="95"/>
      <c r="M21" s="22"/>
    </row>
    <row r="22" spans="2:13" ht="27.6" customHeight="1">
      <c r="B22" s="855" t="s">
        <v>724</v>
      </c>
      <c r="C22" s="855"/>
      <c r="D22" s="855"/>
      <c r="E22" s="855"/>
      <c r="F22" s="855"/>
      <c r="G22" s="855"/>
      <c r="H22" s="855"/>
      <c r="I22" s="855"/>
      <c r="J22" s="855"/>
      <c r="K22" s="22"/>
      <c r="L22" s="22"/>
      <c r="M22" s="39"/>
    </row>
  </sheetData>
  <mergeCells count="13">
    <mergeCell ref="B22:J22"/>
    <mergeCell ref="B4:J4"/>
    <mergeCell ref="B3:J3"/>
    <mergeCell ref="B1:J1"/>
    <mergeCell ref="I7:J7"/>
    <mergeCell ref="G7:H7"/>
    <mergeCell ref="E7:F7"/>
    <mergeCell ref="C7:D7"/>
    <mergeCell ref="B5:J5"/>
    <mergeCell ref="C6:D6"/>
    <mergeCell ref="E6:F6"/>
    <mergeCell ref="G6:H6"/>
    <mergeCell ref="I6:J6"/>
  </mergeCells>
  <pageMargins left="0.70866141732283472" right="0.70866141732283472" top="0.74803149606299213" bottom="0.74803149606299213" header="0.31496062992125984" footer="0.31496062992125984"/>
  <pageSetup paperSize="126" scale="83" orientation="portrait" r:id="rId1"/>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T52"/>
  <sheetViews>
    <sheetView zoomScale="90" zoomScaleNormal="90" workbookViewId="0">
      <selection activeCell="N16" sqref="N16"/>
    </sheetView>
  </sheetViews>
  <sheetFormatPr baseColWidth="10" defaultColWidth="10.90625" defaultRowHeight="12"/>
  <cols>
    <col min="1" max="1" width="1" style="1" customWidth="1"/>
    <col min="2" max="2" width="8.7265625" style="1" customWidth="1"/>
    <col min="3" max="10" width="6.08984375" style="1" customWidth="1"/>
    <col min="11" max="11" width="5.26953125" style="1" customWidth="1"/>
    <col min="12" max="12" width="1.453125" style="1" customWidth="1"/>
    <col min="13" max="13" width="4.453125" style="373" customWidth="1"/>
    <col min="14" max="14" width="5.08984375" style="373" bestFit="1" customWidth="1"/>
    <col min="15" max="15" width="6.81640625" style="373" customWidth="1"/>
    <col min="16" max="16" width="11.90625" style="373" bestFit="1" customWidth="1"/>
    <col min="17" max="17" width="4.36328125" style="373" bestFit="1" customWidth="1"/>
    <col min="18" max="18" width="4.7265625" style="373" customWidth="1"/>
    <col min="19" max="19" width="3.453125" style="373" customWidth="1"/>
    <col min="20" max="20" width="7.453125" style="373" customWidth="1"/>
    <col min="21" max="27" width="3.453125" style="373" customWidth="1"/>
    <col min="28" max="30" width="3.453125" style="637" customWidth="1"/>
    <col min="31" max="31" width="7.90625" style="637" customWidth="1"/>
    <col min="32" max="32" width="2" style="637" customWidth="1"/>
    <col min="33" max="38" width="3" style="649" customWidth="1"/>
    <col min="39" max="46" width="10.90625" style="637"/>
    <col min="47" max="16384" width="10.90625" style="1"/>
  </cols>
  <sheetData>
    <row r="1" spans="2:46" s="22" customFormat="1" ht="12.75" customHeight="1">
      <c r="B1" s="858" t="s">
        <v>223</v>
      </c>
      <c r="C1" s="858"/>
      <c r="D1" s="858"/>
      <c r="E1" s="858"/>
      <c r="F1" s="858"/>
      <c r="G1" s="858"/>
      <c r="H1" s="858"/>
      <c r="I1" s="858"/>
      <c r="J1" s="858"/>
      <c r="K1" s="858"/>
      <c r="M1" s="300"/>
      <c r="N1" s="300"/>
      <c r="O1" s="300"/>
      <c r="P1" s="300"/>
      <c r="Q1" s="300"/>
      <c r="R1" s="300"/>
      <c r="S1" s="300"/>
      <c r="T1" s="300"/>
      <c r="U1" s="300"/>
      <c r="V1" s="300"/>
      <c r="W1" s="300"/>
      <c r="X1" s="300"/>
      <c r="Y1" s="300"/>
      <c r="Z1" s="300"/>
      <c r="AA1" s="300"/>
      <c r="AB1" s="377"/>
      <c r="AC1" s="377"/>
      <c r="AD1" s="377"/>
      <c r="AE1" s="377"/>
      <c r="AF1" s="377"/>
      <c r="AG1" s="377"/>
      <c r="AH1" s="377"/>
      <c r="AI1" s="377"/>
      <c r="AJ1" s="377"/>
      <c r="AK1" s="377"/>
      <c r="AL1" s="377"/>
      <c r="AM1" s="377"/>
      <c r="AN1" s="377"/>
      <c r="AO1" s="377"/>
      <c r="AP1" s="377"/>
      <c r="AQ1" s="377"/>
      <c r="AR1" s="377"/>
      <c r="AS1" s="377"/>
      <c r="AT1" s="377"/>
    </row>
    <row r="2" spans="2:46" s="22" customFormat="1" ht="12.75">
      <c r="M2" s="300"/>
      <c r="N2" s="300"/>
      <c r="O2" s="300"/>
      <c r="P2" s="300"/>
      <c r="Q2" s="300"/>
      <c r="R2" s="300"/>
      <c r="S2" s="300"/>
      <c r="T2" s="300"/>
      <c r="U2" s="300"/>
      <c r="V2" s="300"/>
      <c r="W2" s="300"/>
      <c r="X2" s="300"/>
      <c r="Y2" s="300"/>
      <c r="Z2" s="300"/>
      <c r="AA2" s="300"/>
      <c r="AB2" s="377"/>
      <c r="AC2" s="377"/>
      <c r="AD2" s="377"/>
      <c r="AE2" s="377"/>
      <c r="AF2" s="377"/>
      <c r="AG2" s="377"/>
      <c r="AH2" s="377"/>
      <c r="AI2" s="377"/>
      <c r="AJ2" s="377"/>
      <c r="AK2" s="377"/>
      <c r="AL2" s="377"/>
      <c r="AM2" s="377"/>
      <c r="AN2" s="377"/>
      <c r="AO2" s="377"/>
      <c r="AP2" s="377"/>
      <c r="AQ2" s="377"/>
      <c r="AR2" s="377"/>
      <c r="AS2" s="377"/>
      <c r="AT2" s="377"/>
    </row>
    <row r="3" spans="2:46" s="22" customFormat="1" ht="12.75">
      <c r="B3" s="767" t="s">
        <v>224</v>
      </c>
      <c r="C3" s="767"/>
      <c r="D3" s="767"/>
      <c r="E3" s="767"/>
      <c r="F3" s="767"/>
      <c r="G3" s="767"/>
      <c r="H3" s="767"/>
      <c r="I3" s="767"/>
      <c r="J3" s="767"/>
      <c r="K3" s="767"/>
      <c r="M3" s="300"/>
      <c r="N3" s="300"/>
      <c r="O3" s="300"/>
      <c r="P3" s="300"/>
      <c r="Q3" s="300"/>
      <c r="R3" s="300"/>
      <c r="S3" s="300"/>
      <c r="T3" s="300"/>
      <c r="U3" s="300"/>
      <c r="V3" s="300"/>
      <c r="W3" s="300"/>
      <c r="X3" s="300"/>
      <c r="Y3" s="300"/>
      <c r="Z3" s="300"/>
      <c r="AA3" s="300"/>
      <c r="AB3" s="377"/>
      <c r="AC3" s="377"/>
      <c r="AD3" s="377"/>
      <c r="AE3" s="377"/>
      <c r="AF3" s="377"/>
      <c r="AG3" s="377"/>
      <c r="AH3" s="377"/>
      <c r="AI3" s="377"/>
      <c r="AJ3" s="377"/>
      <c r="AK3" s="377"/>
      <c r="AL3" s="377"/>
      <c r="AM3" s="377"/>
      <c r="AN3" s="377"/>
      <c r="AO3" s="377"/>
      <c r="AP3" s="377"/>
      <c r="AQ3" s="377"/>
      <c r="AR3" s="377"/>
      <c r="AS3" s="377"/>
      <c r="AT3" s="377"/>
    </row>
    <row r="4" spans="2:46" s="22" customFormat="1" ht="12.75">
      <c r="B4" s="839" t="s">
        <v>639</v>
      </c>
      <c r="C4" s="839"/>
      <c r="D4" s="839"/>
      <c r="E4" s="839"/>
      <c r="F4" s="839"/>
      <c r="G4" s="839"/>
      <c r="H4" s="839"/>
      <c r="I4" s="839"/>
      <c r="J4" s="839"/>
      <c r="K4" s="839"/>
      <c r="M4" s="300"/>
      <c r="N4" s="300"/>
      <c r="O4" s="300"/>
      <c r="P4" s="300"/>
      <c r="Q4" s="396"/>
      <c r="R4" s="396"/>
      <c r="S4" s="300"/>
      <c r="T4" s="300"/>
      <c r="U4" s="300"/>
      <c r="V4" s="300"/>
      <c r="W4" s="300"/>
      <c r="X4" s="300"/>
      <c r="Y4" s="300"/>
      <c r="Z4" s="300"/>
      <c r="AA4" s="300"/>
      <c r="AB4" s="377"/>
      <c r="AC4" s="377"/>
      <c r="AD4" s="377"/>
      <c r="AE4" s="377"/>
      <c r="AF4" s="377"/>
      <c r="AG4" s="377"/>
      <c r="AH4" s="377"/>
      <c r="AI4" s="377"/>
      <c r="AJ4" s="377"/>
      <c r="AK4" s="377"/>
      <c r="AL4" s="377"/>
      <c r="AM4" s="377"/>
      <c r="AN4" s="377"/>
      <c r="AO4" s="377"/>
      <c r="AP4" s="377"/>
      <c r="AQ4" s="377"/>
      <c r="AR4" s="377"/>
      <c r="AS4" s="377"/>
      <c r="AT4" s="377"/>
    </row>
    <row r="5" spans="2:46" s="22" customFormat="1" ht="12.75">
      <c r="B5" s="839" t="s">
        <v>225</v>
      </c>
      <c r="C5" s="839"/>
      <c r="D5" s="839"/>
      <c r="E5" s="839"/>
      <c r="F5" s="839"/>
      <c r="G5" s="839"/>
      <c r="H5" s="839"/>
      <c r="I5" s="839"/>
      <c r="J5" s="839"/>
      <c r="K5" s="839"/>
      <c r="M5" s="300"/>
      <c r="N5" s="300"/>
      <c r="O5" s="300"/>
      <c r="P5" s="300"/>
      <c r="Q5" s="300"/>
      <c r="R5" s="300"/>
      <c r="S5" s="396"/>
      <c r="T5" s="396"/>
      <c r="U5" s="396"/>
      <c r="V5" s="396"/>
      <c r="W5" s="396"/>
      <c r="X5" s="396"/>
      <c r="Y5" s="300"/>
      <c r="Z5" s="300"/>
      <c r="AA5" s="300"/>
      <c r="AB5" s="377"/>
      <c r="AC5" s="377"/>
      <c r="AD5" s="377"/>
      <c r="AE5" s="377"/>
      <c r="AF5" s="377"/>
      <c r="AG5" s="377"/>
      <c r="AH5" s="377"/>
      <c r="AI5" s="377"/>
      <c r="AJ5" s="377"/>
      <c r="AK5" s="377"/>
      <c r="AL5" s="377"/>
      <c r="AM5" s="377"/>
      <c r="AN5" s="377"/>
      <c r="AO5" s="377"/>
      <c r="AP5" s="377"/>
      <c r="AQ5" s="377"/>
      <c r="AR5" s="377"/>
      <c r="AS5" s="377"/>
      <c r="AT5" s="377"/>
    </row>
    <row r="6" spans="2:46" s="22" customFormat="1" ht="30" customHeight="1">
      <c r="B6" s="128" t="s">
        <v>198</v>
      </c>
      <c r="C6" s="830" t="s">
        <v>226</v>
      </c>
      <c r="D6" s="830"/>
      <c r="E6" s="830" t="s">
        <v>214</v>
      </c>
      <c r="F6" s="830"/>
      <c r="G6" s="830" t="s">
        <v>227</v>
      </c>
      <c r="H6" s="830"/>
      <c r="I6" s="793" t="s">
        <v>195</v>
      </c>
      <c r="J6" s="793"/>
      <c r="K6" s="793"/>
      <c r="M6" s="571"/>
      <c r="N6" s="571"/>
      <c r="O6" s="571"/>
      <c r="P6" s="571"/>
      <c r="Q6" s="396"/>
      <c r="R6" s="396"/>
      <c r="S6" s="397"/>
      <c r="T6" s="397"/>
      <c r="U6" s="397"/>
      <c r="V6" s="397"/>
      <c r="W6" s="397"/>
      <c r="X6" s="397"/>
      <c r="Y6" s="396"/>
      <c r="Z6" s="396"/>
      <c r="AA6" s="300"/>
      <c r="AB6" s="377"/>
      <c r="AC6" s="377"/>
      <c r="AD6" s="377"/>
      <c r="AE6" s="377"/>
      <c r="AF6" s="377"/>
      <c r="AG6" s="377"/>
      <c r="AH6" s="377"/>
      <c r="AI6" s="377"/>
      <c r="AJ6" s="377"/>
      <c r="AK6" s="377"/>
      <c r="AL6" s="377"/>
      <c r="AM6" s="377"/>
      <c r="AN6" s="377"/>
      <c r="AO6" s="377"/>
      <c r="AP6" s="377"/>
      <c r="AQ6" s="377"/>
      <c r="AR6" s="377"/>
      <c r="AS6" s="377"/>
      <c r="AT6" s="377"/>
    </row>
    <row r="7" spans="2:46" s="22" customFormat="1" ht="15.75" customHeight="1">
      <c r="B7" s="215"/>
      <c r="C7" s="309">
        <v>2021</v>
      </c>
      <c r="D7" s="309">
        <v>2022</v>
      </c>
      <c r="E7" s="309">
        <v>2021</v>
      </c>
      <c r="F7" s="309">
        <v>2022</v>
      </c>
      <c r="G7" s="309">
        <v>2021</v>
      </c>
      <c r="H7" s="309">
        <v>2022</v>
      </c>
      <c r="I7" s="309">
        <v>2021</v>
      </c>
      <c r="J7" s="309">
        <v>2022</v>
      </c>
      <c r="K7" s="128" t="s">
        <v>199</v>
      </c>
      <c r="M7" s="300"/>
      <c r="N7" s="300"/>
      <c r="O7" s="300" t="s">
        <v>214</v>
      </c>
      <c r="P7" s="300" t="s">
        <v>228</v>
      </c>
      <c r="Q7" s="397" t="s">
        <v>229</v>
      </c>
      <c r="R7" s="397"/>
      <c r="S7" s="397"/>
      <c r="T7" s="397"/>
      <c r="U7" s="397"/>
      <c r="V7" s="397"/>
      <c r="W7" s="397"/>
      <c r="X7" s="397"/>
      <c r="Y7" s="397"/>
      <c r="Z7" s="397"/>
      <c r="AA7" s="396"/>
      <c r="AB7" s="647"/>
      <c r="AC7" s="647"/>
      <c r="AD7" s="647"/>
      <c r="AE7" s="647"/>
      <c r="AF7" s="647"/>
      <c r="AG7" s="377"/>
      <c r="AH7" s="377"/>
      <c r="AI7" s="377"/>
      <c r="AJ7" s="377"/>
      <c r="AK7" s="377"/>
      <c r="AL7" s="377"/>
      <c r="AM7" s="377"/>
      <c r="AN7" s="377"/>
      <c r="AO7" s="377"/>
      <c r="AP7" s="377"/>
      <c r="AQ7" s="377"/>
      <c r="AR7" s="377"/>
      <c r="AS7" s="377"/>
      <c r="AT7" s="377"/>
    </row>
    <row r="8" spans="2:46" s="22" customFormat="1" ht="15.75" customHeight="1">
      <c r="B8" s="53" t="s">
        <v>200</v>
      </c>
      <c r="C8" s="380">
        <v>179.06751708119464</v>
      </c>
      <c r="D8" s="380">
        <v>267.76866535875007</v>
      </c>
      <c r="E8" s="380">
        <v>177.09252557740888</v>
      </c>
      <c r="F8" s="380">
        <v>334.78748379969153</v>
      </c>
      <c r="G8" s="380">
        <v>165.35555572300007</v>
      </c>
      <c r="H8" s="380">
        <v>329.87203343459709</v>
      </c>
      <c r="I8" s="380">
        <v>185.62952478349058</v>
      </c>
      <c r="J8" s="380">
        <v>284.32718506365694</v>
      </c>
      <c r="K8" s="364">
        <f t="shared" ref="K8:K14" si="0">J8/I8*100-100</f>
        <v>53.169160668424155</v>
      </c>
      <c r="M8" s="300"/>
      <c r="N8" s="381">
        <v>44197</v>
      </c>
      <c r="O8" s="573">
        <f>E8</f>
        <v>177.09252557740888</v>
      </c>
      <c r="P8" s="573">
        <f>G8</f>
        <v>165.35555572300007</v>
      </c>
      <c r="Q8" s="572">
        <f>C8</f>
        <v>179.06751708119464</v>
      </c>
      <c r="R8" s="397"/>
      <c r="S8" s="397"/>
      <c r="T8" s="397"/>
      <c r="U8" s="397"/>
      <c r="V8" s="397"/>
      <c r="W8" s="397"/>
      <c r="X8" s="397"/>
      <c r="Y8" s="397"/>
      <c r="Z8" s="397"/>
      <c r="AA8" s="397"/>
      <c r="AB8" s="648"/>
      <c r="AC8" s="648"/>
      <c r="AD8" s="377"/>
      <c r="AE8" s="377"/>
      <c r="AF8" s="377"/>
      <c r="AG8" s="377"/>
      <c r="AH8" s="377"/>
      <c r="AI8" s="377"/>
      <c r="AJ8" s="377"/>
      <c r="AK8" s="377"/>
      <c r="AL8" s="377"/>
      <c r="AM8" s="377"/>
      <c r="AN8" s="377"/>
      <c r="AO8" s="377"/>
      <c r="AP8" s="377"/>
      <c r="AQ8" s="377"/>
      <c r="AR8" s="377"/>
      <c r="AS8" s="377"/>
      <c r="AT8" s="377"/>
    </row>
    <row r="9" spans="2:46" s="22" customFormat="1" ht="15.75" customHeight="1">
      <c r="B9" s="53" t="s">
        <v>201</v>
      </c>
      <c r="C9" s="380">
        <v>189.30695667784781</v>
      </c>
      <c r="D9" s="380">
        <v>283.74659203941059</v>
      </c>
      <c r="E9" s="380">
        <v>186.40526781787636</v>
      </c>
      <c r="F9" s="380">
        <v>320.85771562139672</v>
      </c>
      <c r="G9" s="380">
        <v>190.02701916172467</v>
      </c>
      <c r="H9" s="380">
        <v>321.81557368402815</v>
      </c>
      <c r="I9" s="380">
        <v>188.41974828926126</v>
      </c>
      <c r="J9" s="380">
        <v>284.52284094702469</v>
      </c>
      <c r="K9" s="364">
        <f t="shared" si="0"/>
        <v>51.004787730756505</v>
      </c>
      <c r="M9" s="595"/>
      <c r="N9" s="381">
        <v>44228</v>
      </c>
      <c r="O9" s="573">
        <f t="shared" ref="O9:O19" si="1">E9</f>
        <v>186.40526781787636</v>
      </c>
      <c r="P9" s="573">
        <f t="shared" ref="P9:P19" si="2">G9</f>
        <v>190.02701916172467</v>
      </c>
      <c r="Q9" s="572">
        <f t="shared" ref="Q9:Q19" si="3">C9</f>
        <v>189.30695667784781</v>
      </c>
      <c r="R9" s="397"/>
      <c r="S9" s="397" t="s">
        <v>663</v>
      </c>
      <c r="T9" s="397"/>
      <c r="U9" s="397"/>
      <c r="V9" s="397"/>
      <c r="W9" s="397"/>
      <c r="X9" s="397"/>
      <c r="Y9" s="397"/>
      <c r="Z9" s="397"/>
      <c r="AA9" s="397"/>
      <c r="AB9" s="648"/>
      <c r="AC9" s="648"/>
      <c r="AD9" s="377"/>
      <c r="AE9" s="377"/>
      <c r="AF9" s="377"/>
      <c r="AG9" s="377"/>
      <c r="AH9" s="377"/>
      <c r="AI9" s="377"/>
      <c r="AJ9" s="377"/>
      <c r="AK9" s="377"/>
      <c r="AL9" s="377"/>
      <c r="AM9" s="377"/>
      <c r="AN9" s="377"/>
      <c r="AO9" s="377"/>
      <c r="AP9" s="377"/>
      <c r="AQ9" s="377"/>
      <c r="AR9" s="377"/>
      <c r="AS9" s="377"/>
      <c r="AT9" s="377"/>
    </row>
    <row r="10" spans="2:46" s="22" customFormat="1" ht="15.75" customHeight="1">
      <c r="B10" s="53" t="s">
        <v>202</v>
      </c>
      <c r="C10" s="380">
        <v>183.41406272080454</v>
      </c>
      <c r="D10" s="380">
        <v>278.05501162064633</v>
      </c>
      <c r="E10" s="380">
        <v>195.4833534485978</v>
      </c>
      <c r="F10" s="380">
        <v>321.00137457112265</v>
      </c>
      <c r="G10" s="380">
        <v>195.2668893943185</v>
      </c>
      <c r="H10" s="380">
        <v>348.01290512199125</v>
      </c>
      <c r="I10" s="378">
        <v>194.8454914500345</v>
      </c>
      <c r="J10" s="378">
        <v>285.80656074562773</v>
      </c>
      <c r="K10" s="364">
        <f t="shared" si="0"/>
        <v>46.683692098115074</v>
      </c>
      <c r="M10" s="300"/>
      <c r="N10" s="381">
        <v>44256</v>
      </c>
      <c r="O10" s="573">
        <f t="shared" si="1"/>
        <v>195.4833534485978</v>
      </c>
      <c r="P10" s="573">
        <f t="shared" si="2"/>
        <v>195.2668893943185</v>
      </c>
      <c r="Q10" s="572">
        <f t="shared" si="3"/>
        <v>183.41406272080454</v>
      </c>
      <c r="R10" s="397"/>
      <c r="S10" s="397"/>
      <c r="T10" s="397"/>
      <c r="U10" s="397"/>
      <c r="V10" s="397"/>
      <c r="W10" s="397"/>
      <c r="X10" s="397"/>
      <c r="Y10" s="397"/>
      <c r="Z10" s="397"/>
      <c r="AA10" s="397"/>
      <c r="AB10" s="648"/>
      <c r="AC10" s="648"/>
      <c r="AD10" s="377"/>
      <c r="AE10" s="377"/>
      <c r="AF10" s="377"/>
      <c r="AG10" s="377"/>
      <c r="AH10" s="377"/>
      <c r="AI10" s="377"/>
      <c r="AJ10" s="377"/>
      <c r="AK10" s="377"/>
      <c r="AL10" s="377"/>
      <c r="AM10" s="377"/>
      <c r="AN10" s="377"/>
      <c r="AO10" s="377"/>
      <c r="AP10" s="377"/>
      <c r="AQ10" s="377"/>
      <c r="AR10" s="377"/>
      <c r="AS10" s="377"/>
      <c r="AT10" s="377"/>
    </row>
    <row r="11" spans="2:46" s="22" customFormat="1" ht="15.75" customHeight="1">
      <c r="B11" s="53" t="s">
        <v>203</v>
      </c>
      <c r="C11" s="380">
        <v>204.15279983555058</v>
      </c>
      <c r="D11" s="380">
        <v>290.36895454054587</v>
      </c>
      <c r="E11" s="380">
        <v>217.17736414688881</v>
      </c>
      <c r="F11" s="380">
        <v>397.65525544327801</v>
      </c>
      <c r="G11" s="380">
        <v>195.18521229698376</v>
      </c>
      <c r="H11" s="380">
        <v>386.44084813733855</v>
      </c>
      <c r="I11" s="380">
        <v>205.05762532232222</v>
      </c>
      <c r="J11" s="380">
        <v>333.86352384336192</v>
      </c>
      <c r="K11" s="364">
        <f t="shared" si="0"/>
        <v>62.814488521738525</v>
      </c>
      <c r="M11" s="300"/>
      <c r="N11" s="381" t="s">
        <v>663</v>
      </c>
      <c r="O11" s="573">
        <f t="shared" si="1"/>
        <v>217.17736414688881</v>
      </c>
      <c r="P11" s="573">
        <f t="shared" si="2"/>
        <v>195.18521229698376</v>
      </c>
      <c r="Q11" s="572">
        <f t="shared" si="3"/>
        <v>204.15279983555058</v>
      </c>
      <c r="R11" s="397"/>
      <c r="S11" s="397"/>
      <c r="T11" s="397"/>
      <c r="U11" s="397"/>
      <c r="V11" s="397"/>
      <c r="W11" s="397"/>
      <c r="X11" s="397"/>
      <c r="Y11" s="397"/>
      <c r="Z11" s="397"/>
      <c r="AA11" s="397"/>
      <c r="AB11" s="648"/>
      <c r="AC11" s="648"/>
      <c r="AD11" s="377"/>
      <c r="AE11" s="377"/>
      <c r="AF11" s="377"/>
      <c r="AG11" s="377"/>
      <c r="AH11" s="377"/>
      <c r="AI11" s="377"/>
      <c r="AJ11" s="377"/>
      <c r="AK11" s="377"/>
      <c r="AL11" s="377"/>
      <c r="AM11" s="377"/>
      <c r="AN11" s="377"/>
      <c r="AO11" s="377"/>
      <c r="AP11" s="377"/>
      <c r="AQ11" s="377"/>
      <c r="AR11" s="377"/>
      <c r="AS11" s="377"/>
      <c r="AT11" s="377"/>
    </row>
    <row r="12" spans="2:46" s="22" customFormat="1" ht="15.75" customHeight="1">
      <c r="B12" s="53" t="s">
        <v>204</v>
      </c>
      <c r="C12" s="380">
        <v>210.65756835698585</v>
      </c>
      <c r="D12" s="380">
        <v>350.13848762681442</v>
      </c>
      <c r="E12" s="380">
        <v>204.15676618910891</v>
      </c>
      <c r="F12" s="380">
        <v>399.84846382464059</v>
      </c>
      <c r="G12" s="380">
        <v>206.0752893210522</v>
      </c>
      <c r="H12" s="380">
        <v>389.23358922477922</v>
      </c>
      <c r="I12" s="380">
        <v>208.69301977498188</v>
      </c>
      <c r="J12" s="380">
        <v>348.02108258961721</v>
      </c>
      <c r="K12" s="364">
        <f t="shared" si="0"/>
        <v>66.76220554231395</v>
      </c>
      <c r="M12" s="300"/>
      <c r="N12" s="381">
        <v>44317</v>
      </c>
      <c r="O12" s="573">
        <f t="shared" si="1"/>
        <v>204.15676618910891</v>
      </c>
      <c r="P12" s="573">
        <f t="shared" si="2"/>
        <v>206.0752893210522</v>
      </c>
      <c r="Q12" s="572">
        <f t="shared" si="3"/>
        <v>210.65756835698585</v>
      </c>
      <c r="R12" s="397"/>
      <c r="S12" s="397"/>
      <c r="T12" s="300"/>
      <c r="U12" s="300"/>
      <c r="V12" s="397"/>
      <c r="W12" s="397"/>
      <c r="X12" s="397"/>
      <c r="Y12" s="397"/>
      <c r="Z12" s="397"/>
      <c r="AA12" s="397"/>
      <c r="AB12" s="648"/>
      <c r="AC12" s="648"/>
      <c r="AD12" s="377"/>
      <c r="AE12" s="377"/>
      <c r="AF12" s="377"/>
      <c r="AG12" s="377"/>
      <c r="AH12" s="377"/>
      <c r="AI12" s="377"/>
      <c r="AJ12" s="377"/>
      <c r="AK12" s="377"/>
      <c r="AL12" s="377"/>
      <c r="AM12" s="377"/>
      <c r="AN12" s="377"/>
      <c r="AO12" s="377"/>
      <c r="AP12" s="377"/>
      <c r="AQ12" s="377"/>
      <c r="AR12" s="377"/>
      <c r="AS12" s="377"/>
      <c r="AT12" s="377"/>
    </row>
    <row r="13" spans="2:46" s="22" customFormat="1" ht="15.75" customHeight="1">
      <c r="B13" s="53" t="s">
        <v>205</v>
      </c>
      <c r="C13" s="380">
        <v>209.66826032490411</v>
      </c>
      <c r="D13" s="380">
        <v>358.36082903826508</v>
      </c>
      <c r="E13" s="380">
        <v>214.82520559874493</v>
      </c>
      <c r="F13" s="380">
        <v>438.76759809033916</v>
      </c>
      <c r="G13" s="380">
        <v>215.4115169975104</v>
      </c>
      <c r="H13" s="380">
        <v>438.76759809033916</v>
      </c>
      <c r="I13" s="380">
        <v>209.33781443581296</v>
      </c>
      <c r="J13" s="380">
        <v>398.45727520959827</v>
      </c>
      <c r="K13" s="364">
        <f t="shared" si="0"/>
        <v>90.341757547952739</v>
      </c>
      <c r="L13" s="413"/>
      <c r="M13" s="300"/>
      <c r="N13" s="381" t="s">
        <v>663</v>
      </c>
      <c r="O13" s="11"/>
      <c r="P13" s="573">
        <f t="shared" si="2"/>
        <v>215.4115169975104</v>
      </c>
      <c r="Q13" s="572">
        <f t="shared" si="3"/>
        <v>209.66826032490411</v>
      </c>
      <c r="R13" s="397"/>
      <c r="S13" s="397"/>
      <c r="T13" s="396"/>
      <c r="U13" s="396"/>
      <c r="V13" s="397"/>
      <c r="W13" s="300"/>
      <c r="X13" s="300"/>
      <c r="Y13" s="397"/>
      <c r="Z13" s="397"/>
      <c r="AA13" s="397"/>
      <c r="AB13" s="648"/>
      <c r="AC13" s="648"/>
      <c r="AD13" s="377"/>
      <c r="AE13" s="377"/>
      <c r="AF13" s="377"/>
      <c r="AG13" s="377"/>
      <c r="AH13" s="377"/>
      <c r="AI13" s="377"/>
      <c r="AJ13" s="377"/>
      <c r="AK13" s="377"/>
      <c r="AL13" s="377"/>
      <c r="AM13" s="377"/>
      <c r="AN13" s="377"/>
      <c r="AO13" s="377"/>
      <c r="AP13" s="377"/>
      <c r="AQ13" s="377"/>
      <c r="AR13" s="377"/>
      <c r="AS13" s="377"/>
      <c r="AT13" s="377"/>
    </row>
    <row r="14" spans="2:46" s="22" customFormat="1" ht="15.75" customHeight="1">
      <c r="B14" s="53" t="s">
        <v>206</v>
      </c>
      <c r="C14" s="380">
        <v>220.76350792425433</v>
      </c>
      <c r="D14" s="380">
        <v>478.33443848605827</v>
      </c>
      <c r="E14" s="380">
        <v>224.71672620383583</v>
      </c>
      <c r="F14" s="380">
        <v>508.83957840154892</v>
      </c>
      <c r="G14" s="380">
        <v>224.52085389448848</v>
      </c>
      <c r="H14" s="380">
        <v>492.85101014629925</v>
      </c>
      <c r="I14" s="380">
        <v>222.56568284165644</v>
      </c>
      <c r="J14" s="380">
        <v>484.19614182236052</v>
      </c>
      <c r="K14" s="364">
        <f t="shared" si="0"/>
        <v>117.55202133602967</v>
      </c>
      <c r="M14" s="300"/>
      <c r="N14" s="381" t="s">
        <v>663</v>
      </c>
      <c r="O14" s="573">
        <f t="shared" si="1"/>
        <v>224.71672620383583</v>
      </c>
      <c r="P14" s="573">
        <f t="shared" si="2"/>
        <v>224.52085389448848</v>
      </c>
      <c r="Q14" s="572">
        <f t="shared" si="3"/>
        <v>220.76350792425433</v>
      </c>
      <c r="R14" s="397"/>
      <c r="S14" s="397"/>
      <c r="T14" s="397"/>
      <c r="U14" s="397"/>
      <c r="V14" s="300"/>
      <c r="W14" s="300"/>
      <c r="X14" s="396"/>
      <c r="Y14" s="300"/>
      <c r="Z14" s="300"/>
      <c r="AA14" s="397"/>
      <c r="AB14" s="648"/>
      <c r="AC14" s="648"/>
      <c r="AD14" s="377"/>
      <c r="AE14" s="377"/>
      <c r="AF14" s="377"/>
      <c r="AG14" s="377"/>
      <c r="AH14" s="377"/>
      <c r="AI14" s="377"/>
      <c r="AJ14" s="377"/>
      <c r="AK14" s="377"/>
      <c r="AL14" s="377"/>
      <c r="AM14" s="377"/>
      <c r="AN14" s="377"/>
      <c r="AO14" s="377"/>
      <c r="AP14" s="377"/>
      <c r="AQ14" s="377"/>
      <c r="AR14" s="377"/>
      <c r="AS14" s="377"/>
      <c r="AT14" s="377"/>
    </row>
    <row r="15" spans="2:46" s="22" customFormat="1" ht="15.75" customHeight="1">
      <c r="B15" s="53" t="s">
        <v>207</v>
      </c>
      <c r="C15" s="380">
        <v>241.25919977991967</v>
      </c>
      <c r="D15" s="380"/>
      <c r="E15" s="380">
        <v>251.7965352415338</v>
      </c>
      <c r="F15" s="380"/>
      <c r="G15" s="380">
        <v>242.16923152955016</v>
      </c>
      <c r="H15" s="380"/>
      <c r="I15" s="380">
        <v>248.42215999538408</v>
      </c>
      <c r="J15" s="380"/>
      <c r="K15" s="364"/>
      <c r="M15" s="300"/>
      <c r="N15" s="381">
        <v>44409</v>
      </c>
      <c r="O15" s="573">
        <f t="shared" si="1"/>
        <v>251.7965352415338</v>
      </c>
      <c r="P15" s="573">
        <f t="shared" si="2"/>
        <v>242.16923152955016</v>
      </c>
      <c r="Q15" s="572">
        <f t="shared" si="3"/>
        <v>241.25919977991967</v>
      </c>
      <c r="R15" s="397"/>
      <c r="S15" s="397"/>
      <c r="T15" s="397"/>
      <c r="U15" s="397"/>
      <c r="V15" s="396"/>
      <c r="W15" s="396"/>
      <c r="X15" s="397"/>
      <c r="Y15" s="396"/>
      <c r="Z15" s="396"/>
      <c r="AA15" s="397"/>
      <c r="AB15" s="648"/>
      <c r="AC15" s="648"/>
      <c r="AD15" s="377"/>
      <c r="AE15" s="377"/>
      <c r="AF15" s="377"/>
      <c r="AG15" s="377"/>
      <c r="AH15" s="377"/>
      <c r="AI15" s="377"/>
      <c r="AJ15" s="377"/>
      <c r="AK15" s="377"/>
      <c r="AL15" s="377"/>
      <c r="AM15" s="377"/>
      <c r="AN15" s="377"/>
      <c r="AO15" s="377"/>
      <c r="AP15" s="377"/>
      <c r="AQ15" s="377"/>
      <c r="AR15" s="377"/>
      <c r="AS15" s="377"/>
      <c r="AT15" s="377"/>
    </row>
    <row r="16" spans="2:46" ht="15.75" customHeight="1">
      <c r="B16" s="53" t="s">
        <v>208</v>
      </c>
      <c r="C16" s="380">
        <v>254.62518425105466</v>
      </c>
      <c r="D16" s="380"/>
      <c r="E16" s="380">
        <v>291.05351928467002</v>
      </c>
      <c r="F16" s="380"/>
      <c r="G16" s="380">
        <v>236.72206263368295</v>
      </c>
      <c r="H16" s="380"/>
      <c r="I16" s="380">
        <v>257.7661227506569</v>
      </c>
      <c r="J16" s="380"/>
      <c r="K16" s="364"/>
      <c r="M16" s="692"/>
      <c r="N16" s="381">
        <v>44440</v>
      </c>
      <c r="O16" s="573">
        <f t="shared" si="1"/>
        <v>291.05351928467002</v>
      </c>
      <c r="P16" s="573">
        <f t="shared" si="2"/>
        <v>236.72206263368295</v>
      </c>
      <c r="Q16" s="572">
        <f t="shared" si="3"/>
        <v>254.62518425105466</v>
      </c>
      <c r="R16" s="397"/>
      <c r="S16" s="397"/>
      <c r="T16" s="397"/>
      <c r="U16" s="397"/>
      <c r="V16" s="397"/>
      <c r="W16" s="397"/>
      <c r="X16" s="397"/>
      <c r="Y16" s="397"/>
      <c r="Z16" s="397"/>
      <c r="AA16" s="397"/>
      <c r="AB16" s="648"/>
      <c r="AC16" s="648"/>
    </row>
    <row r="17" spans="1:38" ht="15.75" customHeight="1">
      <c r="B17" s="53" t="s">
        <v>209</v>
      </c>
      <c r="C17" s="380">
        <v>259.79918706588194</v>
      </c>
      <c r="D17" s="380"/>
      <c r="E17" s="380"/>
      <c r="F17" s="380"/>
      <c r="G17" s="380">
        <v>246.77399957362135</v>
      </c>
      <c r="H17" s="380"/>
      <c r="I17" s="380">
        <v>258.87184680399889</v>
      </c>
      <c r="J17" s="380"/>
      <c r="K17" s="364"/>
      <c r="M17" s="692"/>
      <c r="N17" s="381">
        <v>44470</v>
      </c>
      <c r="O17" s="573"/>
      <c r="P17" s="573">
        <f t="shared" si="2"/>
        <v>246.77399957362135</v>
      </c>
      <c r="Q17" s="572">
        <f t="shared" si="3"/>
        <v>259.79918706588194</v>
      </c>
      <c r="R17" s="397"/>
      <c r="S17" s="397"/>
      <c r="T17" s="397"/>
      <c r="U17" s="397"/>
      <c r="V17" s="397"/>
      <c r="W17" s="397"/>
      <c r="X17" s="397"/>
      <c r="Y17" s="397"/>
      <c r="Z17" s="397"/>
      <c r="AA17" s="397"/>
      <c r="AB17" s="648"/>
      <c r="AC17" s="648"/>
    </row>
    <row r="18" spans="1:38" ht="15.75" customHeight="1">
      <c r="B18" s="53" t="s">
        <v>193</v>
      </c>
      <c r="C18" s="380">
        <v>269.92286061216396</v>
      </c>
      <c r="D18" s="380"/>
      <c r="E18" s="380">
        <v>314.47832685103737</v>
      </c>
      <c r="F18" s="380"/>
      <c r="G18" s="380">
        <v>297.82257417658997</v>
      </c>
      <c r="H18" s="380"/>
      <c r="I18" s="380">
        <v>285.22992451601266</v>
      </c>
      <c r="J18" s="380"/>
      <c r="K18" s="364"/>
      <c r="M18" s="693"/>
      <c r="N18" s="381">
        <v>44501</v>
      </c>
      <c r="O18" s="573">
        <f t="shared" si="1"/>
        <v>314.47832685103737</v>
      </c>
      <c r="P18" s="573">
        <f t="shared" si="2"/>
        <v>297.82257417658997</v>
      </c>
      <c r="Q18" s="572">
        <f t="shared" si="3"/>
        <v>269.92286061216396</v>
      </c>
      <c r="R18" s="397"/>
      <c r="S18" s="397"/>
      <c r="T18" s="397"/>
      <c r="U18" s="397"/>
      <c r="V18" s="397"/>
      <c r="W18" s="397"/>
      <c r="X18" s="397"/>
      <c r="Y18" s="397"/>
      <c r="Z18" s="397"/>
      <c r="AA18" s="397"/>
      <c r="AB18" s="648"/>
      <c r="AC18" s="648"/>
    </row>
    <row r="19" spans="1:38" ht="15.75" customHeight="1">
      <c r="B19" s="53" t="s">
        <v>194</v>
      </c>
      <c r="C19" s="380">
        <v>294.84701899390365</v>
      </c>
      <c r="D19" s="380"/>
      <c r="E19" s="380">
        <v>365.18341981231845</v>
      </c>
      <c r="F19" s="380"/>
      <c r="G19" s="380">
        <v>349.62283716758714</v>
      </c>
      <c r="H19" s="380"/>
      <c r="I19" s="380">
        <v>327.59651989061945</v>
      </c>
      <c r="J19" s="380"/>
      <c r="K19" s="364"/>
      <c r="M19" s="692"/>
      <c r="N19" s="381">
        <v>44531</v>
      </c>
      <c r="O19" s="573">
        <f t="shared" si="1"/>
        <v>365.18341981231845</v>
      </c>
      <c r="P19" s="573">
        <f t="shared" si="2"/>
        <v>349.62283716758714</v>
      </c>
      <c r="Q19" s="572">
        <f t="shared" si="3"/>
        <v>294.84701899390365</v>
      </c>
      <c r="R19" s="300"/>
      <c r="S19" s="300"/>
      <c r="T19" s="397"/>
      <c r="U19" s="397"/>
      <c r="V19" s="397"/>
      <c r="W19" s="397"/>
      <c r="X19" s="397"/>
      <c r="Y19" s="397"/>
      <c r="Z19" s="397"/>
      <c r="AA19" s="397"/>
      <c r="AB19" s="648"/>
      <c r="AC19" s="648"/>
    </row>
    <row r="20" spans="1:38" ht="32.25" customHeight="1">
      <c r="B20" s="849" t="s">
        <v>725</v>
      </c>
      <c r="C20" s="850"/>
      <c r="D20" s="850"/>
      <c r="E20" s="850"/>
      <c r="F20" s="850"/>
      <c r="G20" s="850"/>
      <c r="H20" s="850"/>
      <c r="I20" s="850"/>
      <c r="J20" s="850"/>
      <c r="K20" s="851"/>
      <c r="N20" s="381">
        <v>44562</v>
      </c>
      <c r="O20" s="573">
        <f>F8</f>
        <v>334.78748379969153</v>
      </c>
      <c r="P20" s="573">
        <f>H8</f>
        <v>329.87203343459709</v>
      </c>
      <c r="Q20" s="573">
        <f>D8</f>
        <v>267.76866535875007</v>
      </c>
      <c r="R20" s="300"/>
      <c r="S20" s="300"/>
      <c r="T20" s="397"/>
      <c r="U20" s="397"/>
      <c r="V20" s="397"/>
      <c r="W20" s="397"/>
      <c r="X20" s="397"/>
      <c r="Y20" s="397"/>
      <c r="Z20" s="397"/>
      <c r="AA20" s="614"/>
      <c r="AB20" s="650"/>
    </row>
    <row r="21" spans="1:38" ht="15" customHeight="1">
      <c r="D21" s="299"/>
      <c r="F21" s="299"/>
      <c r="H21" s="299"/>
      <c r="J21" s="299"/>
      <c r="N21" s="381">
        <v>44593</v>
      </c>
      <c r="O21" s="573">
        <f t="shared" ref="O21" si="4">F9</f>
        <v>320.85771562139672</v>
      </c>
      <c r="P21" s="573">
        <f t="shared" ref="P21" si="5">H9</f>
        <v>321.81557368402815</v>
      </c>
      <c r="Q21" s="573">
        <f t="shared" ref="Q21" si="6">D9</f>
        <v>283.74659203941059</v>
      </c>
      <c r="R21" s="300"/>
      <c r="S21" s="300"/>
      <c r="T21" s="397"/>
      <c r="U21" s="397"/>
      <c r="V21" s="397"/>
      <c r="W21" s="397"/>
      <c r="X21" s="397"/>
      <c r="Y21" s="397"/>
      <c r="Z21" s="397"/>
    </row>
    <row r="22" spans="1:38" ht="27" customHeight="1">
      <c r="M22" s="694"/>
      <c r="N22" s="381">
        <v>44621</v>
      </c>
      <c r="O22" s="573">
        <f>F10</f>
        <v>321.00137457112265</v>
      </c>
      <c r="P22" s="573">
        <f>H10</f>
        <v>348.01290512199125</v>
      </c>
      <c r="Q22" s="573">
        <f>D10</f>
        <v>278.05501162064633</v>
      </c>
      <c r="R22" s="300"/>
      <c r="S22" s="300"/>
      <c r="T22" s="300"/>
      <c r="U22" s="300"/>
      <c r="V22" s="397"/>
      <c r="W22" s="397"/>
      <c r="X22" s="397"/>
      <c r="Y22" s="397"/>
      <c r="Z22" s="397"/>
    </row>
    <row r="23" spans="1:38" ht="15" customHeight="1">
      <c r="N23" s="381">
        <v>44652</v>
      </c>
      <c r="O23" s="573">
        <f>F11</f>
        <v>397.65525544327801</v>
      </c>
      <c r="P23" s="573">
        <f>H11</f>
        <v>386.44084813733855</v>
      </c>
      <c r="Q23" s="573">
        <f>D11</f>
        <v>290.36895454054587</v>
      </c>
      <c r="R23" s="300"/>
      <c r="S23" s="300"/>
      <c r="T23" s="300"/>
      <c r="U23" s="300"/>
      <c r="V23" s="397"/>
      <c r="W23" s="397"/>
      <c r="Y23" s="397"/>
      <c r="Z23" s="397"/>
    </row>
    <row r="24" spans="1:38" ht="15" customHeight="1">
      <c r="N24" s="381">
        <v>44682</v>
      </c>
      <c r="O24" s="573">
        <f>F12</f>
        <v>399.84846382464059</v>
      </c>
      <c r="P24" s="573">
        <f>H12</f>
        <v>389.23358922477922</v>
      </c>
      <c r="Q24" s="573">
        <f>D12</f>
        <v>350.13848762681442</v>
      </c>
      <c r="R24" s="300"/>
      <c r="S24" s="300"/>
      <c r="T24" s="300"/>
      <c r="U24" s="300"/>
      <c r="V24" s="300"/>
    </row>
    <row r="25" spans="1:38" ht="15" customHeight="1">
      <c r="N25" s="381">
        <v>44713</v>
      </c>
      <c r="O25" s="573">
        <f>F13</f>
        <v>438.76759809033916</v>
      </c>
      <c r="P25" s="573">
        <f>H13</f>
        <v>438.76759809033916</v>
      </c>
      <c r="Q25" s="573">
        <f>D13</f>
        <v>358.36082903826508</v>
      </c>
      <c r="R25" s="300"/>
      <c r="S25" s="300"/>
      <c r="T25" s="300"/>
      <c r="U25" s="300"/>
      <c r="V25" s="300"/>
    </row>
    <row r="26" spans="1:38" ht="15" customHeight="1">
      <c r="N26" s="381">
        <v>44743</v>
      </c>
      <c r="R26" s="300"/>
      <c r="S26" s="300"/>
      <c r="T26" s="300"/>
      <c r="U26" s="300"/>
      <c r="V26" s="300"/>
      <c r="AG26" s="637"/>
      <c r="AH26" s="637"/>
      <c r="AI26" s="637"/>
      <c r="AJ26" s="637"/>
      <c r="AK26" s="637"/>
      <c r="AL26" s="637"/>
    </row>
    <row r="27" spans="1:38" ht="15" customHeight="1">
      <c r="N27" s="381">
        <v>44774</v>
      </c>
      <c r="R27" s="300"/>
      <c r="S27" s="300"/>
      <c r="T27" s="300"/>
      <c r="U27" s="300"/>
      <c r="V27" s="300"/>
    </row>
    <row r="28" spans="1:38" ht="17.25" customHeight="1">
      <c r="N28" s="381">
        <v>44805</v>
      </c>
    </row>
    <row r="29" spans="1:38" ht="18" customHeight="1">
      <c r="A29" s="29"/>
      <c r="B29" s="29"/>
      <c r="C29" s="29"/>
      <c r="D29" s="29"/>
      <c r="E29" s="29"/>
      <c r="F29" s="29"/>
      <c r="G29" s="29"/>
      <c r="H29" s="29"/>
      <c r="I29" s="29"/>
      <c r="J29" s="29"/>
      <c r="K29" s="29"/>
      <c r="L29" s="29"/>
    </row>
    <row r="30" spans="1:38" ht="15" customHeight="1">
      <c r="AG30" s="652"/>
    </row>
    <row r="31" spans="1:38" ht="15" customHeight="1">
      <c r="I31" s="13"/>
      <c r="J31" s="13"/>
      <c r="AG31" s="652"/>
    </row>
    <row r="32" spans="1:38" ht="15" customHeight="1">
      <c r="AG32" s="652"/>
    </row>
    <row r="33" spans="2:38" ht="15" customHeight="1">
      <c r="AG33" s="652"/>
    </row>
    <row r="34" spans="2:38" ht="57.75" customHeight="1">
      <c r="B34" s="847" t="s">
        <v>723</v>
      </c>
      <c r="C34" s="847"/>
      <c r="D34" s="847"/>
      <c r="E34" s="847"/>
      <c r="F34" s="847"/>
      <c r="G34" s="847"/>
      <c r="H34" s="847"/>
      <c r="I34" s="847"/>
      <c r="J34" s="847"/>
      <c r="K34" s="847"/>
      <c r="AG34" s="652"/>
      <c r="AH34" s="652"/>
      <c r="AI34" s="652"/>
      <c r="AJ34" s="652"/>
      <c r="AK34" s="652"/>
      <c r="AL34" s="652"/>
    </row>
    <row r="35" spans="2:38" ht="15" customHeight="1">
      <c r="AG35" s="652"/>
      <c r="AH35" s="652"/>
      <c r="AI35" s="652"/>
      <c r="AJ35" s="652"/>
      <c r="AK35" s="652"/>
      <c r="AL35" s="652"/>
    </row>
    <row r="36" spans="2:38" ht="15" customHeight="1">
      <c r="AG36" s="652"/>
      <c r="AH36" s="652"/>
      <c r="AI36" s="652"/>
      <c r="AJ36" s="652"/>
      <c r="AK36" s="652"/>
      <c r="AL36" s="652"/>
    </row>
    <row r="37" spans="2:38" ht="15" customHeight="1">
      <c r="AG37" s="652"/>
      <c r="AH37" s="652"/>
      <c r="AI37" s="652"/>
      <c r="AJ37" s="652"/>
      <c r="AK37" s="652"/>
      <c r="AL37" s="652"/>
    </row>
    <row r="38" spans="2:38" ht="15" customHeight="1">
      <c r="AG38" s="652"/>
      <c r="AH38" s="652"/>
      <c r="AI38" s="652"/>
      <c r="AJ38" s="652"/>
      <c r="AK38" s="652"/>
      <c r="AL38" s="652"/>
    </row>
    <row r="39" spans="2:38" ht="15" customHeight="1">
      <c r="AG39" s="652"/>
      <c r="AH39" s="652"/>
      <c r="AI39" s="652"/>
      <c r="AJ39" s="652"/>
      <c r="AK39" s="652"/>
      <c r="AL39" s="652"/>
    </row>
    <row r="40" spans="2:38" ht="15" customHeight="1">
      <c r="AG40" s="652"/>
      <c r="AH40" s="652"/>
      <c r="AI40" s="652"/>
      <c r="AJ40" s="652"/>
      <c r="AK40" s="652"/>
      <c r="AL40" s="652"/>
    </row>
    <row r="41" spans="2:38" ht="15" customHeight="1">
      <c r="AG41" s="652"/>
      <c r="AH41" s="652"/>
      <c r="AI41" s="652"/>
      <c r="AJ41" s="652"/>
      <c r="AK41" s="652"/>
      <c r="AL41" s="652"/>
    </row>
    <row r="42" spans="2:38" ht="15" customHeight="1">
      <c r="AG42" s="652"/>
      <c r="AH42" s="652"/>
      <c r="AI42" s="652"/>
      <c r="AJ42" s="652"/>
      <c r="AK42" s="652"/>
      <c r="AL42" s="652"/>
    </row>
    <row r="43" spans="2:38" ht="15" customHeight="1">
      <c r="AG43" s="652"/>
      <c r="AH43" s="652"/>
      <c r="AI43" s="652"/>
      <c r="AJ43" s="652"/>
      <c r="AK43" s="652"/>
      <c r="AL43" s="652"/>
    </row>
    <row r="44" spans="2:38" ht="15" customHeight="1">
      <c r="AG44" s="652"/>
      <c r="AH44" s="652"/>
      <c r="AI44" s="652"/>
      <c r="AJ44" s="652"/>
      <c r="AK44" s="652"/>
      <c r="AL44" s="652"/>
    </row>
    <row r="45" spans="2:38" ht="15" customHeight="1">
      <c r="AG45" s="652"/>
      <c r="AH45" s="652"/>
      <c r="AI45" s="652"/>
      <c r="AJ45" s="652"/>
      <c r="AK45" s="652"/>
      <c r="AL45" s="652"/>
    </row>
    <row r="46" spans="2:38" ht="15" customHeight="1">
      <c r="AG46" s="652"/>
    </row>
    <row r="47" spans="2:38" ht="15" customHeight="1"/>
    <row r="48" spans="2:38" ht="15" customHeight="1"/>
    <row r="49" ht="15" customHeight="1"/>
    <row r="50" ht="15" customHeight="1"/>
    <row r="51" ht="15" customHeight="1"/>
    <row r="52" ht="15" customHeight="1"/>
  </sheetData>
  <customSheetViews>
    <customSheetView guid="{5CDC6F58-B038-4A0E-A13D-C643B013E119}" topLeftCell="A16">
      <selection activeCell="E34" sqref="E34"/>
      <pageMargins left="0" right="0" top="0" bottom="0" header="0" footer="0"/>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26"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J21"/>
  <sheetViews>
    <sheetView topLeftCell="A6" zoomScaleNormal="100" workbookViewId="0">
      <selection activeCell="L9" sqref="L9"/>
    </sheetView>
  </sheetViews>
  <sheetFormatPr baseColWidth="10" defaultColWidth="10.90625" defaultRowHeight="12.75"/>
  <cols>
    <col min="1" max="1" width="2.453125" style="250" customWidth="1"/>
    <col min="2" max="2" width="8" style="250" customWidth="1"/>
    <col min="3" max="10" width="6.36328125" style="250" customWidth="1"/>
    <col min="11" max="11" width="3.08984375" style="250" customWidth="1"/>
    <col min="12" max="16384" width="10.90625" style="250"/>
  </cols>
  <sheetData>
    <row r="1" spans="2:10">
      <c r="B1" s="859" t="s">
        <v>230</v>
      </c>
      <c r="C1" s="859"/>
      <c r="D1" s="859"/>
      <c r="E1" s="859"/>
      <c r="F1" s="859"/>
      <c r="G1" s="859"/>
      <c r="H1" s="859"/>
      <c r="I1" s="859"/>
      <c r="J1" s="859"/>
    </row>
    <row r="2" spans="2:10">
      <c r="B2" s="523"/>
      <c r="C2" s="523"/>
      <c r="D2" s="523"/>
      <c r="E2" s="523"/>
      <c r="F2" s="523"/>
      <c r="G2" s="523"/>
      <c r="H2" s="523"/>
      <c r="I2" s="523"/>
      <c r="J2" s="22"/>
    </row>
    <row r="3" spans="2:10" ht="32.85" customHeight="1">
      <c r="B3" s="860" t="s">
        <v>46</v>
      </c>
      <c r="C3" s="860"/>
      <c r="D3" s="860"/>
      <c r="E3" s="860"/>
      <c r="F3" s="860"/>
      <c r="G3" s="860"/>
      <c r="H3" s="860"/>
      <c r="I3" s="860"/>
      <c r="J3" s="860"/>
    </row>
    <row r="4" spans="2:10" ht="15.75" customHeight="1">
      <c r="B4" s="839" t="s">
        <v>639</v>
      </c>
      <c r="C4" s="839"/>
      <c r="D4" s="839"/>
      <c r="E4" s="839"/>
      <c r="F4" s="839"/>
      <c r="G4" s="839"/>
      <c r="H4" s="839"/>
      <c r="I4" s="839"/>
      <c r="J4" s="839"/>
    </row>
    <row r="5" spans="2:10" ht="15.75" customHeight="1">
      <c r="B5" s="839" t="s">
        <v>231</v>
      </c>
      <c r="C5" s="839"/>
      <c r="D5" s="839"/>
      <c r="E5" s="839"/>
      <c r="F5" s="839"/>
      <c r="G5" s="839"/>
      <c r="H5" s="839"/>
      <c r="I5" s="839"/>
      <c r="J5" s="839"/>
    </row>
    <row r="6" spans="2:10" ht="103.7" customHeight="1">
      <c r="B6" s="524" t="s">
        <v>217</v>
      </c>
      <c r="C6" s="862" t="s">
        <v>218</v>
      </c>
      <c r="D6" s="862"/>
      <c r="E6" s="862" t="s">
        <v>232</v>
      </c>
      <c r="F6" s="862"/>
      <c r="G6" s="862" t="s">
        <v>220</v>
      </c>
      <c r="H6" s="862"/>
      <c r="I6" s="862" t="s">
        <v>221</v>
      </c>
      <c r="J6" s="862"/>
    </row>
    <row r="7" spans="2:10" ht="15.75" customHeight="1">
      <c r="B7" s="525" t="s">
        <v>222</v>
      </c>
      <c r="C7" s="861" t="s">
        <v>214</v>
      </c>
      <c r="D7" s="861"/>
      <c r="E7" s="861" t="s">
        <v>175</v>
      </c>
      <c r="F7" s="861"/>
      <c r="G7" s="861" t="s">
        <v>213</v>
      </c>
      <c r="H7" s="861"/>
      <c r="I7" s="861"/>
      <c r="J7" s="861"/>
    </row>
    <row r="8" spans="2:10" ht="15.75" customHeight="1">
      <c r="B8" s="526" t="s">
        <v>198</v>
      </c>
      <c r="C8" s="309">
        <v>2021</v>
      </c>
      <c r="D8" s="309">
        <v>2022</v>
      </c>
      <c r="E8" s="309">
        <v>2021</v>
      </c>
      <c r="F8" s="309">
        <v>2022</v>
      </c>
      <c r="G8" s="309">
        <v>2021</v>
      </c>
      <c r="H8" s="309">
        <v>2022</v>
      </c>
      <c r="I8" s="309">
        <v>2021</v>
      </c>
      <c r="J8" s="309">
        <v>2022</v>
      </c>
    </row>
    <row r="9" spans="2:10" ht="15.75" customHeight="1">
      <c r="B9" s="526" t="s">
        <v>200</v>
      </c>
      <c r="C9" s="312">
        <v>245.2445278345246</v>
      </c>
      <c r="D9" s="312"/>
      <c r="E9" s="312">
        <v>248.01186543838159</v>
      </c>
      <c r="F9" s="378">
        <v>324.00897825963852</v>
      </c>
      <c r="G9" s="312"/>
      <c r="H9" s="378"/>
      <c r="I9" s="312">
        <v>255.63636363636363</v>
      </c>
      <c r="J9" s="312">
        <v>321.19997128911859</v>
      </c>
    </row>
    <row r="10" spans="2:10" ht="15.75" customHeight="1">
      <c r="B10" s="526" t="s">
        <v>201</v>
      </c>
      <c r="C10" s="312">
        <v>252.68105533894033</v>
      </c>
      <c r="D10" s="312">
        <v>296.1357536544453</v>
      </c>
      <c r="E10" s="312">
        <v>265.94090111958866</v>
      </c>
      <c r="F10" s="378">
        <v>344.00532192310885</v>
      </c>
      <c r="G10" s="312">
        <v>264.48345397977863</v>
      </c>
      <c r="H10" s="378">
        <v>359.29841772049997</v>
      </c>
      <c r="I10" s="312">
        <v>264.16000000000003</v>
      </c>
      <c r="J10" s="312">
        <v>280.22000000000003</v>
      </c>
    </row>
    <row r="11" spans="2:10" ht="15.75" customHeight="1">
      <c r="B11" s="526" t="s">
        <v>202</v>
      </c>
      <c r="C11" s="312">
        <v>253.02971221428484</v>
      </c>
      <c r="D11" s="312"/>
      <c r="E11" s="312">
        <v>245.65849265563682</v>
      </c>
      <c r="F11" s="378">
        <v>335.76538581121855</v>
      </c>
      <c r="G11" s="312">
        <v>264.48205999999999</v>
      </c>
      <c r="H11" s="378">
        <v>351.53667691885516</v>
      </c>
      <c r="I11" s="312">
        <v>296.8</v>
      </c>
      <c r="J11" s="312">
        <v>287.62251299826693</v>
      </c>
    </row>
    <row r="12" spans="2:10" ht="15.75" customHeight="1">
      <c r="B12" s="526" t="s">
        <v>203</v>
      </c>
      <c r="C12" s="330">
        <v>252.73505677019799</v>
      </c>
      <c r="D12" s="312"/>
      <c r="E12" s="312">
        <v>286.84215991973826</v>
      </c>
      <c r="F12" s="312">
        <v>360.2739108424625</v>
      </c>
      <c r="G12" s="312">
        <v>291.41221234543264</v>
      </c>
      <c r="H12" s="312">
        <v>342.70712123206528</v>
      </c>
      <c r="I12" s="312">
        <v>298.74</v>
      </c>
      <c r="J12" s="312">
        <v>313.37192857142855</v>
      </c>
    </row>
    <row r="13" spans="2:10" ht="15.75" customHeight="1">
      <c r="B13" s="526" t="s">
        <v>204</v>
      </c>
      <c r="C13" s="312"/>
      <c r="D13" s="312"/>
      <c r="E13" s="312">
        <v>296.73973407069832</v>
      </c>
      <c r="F13" s="312">
        <v>348.65271282650826</v>
      </c>
      <c r="G13" s="312">
        <v>293.55708723437266</v>
      </c>
      <c r="H13" s="312">
        <v>424.54593339143747</v>
      </c>
      <c r="I13" s="312">
        <v>298.74</v>
      </c>
      <c r="J13" s="312">
        <v>309.97490147783253</v>
      </c>
    </row>
    <row r="14" spans="2:10" ht="15.75" customHeight="1">
      <c r="B14" s="526" t="s">
        <v>205</v>
      </c>
      <c r="C14" s="312"/>
      <c r="D14" s="312"/>
      <c r="E14" s="312">
        <v>292.59709655156826</v>
      </c>
      <c r="F14" s="312">
        <v>431.79332035633144</v>
      </c>
      <c r="G14" s="312">
        <v>287.77029222468747</v>
      </c>
      <c r="H14" s="312">
        <v>391.92641924711592</v>
      </c>
      <c r="I14" s="312"/>
      <c r="J14" s="312">
        <v>305.31321428571425</v>
      </c>
    </row>
    <row r="15" spans="2:10" ht="15.75" customHeight="1">
      <c r="B15" s="526" t="s">
        <v>206</v>
      </c>
      <c r="C15" s="312"/>
      <c r="D15" s="312"/>
      <c r="E15" s="312">
        <v>286.655369874163</v>
      </c>
      <c r="F15" s="312">
        <v>503.54362982265161</v>
      </c>
      <c r="G15" s="312">
        <v>299.99107440423677</v>
      </c>
      <c r="H15" s="312">
        <v>500.37335057085653</v>
      </c>
      <c r="I15" s="312">
        <v>287.45999999999998</v>
      </c>
      <c r="J15" s="312">
        <v>374.88505494505495</v>
      </c>
    </row>
    <row r="16" spans="2:10" ht="15.75" customHeight="1">
      <c r="B16" s="526" t="s">
        <v>207</v>
      </c>
      <c r="C16" s="312"/>
      <c r="D16" s="312"/>
      <c r="E16" s="312">
        <v>316.09199537806018</v>
      </c>
      <c r="F16" s="378"/>
      <c r="G16" s="312">
        <v>303.16879538667814</v>
      </c>
      <c r="H16" s="378"/>
      <c r="I16" s="312">
        <v>287.45999999999998</v>
      </c>
      <c r="J16" s="312"/>
    </row>
    <row r="17" spans="2:10" ht="15.75" customHeight="1">
      <c r="B17" s="526" t="s">
        <v>208</v>
      </c>
      <c r="C17" s="312"/>
      <c r="D17" s="312"/>
      <c r="E17" s="312">
        <v>325.43502984297066</v>
      </c>
      <c r="F17" s="378"/>
      <c r="G17" s="312"/>
      <c r="H17" s="378"/>
      <c r="I17" s="312">
        <v>303.95377932515538</v>
      </c>
      <c r="J17" s="312"/>
    </row>
    <row r="18" spans="2:10" ht="15.75" customHeight="1">
      <c r="B18" s="526" t="s">
        <v>209</v>
      </c>
      <c r="C18" s="312"/>
      <c r="D18" s="312"/>
      <c r="E18" s="312">
        <v>321.69534860559958</v>
      </c>
      <c r="F18" s="378"/>
      <c r="G18" s="312">
        <v>314.03975673801369</v>
      </c>
      <c r="H18" s="378"/>
      <c r="I18" s="312">
        <v>344.17999036313466</v>
      </c>
      <c r="J18" s="312"/>
    </row>
    <row r="19" spans="2:10" ht="15.75" customHeight="1">
      <c r="B19" s="526" t="s">
        <v>193</v>
      </c>
      <c r="C19" s="312"/>
      <c r="D19" s="312"/>
      <c r="E19" s="312">
        <v>335.78767750184187</v>
      </c>
      <c r="F19" s="378"/>
      <c r="G19" s="312">
        <v>325.17170713746373</v>
      </c>
      <c r="H19" s="378"/>
      <c r="I19" s="312">
        <v>320.5096880984064</v>
      </c>
      <c r="J19" s="312"/>
    </row>
    <row r="20" spans="2:10" ht="15.75" customHeight="1">
      <c r="B20" s="526" t="s">
        <v>194</v>
      </c>
      <c r="C20" s="312"/>
      <c r="D20" s="312"/>
      <c r="E20" s="312">
        <v>347.48302512812751</v>
      </c>
      <c r="F20" s="378"/>
      <c r="G20" s="312">
        <v>346.690000592643</v>
      </c>
      <c r="H20" s="378"/>
      <c r="I20" s="312">
        <v>311.94</v>
      </c>
      <c r="J20" s="312"/>
    </row>
    <row r="21" spans="2:10" ht="29.1" customHeight="1">
      <c r="B21" s="792" t="s">
        <v>723</v>
      </c>
      <c r="C21" s="792"/>
      <c r="D21" s="792"/>
      <c r="E21" s="792"/>
      <c r="F21" s="792"/>
      <c r="G21" s="792"/>
      <c r="H21" s="792"/>
      <c r="I21" s="792"/>
      <c r="J21" s="792"/>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0866141732283472" right="0.70866141732283472" top="0.74803149606299213" bottom="0.74803149606299213" header="0.31496062992125984" footer="0.31496062992125984"/>
  <pageSetup paperSize="126" orientation="portrait" r:id="rId1"/>
  <headerFooter>
    <oddFooter>&amp;C&amp;10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D93"/>
  <sheetViews>
    <sheetView topLeftCell="A12" zoomScaleNormal="100" zoomScaleSheetLayoutView="75" workbookViewId="0">
      <selection activeCell="M16" sqref="M16"/>
    </sheetView>
  </sheetViews>
  <sheetFormatPr baseColWidth="10" defaultColWidth="7.26953125" defaultRowHeight="12"/>
  <cols>
    <col min="1" max="1" width="1.26953125" style="1" customWidth="1"/>
    <col min="2" max="2" width="6.90625" style="1" customWidth="1"/>
    <col min="3" max="3" width="5.453125" style="1" customWidth="1"/>
    <col min="4" max="4" width="6.1796875" style="1" bestFit="1" customWidth="1"/>
    <col min="5" max="5" width="5.453125" style="1" customWidth="1"/>
    <col min="6" max="6" width="6.1796875" style="1" bestFit="1" customWidth="1"/>
    <col min="7" max="7" width="5.453125" style="1" customWidth="1"/>
    <col min="8" max="8" width="6.1796875" style="1" bestFit="1" customWidth="1"/>
    <col min="9" max="9" width="5.453125" style="1" customWidth="1"/>
    <col min="10" max="10" width="6.1796875" style="1" bestFit="1" customWidth="1"/>
    <col min="11" max="11" width="7.36328125" style="1" customWidth="1"/>
    <col min="12" max="12" width="8.453125" style="373" customWidth="1"/>
    <col min="13" max="13" width="7.26953125" style="373"/>
    <col min="14" max="15" width="7.26953125" style="373" customWidth="1"/>
    <col min="16" max="16" width="7.26953125" style="373"/>
    <col min="17" max="18" width="7.453125" style="373" bestFit="1" customWidth="1"/>
    <col min="19" max="23" width="7.26953125" style="373"/>
    <col min="24" max="30" width="7.26953125" style="637"/>
    <col min="31" max="16384" width="7.26953125" style="1"/>
  </cols>
  <sheetData>
    <row r="1" spans="2:30" s="15" customFormat="1" ht="12.75">
      <c r="B1" s="767" t="s">
        <v>233</v>
      </c>
      <c r="C1" s="767"/>
      <c r="D1" s="767"/>
      <c r="E1" s="767"/>
      <c r="F1" s="767"/>
      <c r="G1" s="767"/>
      <c r="H1" s="767"/>
      <c r="I1" s="767"/>
      <c r="J1" s="767"/>
      <c r="K1" s="767"/>
      <c r="L1" s="308"/>
      <c r="M1" s="308"/>
      <c r="N1" s="308"/>
      <c r="O1" s="308"/>
      <c r="P1" s="308"/>
      <c r="Q1" s="308"/>
      <c r="R1" s="308"/>
      <c r="S1" s="308"/>
      <c r="T1" s="308"/>
      <c r="U1" s="308"/>
      <c r="V1" s="308"/>
      <c r="W1" s="308"/>
      <c r="X1" s="654"/>
      <c r="Y1" s="654"/>
      <c r="Z1" s="654"/>
      <c r="AA1" s="654"/>
      <c r="AB1" s="654"/>
      <c r="AC1" s="654"/>
      <c r="AD1" s="654"/>
    </row>
    <row r="2" spans="2:30" s="15" customFormat="1" ht="12.75">
      <c r="L2" s="308"/>
      <c r="M2" s="308"/>
      <c r="N2" s="308"/>
      <c r="O2" s="308"/>
      <c r="P2" s="308"/>
      <c r="Q2" s="308"/>
      <c r="R2" s="308"/>
      <c r="S2" s="308"/>
      <c r="T2" s="308"/>
      <c r="U2" s="308"/>
      <c r="V2" s="308"/>
      <c r="W2" s="308"/>
      <c r="X2" s="654"/>
      <c r="Y2" s="654"/>
      <c r="Z2" s="654"/>
      <c r="AA2" s="654"/>
      <c r="AB2" s="654"/>
      <c r="AC2" s="654"/>
      <c r="AD2" s="654"/>
    </row>
    <row r="3" spans="2:30" s="15" customFormat="1" ht="12.75">
      <c r="B3" s="767" t="s">
        <v>234</v>
      </c>
      <c r="C3" s="767"/>
      <c r="D3" s="767"/>
      <c r="E3" s="767"/>
      <c r="F3" s="767"/>
      <c r="G3" s="767"/>
      <c r="H3" s="767"/>
      <c r="I3" s="767"/>
      <c r="J3" s="767"/>
      <c r="K3" s="767"/>
      <c r="L3" s="308"/>
      <c r="M3" s="308"/>
      <c r="N3" s="308"/>
      <c r="O3" s="308"/>
      <c r="P3" s="308"/>
      <c r="Q3" s="308"/>
      <c r="R3" s="308"/>
      <c r="S3" s="308"/>
      <c r="T3" s="308"/>
      <c r="U3" s="308"/>
      <c r="V3" s="308"/>
      <c r="W3" s="308"/>
      <c r="X3" s="654"/>
      <c r="Y3" s="654"/>
      <c r="Z3" s="654"/>
      <c r="AA3" s="654"/>
      <c r="AB3" s="654"/>
      <c r="AC3" s="654"/>
      <c r="AD3" s="654"/>
    </row>
    <row r="4" spans="2:30" s="15" customFormat="1" ht="12.75">
      <c r="B4" s="767" t="s">
        <v>639</v>
      </c>
      <c r="C4" s="767"/>
      <c r="D4" s="767"/>
      <c r="E4" s="767"/>
      <c r="F4" s="767"/>
      <c r="G4" s="767"/>
      <c r="H4" s="767"/>
      <c r="I4" s="767"/>
      <c r="J4" s="767"/>
      <c r="K4" s="767"/>
      <c r="L4" s="308"/>
      <c r="M4" s="308"/>
      <c r="N4" s="308"/>
      <c r="O4" s="308"/>
      <c r="P4" s="308"/>
      <c r="Q4" s="308"/>
      <c r="R4" s="308"/>
      <c r="S4" s="308"/>
      <c r="T4" s="308"/>
      <c r="U4" s="308"/>
      <c r="V4" s="308"/>
      <c r="W4" s="308"/>
      <c r="X4" s="654"/>
      <c r="Y4" s="654"/>
      <c r="Z4" s="654"/>
      <c r="AA4" s="654"/>
      <c r="AB4" s="654"/>
      <c r="AC4" s="654"/>
      <c r="AD4" s="654"/>
    </row>
    <row r="5" spans="2:30" s="15" customFormat="1" ht="18" customHeight="1">
      <c r="B5" s="767" t="s">
        <v>235</v>
      </c>
      <c r="C5" s="767"/>
      <c r="D5" s="767"/>
      <c r="E5" s="767"/>
      <c r="F5" s="767"/>
      <c r="G5" s="767"/>
      <c r="H5" s="767"/>
      <c r="I5" s="767"/>
      <c r="J5" s="767"/>
      <c r="K5" s="767"/>
      <c r="L5" s="308"/>
      <c r="M5" s="308"/>
      <c r="N5" s="308"/>
      <c r="O5" s="308"/>
      <c r="P5" s="308"/>
      <c r="Q5" s="308"/>
      <c r="R5" s="308"/>
      <c r="S5" s="308"/>
      <c r="T5" s="308"/>
      <c r="U5" s="308"/>
      <c r="V5" s="308"/>
      <c r="W5" s="308"/>
      <c r="X5" s="654"/>
      <c r="Y5" s="654"/>
      <c r="Z5" s="654"/>
      <c r="AA5" s="654"/>
      <c r="AB5" s="654"/>
      <c r="AC5" s="654"/>
      <c r="AD5" s="654"/>
    </row>
    <row r="6" spans="2:30" s="22" customFormat="1" ht="24.75" customHeight="1">
      <c r="B6" s="793" t="s">
        <v>198</v>
      </c>
      <c r="C6" s="830" t="s">
        <v>213</v>
      </c>
      <c r="D6" s="830"/>
      <c r="E6" s="830" t="s">
        <v>175</v>
      </c>
      <c r="F6" s="830"/>
      <c r="G6" s="830" t="s">
        <v>214</v>
      </c>
      <c r="H6" s="830"/>
      <c r="I6" s="793" t="s">
        <v>195</v>
      </c>
      <c r="J6" s="793"/>
      <c r="K6" s="793"/>
      <c r="L6" s="300"/>
      <c r="M6" s="300"/>
      <c r="N6" s="300"/>
      <c r="O6" s="300"/>
      <c r="P6" s="300"/>
      <c r="Q6" s="300"/>
      <c r="R6" s="300"/>
      <c r="S6" s="300"/>
      <c r="T6" s="300"/>
      <c r="U6" s="300"/>
      <c r="V6" s="300"/>
      <c r="W6" s="300"/>
      <c r="X6" s="377"/>
      <c r="Y6" s="377"/>
      <c r="Z6" s="377"/>
      <c r="AA6" s="377"/>
      <c r="AB6" s="377"/>
      <c r="AC6" s="377"/>
      <c r="AD6" s="377"/>
    </row>
    <row r="7" spans="2:30" s="22" customFormat="1" ht="48" customHeight="1">
      <c r="B7" s="793"/>
      <c r="C7" s="309">
        <v>2021</v>
      </c>
      <c r="D7" s="309">
        <v>2022</v>
      </c>
      <c r="E7" s="309">
        <v>2021</v>
      </c>
      <c r="F7" s="309">
        <v>2022</v>
      </c>
      <c r="G7" s="309">
        <v>2021</v>
      </c>
      <c r="H7" s="309">
        <v>2022</v>
      </c>
      <c r="I7" s="309">
        <v>2021</v>
      </c>
      <c r="J7" s="309">
        <v>2022</v>
      </c>
      <c r="K7" s="103" t="s">
        <v>640</v>
      </c>
      <c r="L7" s="300"/>
      <c r="M7" s="300"/>
      <c r="N7" s="300"/>
      <c r="O7" s="300"/>
      <c r="P7" s="300"/>
      <c r="Q7" s="300"/>
      <c r="R7" s="300"/>
      <c r="S7" s="300"/>
      <c r="T7" s="300"/>
      <c r="U7" s="300"/>
      <c r="V7" s="300"/>
      <c r="W7" s="300"/>
      <c r="X7" s="377"/>
      <c r="Y7" s="377"/>
      <c r="Z7" s="377"/>
      <c r="AA7" s="377"/>
      <c r="AB7" s="377"/>
      <c r="AC7" s="377"/>
      <c r="AD7" s="377"/>
    </row>
    <row r="8" spans="2:30" s="22" customFormat="1" ht="15.75" customHeight="1">
      <c r="B8" s="53" t="s">
        <v>200</v>
      </c>
      <c r="C8" s="378">
        <v>190.7912081790758</v>
      </c>
      <c r="D8" s="378">
        <v>296.72220207125514</v>
      </c>
      <c r="E8" s="378">
        <v>195.03810664112387</v>
      </c>
      <c r="F8" s="378">
        <v>302.83298429290295</v>
      </c>
      <c r="G8" s="378">
        <v>199.09104166666665</v>
      </c>
      <c r="H8" s="378">
        <v>304.37498602402354</v>
      </c>
      <c r="I8" s="378">
        <v>194.0952477085016</v>
      </c>
      <c r="J8" s="378">
        <v>300.76105179839061</v>
      </c>
      <c r="K8" s="384">
        <f>J8/I8-1</f>
        <v>0.5495539192700023</v>
      </c>
      <c r="L8" s="300"/>
      <c r="M8" s="381"/>
      <c r="N8" s="300" t="s">
        <v>236</v>
      </c>
      <c r="O8" s="300" t="s">
        <v>175</v>
      </c>
      <c r="P8" s="300" t="s">
        <v>214</v>
      </c>
      <c r="Q8" s="391"/>
      <c r="R8" s="391"/>
      <c r="S8" s="391"/>
      <c r="T8" s="391"/>
      <c r="U8" s="300"/>
      <c r="V8" s="300"/>
      <c r="W8" s="300"/>
      <c r="X8" s="377"/>
      <c r="Y8" s="377"/>
      <c r="Z8" s="377"/>
      <c r="AA8" s="377"/>
      <c r="AB8" s="377"/>
      <c r="AC8" s="377"/>
      <c r="AD8" s="377"/>
    </row>
    <row r="9" spans="2:30" s="22" customFormat="1" ht="15.75" customHeight="1">
      <c r="B9" s="53" t="s">
        <v>201</v>
      </c>
      <c r="C9" s="378">
        <v>194.04661943319834</v>
      </c>
      <c r="D9" s="378">
        <v>298.88499861003208</v>
      </c>
      <c r="E9" s="378">
        <v>197.594057537743</v>
      </c>
      <c r="F9" s="378">
        <v>302.96309112589893</v>
      </c>
      <c r="G9" s="378">
        <v>201.98578373015877</v>
      </c>
      <c r="H9" s="378">
        <v>306.50197736556436</v>
      </c>
      <c r="I9" s="378">
        <v>196.69490219373131</v>
      </c>
      <c r="J9" s="378">
        <v>301.97271149869175</v>
      </c>
      <c r="K9" s="384">
        <f>J9/I9-1</f>
        <v>0.5352340509631961</v>
      </c>
      <c r="L9" s="300"/>
      <c r="M9" s="381">
        <v>44197</v>
      </c>
      <c r="N9" s="391">
        <f t="shared" ref="N9:N20" si="0">C8</f>
        <v>190.7912081790758</v>
      </c>
      <c r="O9" s="391">
        <f t="shared" ref="O9:O20" si="1">E8</f>
        <v>195.03810664112387</v>
      </c>
      <c r="P9" s="391">
        <f t="shared" ref="P9:P20" si="2">G8</f>
        <v>199.09104166666665</v>
      </c>
      <c r="Q9" s="300"/>
      <c r="R9" s="391"/>
      <c r="S9" s="391"/>
      <c r="T9" s="391"/>
      <c r="U9" s="300"/>
      <c r="V9" s="300"/>
      <c r="W9" s="300"/>
      <c r="X9" s="377"/>
      <c r="Y9" s="377"/>
      <c r="Z9" s="377"/>
      <c r="AA9" s="377"/>
      <c r="AB9" s="377"/>
      <c r="AC9" s="377"/>
      <c r="AD9" s="377"/>
    </row>
    <row r="10" spans="2:30" s="22" customFormat="1" ht="15.75" customHeight="1">
      <c r="B10" s="53" t="s">
        <v>202</v>
      </c>
      <c r="C10" s="378">
        <v>195.93255131964807</v>
      </c>
      <c r="D10" s="378">
        <v>304.3157952781043</v>
      </c>
      <c r="E10" s="378">
        <v>201.09551971326164</v>
      </c>
      <c r="F10" s="378">
        <v>308.17002688172045</v>
      </c>
      <c r="G10" s="378">
        <v>203.53825475599669</v>
      </c>
      <c r="H10" s="378">
        <v>310.54892473118281</v>
      </c>
      <c r="I10" s="378">
        <v>199.68956093189965</v>
      </c>
      <c r="J10" s="378">
        <v>306.84014537460752</v>
      </c>
      <c r="K10" s="384">
        <f>J10/I10-1</f>
        <v>0.53658580820481427</v>
      </c>
      <c r="L10" s="300"/>
      <c r="M10" s="381">
        <v>44228</v>
      </c>
      <c r="N10" s="391">
        <f t="shared" si="0"/>
        <v>194.04661943319834</v>
      </c>
      <c r="O10" s="391">
        <f t="shared" si="1"/>
        <v>197.594057537743</v>
      </c>
      <c r="P10" s="391">
        <f t="shared" si="2"/>
        <v>201.98578373015877</v>
      </c>
      <c r="Q10" s="300"/>
      <c r="R10" s="391"/>
      <c r="S10" s="391"/>
      <c r="T10" s="391"/>
      <c r="U10" s="300"/>
      <c r="V10" s="300"/>
      <c r="W10" s="300"/>
      <c r="X10" s="377"/>
      <c r="Y10" s="377"/>
      <c r="Z10" s="377"/>
      <c r="AA10" s="377"/>
      <c r="AB10" s="377"/>
      <c r="AC10" s="377"/>
      <c r="AD10" s="377"/>
    </row>
    <row r="11" spans="2:30" s="22" customFormat="1" ht="15.75" customHeight="1">
      <c r="B11" s="53" t="s">
        <v>203</v>
      </c>
      <c r="C11" s="398">
        <v>200.89111111111114</v>
      </c>
      <c r="D11" s="398">
        <v>318.56333333333328</v>
      </c>
      <c r="E11" s="398">
        <v>205.39523809523808</v>
      </c>
      <c r="F11" s="398">
        <v>319.00555555555559</v>
      </c>
      <c r="G11" s="398">
        <v>208.02047619047619</v>
      </c>
      <c r="H11" s="398">
        <v>309.75833333333333</v>
      </c>
      <c r="I11" s="398">
        <v>205.06735690235692</v>
      </c>
      <c r="J11" s="398">
        <v>315.95068330362449</v>
      </c>
      <c r="K11" s="384">
        <f>J11/I11-1</f>
        <v>0.54071661173291852</v>
      </c>
      <c r="L11" s="300"/>
      <c r="M11" s="381">
        <v>44256</v>
      </c>
      <c r="N11" s="391">
        <f t="shared" si="0"/>
        <v>195.93255131964807</v>
      </c>
      <c r="O11" s="391">
        <f t="shared" si="1"/>
        <v>201.09551971326164</v>
      </c>
      <c r="P11" s="391">
        <f t="shared" si="2"/>
        <v>203.53825475599669</v>
      </c>
      <c r="Q11" s="300"/>
      <c r="R11" s="300"/>
      <c r="S11" s="300"/>
      <c r="T11" s="300"/>
      <c r="U11" s="300"/>
      <c r="V11" s="300"/>
      <c r="W11" s="300"/>
      <c r="X11" s="377"/>
      <c r="Y11" s="377"/>
      <c r="Z11" s="377"/>
      <c r="AA11" s="377"/>
      <c r="AB11" s="377"/>
      <c r="AC11" s="377"/>
      <c r="AD11" s="377"/>
    </row>
    <row r="12" spans="2:30" s="22" customFormat="1" ht="15.75" customHeight="1">
      <c r="B12" s="53" t="s">
        <v>204</v>
      </c>
      <c r="C12" s="398">
        <v>203.28819444444446</v>
      </c>
      <c r="D12" s="398">
        <v>398.56896551724139</v>
      </c>
      <c r="E12" s="398">
        <v>208.30208333333331</v>
      </c>
      <c r="F12" s="398">
        <v>400.54597701149424</v>
      </c>
      <c r="G12" s="398">
        <v>211.36904761904759</v>
      </c>
      <c r="H12" s="398">
        <v>399.67241379310349</v>
      </c>
      <c r="I12" s="398">
        <v>210.09970674486803</v>
      </c>
      <c r="J12" s="398">
        <v>400.28554143980631</v>
      </c>
      <c r="K12" s="384">
        <f t="shared" ref="K12" si="3">J12/I12-1</f>
        <v>0.90521704024027061</v>
      </c>
      <c r="L12" s="300"/>
      <c r="M12" s="381">
        <v>44287</v>
      </c>
      <c r="N12" s="391">
        <f t="shared" si="0"/>
        <v>200.89111111111114</v>
      </c>
      <c r="O12" s="391">
        <f t="shared" si="1"/>
        <v>205.39523809523808</v>
      </c>
      <c r="P12" s="391">
        <f t="shared" si="2"/>
        <v>208.02047619047619</v>
      </c>
      <c r="Q12" s="300"/>
      <c r="R12" s="300"/>
      <c r="S12" s="300"/>
      <c r="T12" s="300"/>
      <c r="U12" s="391"/>
      <c r="V12" s="300"/>
      <c r="W12" s="300"/>
      <c r="X12" s="377"/>
      <c r="Y12" s="377"/>
      <c r="Z12" s="377"/>
      <c r="AA12" s="377"/>
      <c r="AB12" s="377"/>
      <c r="AC12" s="377"/>
      <c r="AD12" s="377"/>
    </row>
    <row r="13" spans="2:30" s="22" customFormat="1" ht="15.75" customHeight="1">
      <c r="B13" s="53" t="s">
        <v>205</v>
      </c>
      <c r="C13" s="398">
        <v>209.24126984126983</v>
      </c>
      <c r="D13" s="695" t="s">
        <v>726</v>
      </c>
      <c r="E13" s="398">
        <v>212.06726190476192</v>
      </c>
      <c r="F13" s="695" t="s">
        <v>726</v>
      </c>
      <c r="G13" s="398">
        <v>216.07428571428574</v>
      </c>
      <c r="H13" s="695" t="s">
        <v>726</v>
      </c>
      <c r="I13" s="398">
        <v>214.99577922077921</v>
      </c>
      <c r="J13" s="695" t="s">
        <v>726</v>
      </c>
      <c r="K13" s="384"/>
      <c r="L13" s="300"/>
      <c r="M13" s="381">
        <v>44317</v>
      </c>
      <c r="N13" s="391">
        <f t="shared" si="0"/>
        <v>203.28819444444446</v>
      </c>
      <c r="O13" s="391">
        <f t="shared" si="1"/>
        <v>208.30208333333331</v>
      </c>
      <c r="P13" s="391">
        <f t="shared" si="2"/>
        <v>211.36904761904759</v>
      </c>
      <c r="Q13" s="300"/>
      <c r="R13" s="300"/>
      <c r="S13" s="300"/>
      <c r="T13" s="300"/>
      <c r="U13" s="300"/>
      <c r="V13" s="300"/>
      <c r="W13" s="300"/>
      <c r="X13" s="377"/>
      <c r="Y13" s="377"/>
      <c r="Z13" s="377"/>
      <c r="AA13" s="377"/>
      <c r="AB13" s="377"/>
      <c r="AC13" s="377"/>
      <c r="AD13" s="377"/>
    </row>
    <row r="14" spans="2:30" s="22" customFormat="1" ht="15.75" customHeight="1">
      <c r="B14" s="53" t="s">
        <v>206</v>
      </c>
      <c r="C14" s="398">
        <v>218.50952380952384</v>
      </c>
      <c r="D14" s="695" t="s">
        <v>726</v>
      </c>
      <c r="E14" s="398">
        <v>221.21300563236045</v>
      </c>
      <c r="F14" s="695" t="s">
        <v>726</v>
      </c>
      <c r="G14" s="398">
        <v>224.66666666666663</v>
      </c>
      <c r="H14" s="695" t="s">
        <v>726</v>
      </c>
      <c r="I14" s="398">
        <v>223.89039938556067</v>
      </c>
      <c r="J14" s="695" t="s">
        <v>726</v>
      </c>
      <c r="K14" s="384"/>
      <c r="L14" s="300"/>
      <c r="M14" s="381">
        <v>44348</v>
      </c>
      <c r="N14" s="391">
        <f t="shared" si="0"/>
        <v>209.24126984126983</v>
      </c>
      <c r="O14" s="391">
        <f t="shared" si="1"/>
        <v>212.06726190476192</v>
      </c>
      <c r="P14" s="391">
        <f t="shared" si="2"/>
        <v>216.07428571428574</v>
      </c>
      <c r="Q14" s="481"/>
      <c r="R14" s="391"/>
      <c r="S14" s="391"/>
      <c r="T14" s="391"/>
      <c r="U14" s="300"/>
      <c r="V14" s="300"/>
      <c r="W14" s="300"/>
      <c r="X14" s="377"/>
      <c r="Y14" s="377"/>
      <c r="Z14" s="377"/>
      <c r="AA14" s="377"/>
      <c r="AB14" s="377"/>
      <c r="AC14" s="377"/>
      <c r="AD14" s="377"/>
    </row>
    <row r="15" spans="2:30" s="22" customFormat="1" ht="15.75" customHeight="1">
      <c r="B15" s="53" t="s">
        <v>207</v>
      </c>
      <c r="C15" s="378">
        <v>241.22043010752685</v>
      </c>
      <c r="D15" s="378"/>
      <c r="E15" s="378">
        <v>239.81566820276501</v>
      </c>
      <c r="F15" s="378"/>
      <c r="G15" s="378">
        <v>246.98306451612902</v>
      </c>
      <c r="H15" s="378"/>
      <c r="I15" s="378">
        <v>244.85588367675308</v>
      </c>
      <c r="J15" s="378"/>
      <c r="K15" s="384"/>
      <c r="L15" s="300"/>
      <c r="M15" s="381">
        <v>44378</v>
      </c>
      <c r="N15" s="391">
        <f t="shared" si="0"/>
        <v>218.50952380952384</v>
      </c>
      <c r="O15" s="391">
        <f t="shared" si="1"/>
        <v>221.21300563236045</v>
      </c>
      <c r="P15" s="391">
        <f t="shared" si="2"/>
        <v>224.66666666666663</v>
      </c>
      <c r="Q15" s="300"/>
      <c r="R15" s="300"/>
      <c r="S15" s="391"/>
      <c r="T15" s="391"/>
      <c r="U15" s="300"/>
      <c r="V15" s="300"/>
      <c r="W15" s="300"/>
      <c r="X15" s="377"/>
      <c r="Y15" s="377"/>
      <c r="Z15" s="377"/>
      <c r="AA15" s="377"/>
      <c r="AB15" s="377"/>
      <c r="AC15" s="377"/>
      <c r="AD15" s="377"/>
    </row>
    <row r="16" spans="2:30" s="22" customFormat="1" ht="15.75" customHeight="1">
      <c r="B16" s="53" t="s">
        <v>208</v>
      </c>
      <c r="C16" s="378">
        <v>248.58148148148149</v>
      </c>
      <c r="D16" s="378"/>
      <c r="E16" s="378">
        <v>249.5</v>
      </c>
      <c r="F16" s="378"/>
      <c r="G16" s="378">
        <v>256.52333333333331</v>
      </c>
      <c r="H16" s="378"/>
      <c r="I16" s="378">
        <v>255.28937133539188</v>
      </c>
      <c r="J16" s="378"/>
      <c r="K16" s="384"/>
      <c r="L16" s="300"/>
      <c r="M16" s="381">
        <v>44409</v>
      </c>
      <c r="N16" s="391">
        <f t="shared" si="0"/>
        <v>241.22043010752685</v>
      </c>
      <c r="O16" s="391">
        <f t="shared" si="1"/>
        <v>239.81566820276501</v>
      </c>
      <c r="P16" s="391">
        <f t="shared" si="2"/>
        <v>246.98306451612902</v>
      </c>
      <c r="Q16" s="300"/>
      <c r="R16" s="300"/>
      <c r="S16" s="391"/>
      <c r="T16" s="391"/>
      <c r="U16" s="596"/>
      <c r="V16" s="596"/>
      <c r="W16" s="596"/>
      <c r="X16" s="377"/>
      <c r="Y16" s="377"/>
      <c r="Z16" s="377"/>
      <c r="AA16" s="377"/>
      <c r="AB16" s="377"/>
      <c r="AC16" s="377"/>
      <c r="AD16" s="377"/>
    </row>
    <row r="17" spans="2:30" s="22" customFormat="1" ht="15.75" customHeight="1">
      <c r="B17" s="53" t="s">
        <v>209</v>
      </c>
      <c r="C17" s="378">
        <v>265.85483870967744</v>
      </c>
      <c r="D17" s="378"/>
      <c r="E17" s="378">
        <v>264.58774845226452</v>
      </c>
      <c r="F17" s="378"/>
      <c r="G17" s="378">
        <v>274.62598566308242</v>
      </c>
      <c r="H17" s="378"/>
      <c r="I17" s="378">
        <v>272.56445652433064</v>
      </c>
      <c r="J17" s="653"/>
      <c r="K17" s="384"/>
      <c r="L17" s="300"/>
      <c r="M17" s="381">
        <v>44440</v>
      </c>
      <c r="N17" s="391">
        <f t="shared" si="0"/>
        <v>248.58148148148149</v>
      </c>
      <c r="O17" s="391">
        <f t="shared" si="1"/>
        <v>249.5</v>
      </c>
      <c r="P17" s="391">
        <f t="shared" si="2"/>
        <v>256.52333333333331</v>
      </c>
      <c r="Q17" s="300"/>
      <c r="R17" s="391"/>
      <c r="S17" s="391"/>
      <c r="T17" s="391"/>
      <c r="U17" s="596"/>
      <c r="V17" s="596"/>
      <c r="W17" s="596"/>
      <c r="X17" s="377"/>
      <c r="Y17" s="377"/>
      <c r="Z17" s="377"/>
      <c r="AA17" s="377"/>
      <c r="AB17" s="377"/>
      <c r="AC17" s="377"/>
      <c r="AD17" s="377"/>
    </row>
    <row r="18" spans="2:30" s="22" customFormat="1" ht="15.75" customHeight="1">
      <c r="B18" s="53" t="s">
        <v>193</v>
      </c>
      <c r="C18" s="378">
        <v>264.04166666666669</v>
      </c>
      <c r="D18" s="378"/>
      <c r="E18" s="378">
        <v>265.03777777777776</v>
      </c>
      <c r="F18" s="378"/>
      <c r="G18" s="378">
        <v>279.125</v>
      </c>
      <c r="H18" s="378"/>
      <c r="I18" s="378">
        <v>271.44920634920635</v>
      </c>
      <c r="J18" s="653"/>
      <c r="K18" s="384"/>
      <c r="L18" s="300"/>
      <c r="M18" s="381">
        <v>44470</v>
      </c>
      <c r="N18" s="391">
        <f t="shared" si="0"/>
        <v>265.85483870967744</v>
      </c>
      <c r="O18" s="391">
        <f t="shared" si="1"/>
        <v>264.58774845226452</v>
      </c>
      <c r="P18" s="391">
        <f t="shared" si="2"/>
        <v>274.62598566308242</v>
      </c>
      <c r="Q18" s="300"/>
      <c r="R18" s="391"/>
      <c r="S18" s="391"/>
      <c r="T18" s="391"/>
      <c r="U18" s="596"/>
      <c r="V18" s="596"/>
      <c r="W18" s="596"/>
      <c r="X18" s="377"/>
      <c r="Y18" s="377"/>
      <c r="Z18" s="377"/>
      <c r="AA18" s="377"/>
      <c r="AB18" s="377"/>
      <c r="AC18" s="377"/>
      <c r="AD18" s="377"/>
    </row>
    <row r="19" spans="2:30" s="22" customFormat="1" ht="17.100000000000001" customHeight="1">
      <c r="B19" s="53" t="s">
        <v>194</v>
      </c>
      <c r="C19" s="378">
        <v>296.86307435254804</v>
      </c>
      <c r="D19" s="378"/>
      <c r="E19" s="378">
        <v>302.93791341508734</v>
      </c>
      <c r="F19" s="378"/>
      <c r="G19" s="378">
        <v>305.78578042328041</v>
      </c>
      <c r="H19" s="378"/>
      <c r="I19" s="378">
        <v>300.02992706302962</v>
      </c>
      <c r="J19" s="653"/>
      <c r="K19" s="384"/>
      <c r="L19" s="300"/>
      <c r="M19" s="381">
        <v>44501</v>
      </c>
      <c r="N19" s="391">
        <f t="shared" si="0"/>
        <v>264.04166666666669</v>
      </c>
      <c r="O19" s="391">
        <f t="shared" si="1"/>
        <v>265.03777777777776</v>
      </c>
      <c r="P19" s="391">
        <f t="shared" si="2"/>
        <v>279.125</v>
      </c>
      <c r="Q19" s="482"/>
      <c r="R19" s="391"/>
      <c r="S19" s="391"/>
      <c r="T19" s="391"/>
      <c r="U19" s="300"/>
      <c r="V19" s="300"/>
      <c r="W19" s="300"/>
      <c r="X19" s="377"/>
      <c r="Y19" s="377"/>
      <c r="Z19" s="377"/>
      <c r="AA19" s="377"/>
      <c r="AB19" s="377"/>
      <c r="AC19" s="377"/>
      <c r="AD19" s="377"/>
    </row>
    <row r="20" spans="2:30" s="22" customFormat="1" ht="45.95" customHeight="1">
      <c r="B20" s="792" t="s">
        <v>729</v>
      </c>
      <c r="C20" s="864"/>
      <c r="D20" s="864"/>
      <c r="E20" s="864"/>
      <c r="F20" s="864"/>
      <c r="G20" s="864"/>
      <c r="H20" s="864"/>
      <c r="I20" s="864"/>
      <c r="J20" s="864"/>
      <c r="K20" s="864"/>
      <c r="L20" s="300"/>
      <c r="M20" s="381">
        <v>44531</v>
      </c>
      <c r="N20" s="391">
        <f t="shared" si="0"/>
        <v>296.86307435254804</v>
      </c>
      <c r="O20" s="391">
        <f t="shared" si="1"/>
        <v>302.93791341508734</v>
      </c>
      <c r="P20" s="391">
        <f t="shared" si="2"/>
        <v>305.78578042328041</v>
      </c>
      <c r="Q20" s="300"/>
      <c r="R20" s="391"/>
      <c r="S20" s="391"/>
      <c r="T20" s="391"/>
      <c r="U20" s="300"/>
      <c r="V20" s="300"/>
      <c r="W20" s="300"/>
      <c r="X20" s="377"/>
      <c r="Y20" s="377"/>
      <c r="Z20" s="377"/>
      <c r="AA20" s="377"/>
      <c r="AB20" s="377"/>
      <c r="AC20" s="377"/>
      <c r="AD20" s="377"/>
    </row>
    <row r="21" spans="2:30" s="22" customFormat="1" ht="12.75">
      <c r="B21" s="1"/>
      <c r="C21" s="420"/>
      <c r="D21" s="420"/>
      <c r="G21" s="216"/>
      <c r="H21" s="216"/>
      <c r="I21" s="36"/>
      <c r="J21" s="36"/>
      <c r="K21" s="56"/>
      <c r="L21" s="300"/>
      <c r="M21" s="381">
        <v>44562</v>
      </c>
      <c r="N21" s="391">
        <f>D8</f>
        <v>296.72220207125514</v>
      </c>
      <c r="O21" s="391">
        <f>F8</f>
        <v>302.83298429290295</v>
      </c>
      <c r="P21" s="391">
        <f>H8</f>
        <v>304.37498602402354</v>
      </c>
      <c r="Q21" s="300"/>
      <c r="R21" s="300"/>
      <c r="S21" s="300"/>
      <c r="T21" s="300"/>
      <c r="U21" s="300"/>
      <c r="V21" s="300"/>
      <c r="W21" s="300"/>
      <c r="X21" s="377"/>
      <c r="Y21" s="377"/>
      <c r="Z21" s="377"/>
      <c r="AA21" s="377"/>
      <c r="AB21" s="377"/>
      <c r="AC21" s="377"/>
      <c r="AD21" s="377"/>
    </row>
    <row r="22" spans="2:30" ht="18">
      <c r="C22" s="299"/>
      <c r="D22" s="421"/>
      <c r="E22" s="299"/>
      <c r="F22" s="421"/>
      <c r="G22" s="299"/>
      <c r="H22" s="421"/>
      <c r="I22" s="299"/>
      <c r="J22" s="299"/>
      <c r="M22" s="381">
        <v>44593</v>
      </c>
      <c r="N22" s="391">
        <f t="shared" ref="N22:N23" si="4">D9</f>
        <v>298.88499861003208</v>
      </c>
      <c r="O22" s="391">
        <f t="shared" ref="O22:O23" si="5">F9</f>
        <v>302.96309112589893</v>
      </c>
      <c r="P22" s="391">
        <f t="shared" ref="P22:P23" si="6">H9</f>
        <v>306.50197736556436</v>
      </c>
    </row>
    <row r="23" spans="2:30" s="22" customFormat="1" ht="20.45" customHeight="1">
      <c r="L23" s="300"/>
      <c r="M23" s="381">
        <v>44621</v>
      </c>
      <c r="N23" s="391">
        <f t="shared" si="4"/>
        <v>304.3157952781043</v>
      </c>
      <c r="O23" s="391">
        <f t="shared" si="5"/>
        <v>308.17002688172045</v>
      </c>
      <c r="P23" s="391">
        <f t="shared" si="6"/>
        <v>310.54892473118281</v>
      </c>
      <c r="Q23" s="300"/>
      <c r="R23" s="300"/>
      <c r="S23" s="300"/>
      <c r="T23" s="300"/>
      <c r="U23" s="300"/>
      <c r="V23" s="300"/>
      <c r="W23" s="300"/>
      <c r="X23" s="377"/>
      <c r="Y23" s="377"/>
      <c r="Z23" s="377"/>
      <c r="AA23" s="377"/>
      <c r="AB23" s="377"/>
      <c r="AC23" s="377"/>
      <c r="AD23" s="377"/>
    </row>
    <row r="24" spans="2:30" s="22" customFormat="1" ht="20.45" customHeight="1">
      <c r="L24" s="300"/>
      <c r="M24" s="381">
        <v>44652</v>
      </c>
      <c r="N24" s="391">
        <f t="shared" ref="N24" si="7">D11</f>
        <v>318.56333333333328</v>
      </c>
      <c r="O24" s="391">
        <f t="shared" ref="O24" si="8">F11</f>
        <v>319.00555555555559</v>
      </c>
      <c r="P24" s="391">
        <f t="shared" ref="P24" si="9">H11</f>
        <v>309.75833333333333</v>
      </c>
      <c r="Q24" s="300"/>
      <c r="R24" s="300"/>
      <c r="S24" s="300"/>
      <c r="T24" s="300"/>
      <c r="U24" s="300"/>
      <c r="V24" s="300"/>
      <c r="W24" s="300"/>
      <c r="X24" s="377"/>
      <c r="Y24" s="377"/>
      <c r="Z24" s="377"/>
      <c r="AA24" s="377"/>
      <c r="AB24" s="377"/>
      <c r="AC24" s="377"/>
      <c r="AD24" s="377"/>
    </row>
    <row r="25" spans="2:30" s="22" customFormat="1" ht="20.45" customHeight="1">
      <c r="L25" s="300"/>
      <c r="M25" s="381">
        <v>44682</v>
      </c>
      <c r="N25" s="391">
        <f t="shared" ref="N25" si="10">D12</f>
        <v>398.56896551724139</v>
      </c>
      <c r="O25" s="391">
        <f t="shared" ref="O25" si="11">F12</f>
        <v>400.54597701149424</v>
      </c>
      <c r="P25" s="391">
        <f t="shared" ref="P25" si="12">H12</f>
        <v>399.67241379310349</v>
      </c>
      <c r="Q25" s="300"/>
      <c r="R25" s="300"/>
      <c r="S25" s="300"/>
      <c r="T25" s="300"/>
      <c r="U25" s="300"/>
      <c r="V25" s="300"/>
      <c r="W25" s="300"/>
      <c r="X25" s="377"/>
      <c r="Y25" s="377"/>
      <c r="Z25" s="377"/>
      <c r="AA25" s="377"/>
      <c r="AB25" s="377"/>
      <c r="AC25" s="377"/>
      <c r="AD25" s="377"/>
    </row>
    <row r="26" spans="2:30" s="22" customFormat="1" ht="20.45" customHeight="1">
      <c r="L26" s="300"/>
      <c r="M26" s="381">
        <v>44713</v>
      </c>
      <c r="N26" s="391"/>
      <c r="O26" s="391"/>
      <c r="P26" s="391"/>
      <c r="Q26" s="300"/>
      <c r="R26" s="300"/>
      <c r="S26" s="300"/>
      <c r="T26" s="300"/>
      <c r="U26" s="300"/>
      <c r="V26" s="300"/>
      <c r="W26" s="300"/>
      <c r="X26" s="377"/>
      <c r="Y26" s="377"/>
      <c r="Z26" s="377"/>
      <c r="AA26" s="377"/>
      <c r="AB26" s="377"/>
      <c r="AC26" s="377"/>
      <c r="AD26" s="377"/>
    </row>
    <row r="27" spans="2:30" s="22" customFormat="1" ht="20.45" customHeight="1">
      <c r="L27" s="300"/>
      <c r="M27" s="381">
        <v>44743</v>
      </c>
      <c r="N27" s="391"/>
      <c r="O27" s="391"/>
      <c r="P27" s="391"/>
      <c r="Q27" s="300"/>
      <c r="R27" s="300"/>
      <c r="S27" s="300"/>
      <c r="T27" s="300"/>
      <c r="U27" s="300"/>
      <c r="V27" s="300"/>
      <c r="W27" s="300"/>
      <c r="X27" s="377"/>
      <c r="Y27" s="377"/>
      <c r="Z27" s="377"/>
      <c r="AA27" s="377"/>
      <c r="AB27" s="377"/>
      <c r="AC27" s="377"/>
      <c r="AD27" s="377"/>
    </row>
    <row r="28" spans="2:30" s="22" customFormat="1" ht="20.45" customHeight="1">
      <c r="L28" s="300"/>
      <c r="M28" s="381">
        <v>44774</v>
      </c>
      <c r="N28" s="391"/>
      <c r="O28" s="391"/>
      <c r="P28" s="391"/>
      <c r="Q28" s="300"/>
      <c r="R28" s="300"/>
      <c r="S28" s="300"/>
      <c r="T28" s="300"/>
      <c r="U28" s="300"/>
      <c r="V28" s="300"/>
      <c r="W28" s="300"/>
      <c r="X28" s="377"/>
      <c r="Y28" s="377"/>
      <c r="Z28" s="377"/>
      <c r="AA28" s="377"/>
      <c r="AB28" s="377"/>
      <c r="AC28" s="377"/>
      <c r="AD28" s="377"/>
    </row>
    <row r="29" spans="2:30" s="22" customFormat="1" ht="20.45" customHeight="1">
      <c r="L29" s="300"/>
      <c r="M29" s="381">
        <v>44805</v>
      </c>
      <c r="N29" s="391"/>
      <c r="O29" s="391"/>
      <c r="P29" s="391"/>
      <c r="Q29" s="300"/>
      <c r="R29" s="300"/>
      <c r="S29" s="300"/>
      <c r="T29" s="300"/>
      <c r="U29" s="300"/>
      <c r="V29" s="300"/>
      <c r="W29" s="300"/>
      <c r="X29" s="377"/>
      <c r="Y29" s="377"/>
      <c r="Z29" s="377"/>
      <c r="AA29" s="377"/>
      <c r="AB29" s="377"/>
      <c r="AC29" s="377"/>
      <c r="AD29" s="377"/>
    </row>
    <row r="30" spans="2:30" s="22" customFormat="1" ht="20.45" customHeight="1">
      <c r="L30" s="300"/>
      <c r="M30" s="381">
        <v>44835</v>
      </c>
      <c r="N30" s="391"/>
      <c r="O30" s="391"/>
      <c r="P30" s="391"/>
      <c r="Q30" s="300"/>
      <c r="R30" s="300"/>
      <c r="S30" s="300"/>
      <c r="T30" s="300"/>
      <c r="U30" s="300"/>
      <c r="V30" s="300"/>
      <c r="W30" s="300"/>
      <c r="X30" s="377"/>
      <c r="Y30" s="377"/>
      <c r="Z30" s="377"/>
      <c r="AA30" s="377"/>
      <c r="AB30" s="377"/>
      <c r="AC30" s="377"/>
      <c r="AD30" s="377"/>
    </row>
    <row r="31" spans="2:30" s="22" customFormat="1" ht="20.45" customHeight="1">
      <c r="B31" s="1"/>
      <c r="L31" s="300"/>
      <c r="M31" s="381">
        <v>44866</v>
      </c>
      <c r="N31" s="391"/>
      <c r="O31" s="391"/>
      <c r="P31" s="391"/>
      <c r="Q31" s="300"/>
      <c r="R31" s="300"/>
      <c r="S31" s="300"/>
      <c r="T31" s="300"/>
      <c r="U31" s="300"/>
      <c r="V31" s="300"/>
      <c r="W31" s="300"/>
      <c r="X31" s="377"/>
      <c r="Y31" s="377"/>
      <c r="Z31" s="377"/>
      <c r="AA31" s="377"/>
      <c r="AB31" s="377"/>
      <c r="AC31" s="377"/>
      <c r="AD31" s="377"/>
    </row>
    <row r="32" spans="2:30" ht="20.45" customHeight="1">
      <c r="B32" s="422"/>
      <c r="M32" s="381">
        <v>44896</v>
      </c>
    </row>
    <row r="33" spans="2:13" ht="20.45" customHeight="1">
      <c r="B33" s="863" t="s">
        <v>237</v>
      </c>
      <c r="C33" s="863"/>
      <c r="D33" s="863"/>
      <c r="E33" s="863"/>
      <c r="F33" s="863"/>
      <c r="G33" s="863"/>
      <c r="H33" s="863"/>
      <c r="I33" s="863"/>
      <c r="J33" s="863"/>
      <c r="K33" s="863"/>
      <c r="M33" s="381">
        <v>44927</v>
      </c>
    </row>
    <row r="34" spans="2:13" ht="20.45" customHeight="1">
      <c r="M34" s="381">
        <v>44958</v>
      </c>
    </row>
    <row r="35" spans="2:13" ht="20.45" customHeight="1">
      <c r="M35" s="381">
        <v>44986</v>
      </c>
    </row>
    <row r="36" spans="2:13" ht="20.45" customHeight="1">
      <c r="M36" s="381">
        <v>45017</v>
      </c>
    </row>
    <row r="37" spans="2:13" ht="20.45" customHeight="1">
      <c r="M37" s="381">
        <v>45047</v>
      </c>
    </row>
    <row r="38" spans="2:13" ht="20.45" customHeight="1"/>
    <row r="39" spans="2:13" ht="20.45" customHeight="1"/>
    <row r="49" ht="13.7" customHeight="1"/>
    <row r="50" ht="13.7" customHeight="1"/>
    <row r="51" ht="13.7" customHeight="1"/>
    <row r="52" ht="13.7"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 right="0" top="0" bottom="0" header="0" footer="0"/>
      <printOptions horizontalCentered="1"/>
      <pageSetup scale="90" firstPageNumber="0" orientation="portrait" r:id="rId1"/>
      <headerFooter alignWithMargins="0">
        <oddFooter>&amp;C&amp;10&amp;A</oddFooter>
      </headerFooter>
    </customSheetView>
  </customSheetViews>
  <mergeCells count="11">
    <mergeCell ref="G6:H6"/>
    <mergeCell ref="I6:K6"/>
    <mergeCell ref="B33:K33"/>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paperSize="126"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D80"/>
  <sheetViews>
    <sheetView zoomScaleNormal="100" zoomScaleSheetLayoutView="75" workbookViewId="0">
      <selection activeCell="P14" sqref="P14"/>
    </sheetView>
  </sheetViews>
  <sheetFormatPr baseColWidth="10" defaultColWidth="10.90625" defaultRowHeight="12"/>
  <cols>
    <col min="1" max="1" width="1.36328125" style="1" customWidth="1"/>
    <col min="2" max="2" width="10.453125" style="1" customWidth="1"/>
    <col min="3" max="3" width="4.36328125" style="1" customWidth="1"/>
    <col min="4" max="4" width="4.6328125" style="1" customWidth="1"/>
    <col min="5" max="5" width="5.1796875" style="1" customWidth="1"/>
    <col min="6" max="6" width="3.453125" style="1" customWidth="1"/>
    <col min="7" max="7" width="3.36328125" style="1" bestFit="1" customWidth="1"/>
    <col min="8" max="8" width="3.26953125" style="1" bestFit="1" customWidth="1"/>
    <col min="9" max="9" width="4.08984375" style="1" customWidth="1"/>
    <col min="10" max="10" width="3.90625" style="1" customWidth="1"/>
    <col min="11" max="11" width="4.6328125" style="1" customWidth="1"/>
    <col min="12" max="14" width="3.26953125" style="1" bestFit="1" customWidth="1"/>
    <col min="15" max="15" width="3.08984375" style="1" customWidth="1"/>
    <col min="16" max="25" width="5.6328125" style="1" customWidth="1"/>
    <col min="26" max="26" width="4.90625" style="1" customWidth="1"/>
    <col min="27" max="27" width="4.7265625" style="1" customWidth="1"/>
    <col min="28" max="16384" width="10.90625" style="1"/>
  </cols>
  <sheetData>
    <row r="1" spans="2:30" s="15" customFormat="1" ht="12.75">
      <c r="B1" s="767" t="s">
        <v>238</v>
      </c>
      <c r="C1" s="767"/>
      <c r="D1" s="767"/>
      <c r="E1" s="767"/>
      <c r="F1" s="767"/>
      <c r="G1" s="767"/>
      <c r="H1" s="767"/>
      <c r="I1" s="767"/>
      <c r="J1" s="767"/>
      <c r="K1" s="767"/>
      <c r="L1" s="767"/>
      <c r="M1" s="767"/>
      <c r="N1" s="767"/>
    </row>
    <row r="2" spans="2:30" s="15" customFormat="1" ht="12.75">
      <c r="B2" s="17"/>
      <c r="C2" s="17"/>
      <c r="D2" s="17"/>
      <c r="E2" s="17"/>
      <c r="F2" s="17"/>
      <c r="G2" s="17"/>
      <c r="H2" s="17"/>
      <c r="I2" s="17"/>
      <c r="J2" s="17"/>
      <c r="K2" s="17"/>
      <c r="L2" s="17"/>
      <c r="M2" s="17"/>
      <c r="N2" s="17"/>
    </row>
    <row r="3" spans="2:30" s="15" customFormat="1" ht="18.399999999999999" customHeight="1">
      <c r="B3" s="767" t="s">
        <v>239</v>
      </c>
      <c r="C3" s="767"/>
      <c r="D3" s="767"/>
      <c r="E3" s="767"/>
      <c r="F3" s="767"/>
      <c r="G3" s="767"/>
      <c r="H3" s="767"/>
      <c r="I3" s="767"/>
      <c r="J3" s="767"/>
      <c r="K3" s="767"/>
      <c r="L3" s="767"/>
      <c r="M3" s="767"/>
      <c r="N3" s="767"/>
    </row>
    <row r="4" spans="2:30" s="15" customFormat="1" ht="17.25" customHeight="1">
      <c r="B4" s="767" t="s">
        <v>235</v>
      </c>
      <c r="C4" s="767"/>
      <c r="D4" s="767"/>
      <c r="E4" s="767"/>
      <c r="F4" s="767"/>
      <c r="G4" s="767"/>
      <c r="H4" s="767"/>
      <c r="I4" s="767"/>
      <c r="J4" s="767"/>
      <c r="K4" s="767"/>
      <c r="L4" s="767"/>
      <c r="M4" s="767"/>
      <c r="N4" s="767"/>
    </row>
    <row r="5" spans="2:30" s="14" customFormat="1" ht="35.65" customHeight="1">
      <c r="B5" s="854" t="s">
        <v>198</v>
      </c>
      <c r="C5" s="866" t="s">
        <v>240</v>
      </c>
      <c r="D5" s="866"/>
      <c r="E5" s="866" t="s">
        <v>241</v>
      </c>
      <c r="F5" s="866"/>
      <c r="G5" s="866" t="s">
        <v>242</v>
      </c>
      <c r="H5" s="866"/>
      <c r="I5" s="866" t="s">
        <v>243</v>
      </c>
      <c r="J5" s="866"/>
      <c r="K5" s="866" t="s">
        <v>244</v>
      </c>
      <c r="L5" s="866"/>
      <c r="M5" s="867" t="s">
        <v>156</v>
      </c>
      <c r="N5" s="867"/>
      <c r="O5" s="310"/>
      <c r="P5" s="20"/>
      <c r="Q5" s="22"/>
      <c r="R5" s="586"/>
      <c r="S5" s="586"/>
      <c r="T5" s="587"/>
      <c r="U5" s="586"/>
      <c r="V5" s="586"/>
      <c r="W5" s="586"/>
      <c r="X5" s="586"/>
      <c r="Y5" s="586"/>
      <c r="Z5" s="586"/>
      <c r="AA5" s="586"/>
      <c r="AB5" s="586"/>
      <c r="AC5" s="586"/>
      <c r="AD5" s="586"/>
    </row>
    <row r="6" spans="2:30" s="14" customFormat="1" ht="42" customHeight="1">
      <c r="B6" s="854"/>
      <c r="C6" s="309">
        <v>2021</v>
      </c>
      <c r="D6" s="309">
        <v>2022</v>
      </c>
      <c r="E6" s="309">
        <v>2021</v>
      </c>
      <c r="F6" s="309">
        <v>2022</v>
      </c>
      <c r="G6" s="309">
        <v>2021</v>
      </c>
      <c r="H6" s="309">
        <v>2022</v>
      </c>
      <c r="I6" s="309">
        <v>2021</v>
      </c>
      <c r="J6" s="309">
        <v>2022</v>
      </c>
      <c r="K6" s="309">
        <v>2021</v>
      </c>
      <c r="L6" s="309">
        <v>2022</v>
      </c>
      <c r="M6" s="309">
        <v>2021</v>
      </c>
      <c r="N6" s="309">
        <v>2022</v>
      </c>
      <c r="O6" s="22"/>
      <c r="P6" s="22"/>
      <c r="Q6" s="22"/>
      <c r="R6" s="586"/>
      <c r="S6" s="586"/>
      <c r="T6" s="586"/>
      <c r="U6" s="586"/>
      <c r="V6" s="586"/>
      <c r="W6" s="586"/>
      <c r="X6" s="586"/>
      <c r="Y6" s="586"/>
      <c r="Z6" s="586"/>
      <c r="AA6" s="586"/>
      <c r="AB6" s="586"/>
      <c r="AC6" s="586"/>
      <c r="AD6" s="586"/>
    </row>
    <row r="7" spans="2:30" s="14" customFormat="1" ht="15.75" customHeight="1">
      <c r="B7" s="24" t="s">
        <v>200</v>
      </c>
      <c r="C7" s="433">
        <v>205.9375</v>
      </c>
      <c r="D7" s="433">
        <v>311.08832565284177</v>
      </c>
      <c r="E7" s="433">
        <v>193.80454545454549</v>
      </c>
      <c r="F7" s="433">
        <v>298.97258064516132</v>
      </c>
      <c r="G7" s="433">
        <v>191.33333333333331</v>
      </c>
      <c r="H7" s="433">
        <v>290.39032258064515</v>
      </c>
      <c r="I7" s="433">
        <v>190.6875</v>
      </c>
      <c r="J7" s="433">
        <v>302.01136712749621</v>
      </c>
      <c r="K7" s="433">
        <v>188.66666666666669</v>
      </c>
      <c r="L7" s="433">
        <v>298.35591133004925</v>
      </c>
      <c r="M7" s="433">
        <v>195.03810664112387</v>
      </c>
      <c r="N7" s="433">
        <v>302.83298429290295</v>
      </c>
      <c r="O7" s="22"/>
      <c r="P7" s="22"/>
      <c r="Q7" s="22"/>
      <c r="R7" s="586"/>
      <c r="S7" s="588"/>
      <c r="T7" s="588"/>
      <c r="U7" s="588"/>
      <c r="V7" s="588"/>
      <c r="W7" s="588"/>
      <c r="X7" s="588"/>
      <c r="Y7" s="588"/>
      <c r="Z7" s="588"/>
      <c r="AA7" s="588"/>
      <c r="AB7" s="588"/>
      <c r="AC7" s="588"/>
      <c r="AD7" s="588"/>
    </row>
    <row r="8" spans="2:30" s="14" customFormat="1" ht="15.75" customHeight="1">
      <c r="B8" s="24" t="s">
        <v>201</v>
      </c>
      <c r="C8" s="433">
        <v>213.75</v>
      </c>
      <c r="D8" s="433">
        <v>314.15816326530614</v>
      </c>
      <c r="E8" s="433">
        <v>195.34920634920633</v>
      </c>
      <c r="F8" s="433">
        <v>297.27023809523814</v>
      </c>
      <c r="G8" s="433">
        <v>194.20833333333331</v>
      </c>
      <c r="H8" s="433">
        <v>295.36488095238099</v>
      </c>
      <c r="I8" s="433">
        <v>193.21250000000001</v>
      </c>
      <c r="J8" s="433">
        <v>300.20408163265307</v>
      </c>
      <c r="K8" s="433">
        <v>196.71845238095241</v>
      </c>
      <c r="L8" s="433">
        <v>307.44982993197283</v>
      </c>
      <c r="M8" s="433">
        <v>197.594057537743</v>
      </c>
      <c r="N8" s="433">
        <v>302.96309112589893</v>
      </c>
      <c r="O8" s="22"/>
      <c r="P8" s="22"/>
      <c r="Q8" s="22"/>
      <c r="R8" s="586"/>
      <c r="S8" s="588"/>
      <c r="T8" s="588"/>
      <c r="U8" s="588"/>
      <c r="V8" s="588"/>
      <c r="W8" s="588"/>
      <c r="X8" s="588"/>
      <c r="Y8" s="588"/>
      <c r="Z8" s="588"/>
      <c r="AA8" s="588"/>
      <c r="AB8" s="588"/>
      <c r="AC8" s="588"/>
      <c r="AD8" s="588"/>
    </row>
    <row r="9" spans="2:30" s="14" customFormat="1" ht="15.75" customHeight="1">
      <c r="B9" s="24" t="s">
        <v>202</v>
      </c>
      <c r="C9" s="433">
        <v>0</v>
      </c>
      <c r="D9" s="433">
        <v>321.02150537634407</v>
      </c>
      <c r="E9" s="433">
        <v>198</v>
      </c>
      <c r="F9" s="433">
        <v>305.41935483870964</v>
      </c>
      <c r="G9" s="433">
        <v>198.19892473118279</v>
      </c>
      <c r="H9" s="433">
        <v>295.25</v>
      </c>
      <c r="I9" s="433">
        <v>198.51612903225808</v>
      </c>
      <c r="J9" s="433">
        <v>298.53333333333336</v>
      </c>
      <c r="K9" s="433">
        <v>201.6021505376344</v>
      </c>
      <c r="L9" s="433">
        <v>308.16129032258067</v>
      </c>
      <c r="M9" s="433">
        <v>201.09551971326164</v>
      </c>
      <c r="N9" s="433">
        <v>308.17002688172045</v>
      </c>
      <c r="O9" s="22"/>
      <c r="P9" s="593"/>
      <c r="Q9" s="22"/>
      <c r="R9" s="586"/>
      <c r="S9" s="588"/>
      <c r="T9" s="588"/>
      <c r="U9" s="588"/>
      <c r="V9" s="588"/>
      <c r="W9" s="588"/>
      <c r="X9" s="588"/>
      <c r="Y9" s="588"/>
      <c r="Z9" s="588"/>
      <c r="AA9" s="588"/>
      <c r="AB9" s="588"/>
      <c r="AC9" s="588"/>
      <c r="AD9" s="588"/>
    </row>
    <row r="10" spans="2:30" s="14" customFormat="1" ht="15.75" customHeight="1">
      <c r="B10" s="24" t="s">
        <v>203</v>
      </c>
      <c r="C10" s="433">
        <v>0</v>
      </c>
      <c r="D10" s="433">
        <v>321.66666666666669</v>
      </c>
      <c r="E10" s="433"/>
      <c r="F10" s="433">
        <v>308</v>
      </c>
      <c r="G10" s="433">
        <v>203.48888888888888</v>
      </c>
      <c r="H10" s="433"/>
      <c r="I10" s="433">
        <v>201</v>
      </c>
      <c r="J10" s="433">
        <v>350</v>
      </c>
      <c r="K10" s="433">
        <v>201</v>
      </c>
      <c r="L10" s="433">
        <v>317</v>
      </c>
      <c r="M10" s="433">
        <v>205.39523809523808</v>
      </c>
      <c r="N10" s="433">
        <v>319.00555555555559</v>
      </c>
      <c r="O10" s="22"/>
      <c r="P10" s="26"/>
      <c r="Q10" s="22"/>
      <c r="R10" s="22" t="s">
        <v>663</v>
      </c>
      <c r="S10" s="588"/>
      <c r="T10" s="588"/>
      <c r="U10" s="588"/>
      <c r="V10" s="588"/>
      <c r="W10" s="588"/>
      <c r="X10" s="588"/>
      <c r="Y10" s="588"/>
      <c r="Z10" s="588"/>
      <c r="AA10" s="588"/>
      <c r="AB10" s="588"/>
      <c r="AC10" s="588"/>
      <c r="AD10" s="588"/>
    </row>
    <row r="11" spans="2:30" s="14" customFormat="1" ht="15.75" customHeight="1">
      <c r="B11" s="24" t="s">
        <v>204</v>
      </c>
      <c r="C11" s="433">
        <v>0</v>
      </c>
      <c r="D11" s="433">
        <v>430</v>
      </c>
      <c r="E11" s="433"/>
      <c r="F11" s="433"/>
      <c r="G11" s="433">
        <v>208.20138888888886</v>
      </c>
      <c r="H11" s="433"/>
      <c r="I11" s="433">
        <v>198.0625</v>
      </c>
      <c r="J11" s="433">
        <v>350</v>
      </c>
      <c r="K11" s="433">
        <v>201</v>
      </c>
      <c r="L11" s="433">
        <v>386.89655172413791</v>
      </c>
      <c r="M11" s="433">
        <v>208.30208333333331</v>
      </c>
      <c r="N11" s="433">
        <v>400.54597701149424</v>
      </c>
      <c r="O11" s="22"/>
      <c r="P11" s="246"/>
      <c r="Q11" s="22"/>
      <c r="R11" s="586"/>
      <c r="S11" s="588"/>
      <c r="T11" s="588"/>
      <c r="U11" s="588"/>
      <c r="V11" s="588"/>
      <c r="W11" s="588"/>
      <c r="X11" s="588"/>
      <c r="Y11" s="588"/>
      <c r="Z11" s="588"/>
      <c r="AA11" s="588"/>
      <c r="AB11" s="588"/>
      <c r="AC11" s="588"/>
      <c r="AD11" s="588"/>
    </row>
    <row r="12" spans="2:30" s="14" customFormat="1" ht="15.75" customHeight="1">
      <c r="B12" s="24" t="s">
        <v>205</v>
      </c>
      <c r="C12" s="433">
        <v>240</v>
      </c>
      <c r="D12" s="696" t="s">
        <v>727</v>
      </c>
      <c r="E12" s="696" t="s">
        <v>727</v>
      </c>
      <c r="F12" s="696" t="s">
        <v>727</v>
      </c>
      <c r="G12" s="433">
        <v>210.93333333333331</v>
      </c>
      <c r="H12" s="696" t="s">
        <v>727</v>
      </c>
      <c r="I12" s="433">
        <v>207.5</v>
      </c>
      <c r="J12" s="696" t="s">
        <v>727</v>
      </c>
      <c r="K12" s="433">
        <v>201</v>
      </c>
      <c r="L12" s="696" t="s">
        <v>727</v>
      </c>
      <c r="M12" s="433">
        <v>212.06726190476192</v>
      </c>
      <c r="N12" s="696" t="s">
        <v>727</v>
      </c>
      <c r="O12" s="22"/>
      <c r="P12" s="26"/>
      <c r="Q12" s="22"/>
      <c r="R12" s="586"/>
      <c r="S12" s="588"/>
      <c r="T12" s="588"/>
      <c r="U12" s="588"/>
      <c r="V12" s="588"/>
      <c r="W12" s="588"/>
      <c r="X12" s="588"/>
      <c r="Y12" s="588"/>
      <c r="Z12" s="588"/>
      <c r="AA12" s="588"/>
      <c r="AB12" s="588"/>
      <c r="AC12" s="588"/>
      <c r="AD12" s="588"/>
    </row>
    <row r="13" spans="2:30" s="14" customFormat="1" ht="15.75" customHeight="1">
      <c r="B13" s="24" t="s">
        <v>206</v>
      </c>
      <c r="C13" s="433">
        <v>240</v>
      </c>
      <c r="D13" s="696" t="s">
        <v>727</v>
      </c>
      <c r="E13" s="696" t="s">
        <v>727</v>
      </c>
      <c r="F13" s="696" t="s">
        <v>727</v>
      </c>
      <c r="G13" s="433">
        <v>218.72849462365593</v>
      </c>
      <c r="H13" s="696" t="s">
        <v>727</v>
      </c>
      <c r="I13" s="724">
        <v>196.20967741935485</v>
      </c>
      <c r="J13" s="696" t="s">
        <v>727</v>
      </c>
      <c r="K13" s="724">
        <v>224.51612903225808</v>
      </c>
      <c r="L13" s="696" t="s">
        <v>727</v>
      </c>
      <c r="M13" s="433">
        <v>221.21300563236045</v>
      </c>
      <c r="N13" s="696" t="s">
        <v>727</v>
      </c>
      <c r="O13" s="22"/>
      <c r="P13" s="95"/>
      <c r="Q13" s="22"/>
      <c r="R13" s="586"/>
      <c r="S13" s="588"/>
      <c r="T13" s="588"/>
      <c r="U13" s="588"/>
      <c r="V13" s="588"/>
      <c r="W13" s="588"/>
      <c r="X13" s="588"/>
      <c r="Y13" s="588"/>
      <c r="Z13" s="588"/>
      <c r="AA13" s="588"/>
      <c r="AB13" s="588"/>
      <c r="AC13" s="588"/>
      <c r="AD13" s="588"/>
    </row>
    <row r="14" spans="2:30" s="14" customFormat="1" ht="15.75" customHeight="1">
      <c r="B14" s="24" t="s">
        <v>207</v>
      </c>
      <c r="C14" s="433">
        <v>255.36666666666667</v>
      </c>
      <c r="D14" s="433"/>
      <c r="E14" s="433"/>
      <c r="F14" s="433"/>
      <c r="G14" s="433">
        <v>229.37096774193549</v>
      </c>
      <c r="H14" s="433"/>
      <c r="I14" s="433">
        <v>209.35483870967744</v>
      </c>
      <c r="J14" s="433"/>
      <c r="K14" s="433">
        <v>241.67741935483872</v>
      </c>
      <c r="L14" s="433"/>
      <c r="M14" s="433">
        <v>239.81566820276501</v>
      </c>
      <c r="N14" s="433"/>
      <c r="O14" s="22"/>
      <c r="P14" s="95"/>
      <c r="Q14" s="22"/>
      <c r="R14" s="586"/>
      <c r="S14" s="588"/>
      <c r="T14" s="588"/>
      <c r="U14" s="588"/>
      <c r="V14" s="588"/>
      <c r="W14" s="588"/>
      <c r="X14" s="588"/>
      <c r="Y14" s="588"/>
      <c r="Z14" s="588"/>
      <c r="AA14" s="588"/>
      <c r="AB14" s="588"/>
      <c r="AC14" s="588"/>
      <c r="AD14" s="588"/>
    </row>
    <row r="15" spans="2:30" s="14" customFormat="1" ht="15.75" customHeight="1">
      <c r="B15" s="24" t="s">
        <v>208</v>
      </c>
      <c r="C15" s="433">
        <v>271.10000000000002</v>
      </c>
      <c r="D15" s="433"/>
      <c r="E15" s="433"/>
      <c r="F15" s="433"/>
      <c r="G15" s="433">
        <v>231.25</v>
      </c>
      <c r="H15" s="433"/>
      <c r="I15" s="433">
        <v>210</v>
      </c>
      <c r="J15" s="433"/>
      <c r="K15" s="433">
        <v>256.16666666666669</v>
      </c>
      <c r="L15" s="433"/>
      <c r="M15" s="433">
        <v>249.5</v>
      </c>
      <c r="N15" s="433"/>
      <c r="O15" s="22"/>
      <c r="P15" s="22"/>
      <c r="Q15" s="22"/>
      <c r="R15" s="586"/>
      <c r="S15" s="588"/>
      <c r="T15" s="588"/>
      <c r="U15" s="588"/>
      <c r="V15" s="588"/>
      <c r="W15" s="588"/>
      <c r="X15" s="588"/>
      <c r="Y15" s="588"/>
      <c r="Z15" s="588"/>
      <c r="AA15" s="588"/>
      <c r="AB15" s="588"/>
      <c r="AC15" s="588"/>
      <c r="AD15" s="588"/>
    </row>
    <row r="16" spans="2:30" s="14" customFormat="1" ht="15.75" customHeight="1">
      <c r="B16" s="24" t="s">
        <v>209</v>
      </c>
      <c r="C16" s="433">
        <v>299.58064516129036</v>
      </c>
      <c r="D16" s="433"/>
      <c r="E16" s="433"/>
      <c r="F16" s="433"/>
      <c r="G16" s="433">
        <v>240.78225806451613</v>
      </c>
      <c r="H16" s="433"/>
      <c r="I16" s="433">
        <v>210</v>
      </c>
      <c r="J16" s="433"/>
      <c r="K16" s="433">
        <v>267</v>
      </c>
      <c r="L16" s="433"/>
      <c r="M16" s="433">
        <v>264.58774845226452</v>
      </c>
      <c r="N16" s="433"/>
      <c r="O16" s="22"/>
      <c r="P16" s="22"/>
      <c r="Q16" s="22"/>
      <c r="R16" s="589"/>
      <c r="S16" s="588"/>
      <c r="T16" s="588"/>
      <c r="U16" s="588"/>
      <c r="V16" s="588"/>
      <c r="W16" s="588"/>
      <c r="X16" s="588"/>
      <c r="Y16" s="588"/>
      <c r="Z16" s="588"/>
      <c r="AA16" s="588"/>
      <c r="AB16" s="588"/>
      <c r="AC16" s="588"/>
      <c r="AD16" s="588"/>
    </row>
    <row r="17" spans="2:30" s="14" customFormat="1" ht="15.75" customHeight="1">
      <c r="B17" s="24" t="s">
        <v>193</v>
      </c>
      <c r="C17" s="433">
        <v>307.5</v>
      </c>
      <c r="D17" s="433"/>
      <c r="E17" s="433"/>
      <c r="F17" s="433"/>
      <c r="G17" s="433">
        <v>264.94166666666666</v>
      </c>
      <c r="H17" s="433"/>
      <c r="I17" s="433">
        <v>210</v>
      </c>
      <c r="J17" s="433"/>
      <c r="K17" s="433"/>
      <c r="L17" s="433"/>
      <c r="M17" s="433">
        <v>265.03777777777776</v>
      </c>
      <c r="N17" s="433"/>
      <c r="O17" s="22"/>
      <c r="P17" s="26"/>
      <c r="Q17" s="22"/>
      <c r="R17" s="586"/>
      <c r="S17" s="588"/>
      <c r="T17" s="588"/>
      <c r="U17" s="588"/>
      <c r="V17" s="588"/>
      <c r="W17" s="588"/>
      <c r="X17" s="588"/>
      <c r="Y17" s="588"/>
      <c r="Z17" s="588"/>
      <c r="AA17" s="588"/>
      <c r="AB17" s="588"/>
      <c r="AC17" s="588"/>
      <c r="AD17" s="588"/>
    </row>
    <row r="18" spans="2:30" s="14" customFormat="1" ht="15.75" customHeight="1">
      <c r="B18" s="24" t="s">
        <v>194</v>
      </c>
      <c r="C18" s="433">
        <v>314.15509259259261</v>
      </c>
      <c r="D18" s="433"/>
      <c r="E18" s="433">
        <v>295.4649122807017</v>
      </c>
      <c r="F18" s="433"/>
      <c r="G18" s="433">
        <v>277.69791666666669</v>
      </c>
      <c r="H18" s="433"/>
      <c r="I18" s="433">
        <v>308.95833333333331</v>
      </c>
      <c r="J18" s="433"/>
      <c r="K18" s="433"/>
      <c r="L18" s="433"/>
      <c r="M18" s="433">
        <v>302.93791341508734</v>
      </c>
      <c r="N18" s="433"/>
      <c r="O18" s="22"/>
      <c r="P18" s="26"/>
      <c r="Q18" s="22"/>
      <c r="R18" s="586"/>
      <c r="S18" s="588"/>
      <c r="T18" s="588"/>
      <c r="U18" s="588"/>
      <c r="V18" s="588"/>
      <c r="W18" s="588"/>
      <c r="X18" s="588"/>
      <c r="Y18" s="588"/>
      <c r="Z18" s="588"/>
      <c r="AA18" s="588"/>
      <c r="AB18" s="588"/>
      <c r="AC18" s="588"/>
      <c r="AD18" s="588"/>
    </row>
    <row r="19" spans="2:30" s="14" customFormat="1" ht="15" customHeight="1">
      <c r="B19" s="868" t="s">
        <v>728</v>
      </c>
      <c r="C19" s="868"/>
      <c r="D19" s="868"/>
      <c r="E19" s="868"/>
      <c r="F19" s="868"/>
      <c r="G19" s="868"/>
      <c r="H19" s="868"/>
      <c r="I19" s="868"/>
      <c r="J19" s="868"/>
      <c r="K19" s="868"/>
      <c r="L19" s="868"/>
      <c r="M19" s="868"/>
      <c r="N19" s="868"/>
      <c r="O19" s="22"/>
      <c r="P19" s="22"/>
      <c r="Q19" s="22"/>
      <c r="R19" s="22"/>
      <c r="S19" s="22"/>
      <c r="T19" s="22"/>
      <c r="U19" s="22"/>
      <c r="V19" s="22"/>
    </row>
    <row r="20" spans="2:30" ht="33" customHeight="1">
      <c r="B20" s="868"/>
      <c r="C20" s="868"/>
      <c r="D20" s="868"/>
      <c r="E20" s="868"/>
      <c r="F20" s="868"/>
      <c r="G20" s="868"/>
      <c r="H20" s="868"/>
      <c r="I20" s="868"/>
      <c r="J20" s="868"/>
      <c r="K20" s="868"/>
      <c r="L20" s="868"/>
      <c r="M20" s="868"/>
      <c r="N20" s="868"/>
    </row>
    <row r="21" spans="2:30" ht="14.25" customHeight="1">
      <c r="B21" s="865"/>
      <c r="C21" s="865"/>
      <c r="D21" s="865"/>
      <c r="E21" s="865"/>
      <c r="F21" s="865"/>
      <c r="G21" s="865"/>
      <c r="H21" s="865"/>
      <c r="I21" s="50"/>
      <c r="J21" s="50"/>
      <c r="K21" s="50"/>
      <c r="L21" s="50"/>
      <c r="M21" s="50"/>
      <c r="N21" s="49"/>
    </row>
    <row r="22" spans="2:30">
      <c r="J22" s="6"/>
      <c r="K22" s="6"/>
    </row>
    <row r="23" spans="2:30">
      <c r="J23" s="6"/>
      <c r="K23" s="6"/>
    </row>
    <row r="24" spans="2:30">
      <c r="J24" s="6"/>
      <c r="K24" s="6"/>
    </row>
    <row r="25" spans="2:30">
      <c r="J25" s="6"/>
      <c r="K25" s="6"/>
    </row>
    <row r="26" spans="2:30">
      <c r="J26" s="6"/>
      <c r="K26" s="6"/>
    </row>
    <row r="27" spans="2:30">
      <c r="J27" s="6"/>
      <c r="K27" s="6"/>
    </row>
    <row r="28" spans="2:30">
      <c r="J28" s="6"/>
      <c r="K28" s="6"/>
    </row>
    <row r="29" spans="2:30">
      <c r="J29" s="6"/>
      <c r="K29" s="6"/>
    </row>
    <row r="33" spans="19:30" ht="18">
      <c r="S33" s="590"/>
      <c r="T33" s="590"/>
      <c r="U33" s="590"/>
      <c r="V33" s="590"/>
      <c r="W33" s="590"/>
      <c r="X33" s="590"/>
      <c r="Y33" s="590"/>
      <c r="Z33" s="590"/>
      <c r="AA33" s="590"/>
      <c r="AB33" s="590"/>
      <c r="AC33" s="590"/>
      <c r="AD33" s="590"/>
    </row>
    <row r="34" spans="19:30" ht="18">
      <c r="S34" s="590"/>
      <c r="T34" s="590"/>
      <c r="U34" s="590"/>
      <c r="V34" s="590"/>
      <c r="W34" s="590"/>
      <c r="X34" s="590"/>
      <c r="Y34" s="590"/>
      <c r="Z34" s="590"/>
      <c r="AA34" s="590"/>
      <c r="AB34" s="590"/>
      <c r="AC34" s="590"/>
      <c r="AD34" s="590"/>
    </row>
    <row r="36" spans="19:30" ht="13.7" customHeight="1"/>
    <row r="37" spans="19:30" ht="13.7" customHeight="1"/>
    <row r="38" spans="19:30" ht="13.7" customHeight="1"/>
    <row r="39" spans="19:30" ht="13.7" customHeight="1"/>
    <row r="40" spans="19:30" ht="12.75" customHeight="1"/>
    <row r="41" spans="19:30" ht="12.75" customHeight="1"/>
    <row r="42" spans="19:30" ht="15" customHeight="1"/>
    <row r="43" spans="19:30" ht="15" customHeight="1"/>
    <row r="44" spans="19:30" ht="15" customHeight="1"/>
    <row r="45" spans="19:30" ht="15" customHeight="1"/>
    <row r="46" spans="19:30" ht="15" customHeight="1"/>
    <row r="47" spans="19:30" ht="15" customHeight="1"/>
    <row r="48" spans="19:30"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c r="U60" s="7"/>
    </row>
    <row r="61" spans="21:21" ht="15" customHeight="1">
      <c r="U61" s="7"/>
    </row>
    <row r="62" spans="21:21" ht="15" customHeight="1">
      <c r="U62" s="7"/>
    </row>
    <row r="63" spans="21:21" ht="15" customHeight="1">
      <c r="U63" s="7"/>
    </row>
    <row r="64" spans="21:21" ht="15" customHeight="1">
      <c r="U64" s="7"/>
    </row>
    <row r="65" spans="21:21" ht="15" customHeight="1">
      <c r="U65" s="7"/>
    </row>
    <row r="66" spans="21:21" ht="15" customHeight="1">
      <c r="U66" s="7"/>
    </row>
    <row r="67" spans="21:21" ht="15" customHeight="1"/>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sheetData>
  <mergeCells count="12">
    <mergeCell ref="B1:N1"/>
    <mergeCell ref="B4:N4"/>
    <mergeCell ref="B5:B6"/>
    <mergeCell ref="C5:D5"/>
    <mergeCell ref="E5:F5"/>
    <mergeCell ref="B21:H21"/>
    <mergeCell ref="B3:N3"/>
    <mergeCell ref="G5:H5"/>
    <mergeCell ref="I5:J5"/>
    <mergeCell ref="K5:L5"/>
    <mergeCell ref="M5:N5"/>
    <mergeCell ref="B19:N20"/>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8"/>
  <sheetViews>
    <sheetView zoomScale="80" zoomScaleNormal="80" workbookViewId="0">
      <selection activeCell="G10" sqref="G10"/>
    </sheetView>
  </sheetViews>
  <sheetFormatPr baseColWidth="10" defaultColWidth="10.90625" defaultRowHeight="18"/>
  <cols>
    <col min="1" max="5" width="12.36328125" customWidth="1"/>
    <col min="7" max="7" width="58.1796875" style="97" customWidth="1"/>
  </cols>
  <sheetData>
    <row r="1" spans="1:7">
      <c r="A1" s="767" t="s">
        <v>12</v>
      </c>
      <c r="B1" s="767"/>
      <c r="C1" s="767"/>
      <c r="D1" s="767"/>
      <c r="E1" s="767"/>
    </row>
    <row r="2" spans="1:7">
      <c r="A2" s="768"/>
      <c r="B2" s="768"/>
      <c r="C2" s="768"/>
      <c r="D2" s="768"/>
      <c r="E2" s="768"/>
    </row>
    <row r="3" spans="1:7" ht="27.95" customHeight="1">
      <c r="A3" s="769" t="s">
        <v>764</v>
      </c>
      <c r="B3" s="769"/>
      <c r="C3" s="769"/>
      <c r="D3" s="769"/>
      <c r="E3" s="769"/>
      <c r="G3" s="97" t="s">
        <v>13</v>
      </c>
    </row>
    <row r="4" spans="1:7" ht="18.95" customHeight="1">
      <c r="A4" s="769"/>
      <c r="B4" s="769"/>
      <c r="C4" s="769"/>
      <c r="D4" s="769"/>
      <c r="E4" s="769"/>
    </row>
    <row r="5" spans="1:7" ht="27.95" customHeight="1">
      <c r="A5" s="769"/>
      <c r="B5" s="769"/>
      <c r="C5" s="769"/>
      <c r="D5" s="769"/>
      <c r="E5" s="769"/>
    </row>
    <row r="6" spans="1:7" ht="36.950000000000003" customHeight="1">
      <c r="A6" s="769"/>
      <c r="B6" s="769"/>
      <c r="C6" s="769"/>
      <c r="D6" s="769"/>
      <c r="E6" s="769"/>
    </row>
    <row r="7" spans="1:7" ht="36.950000000000003" customHeight="1">
      <c r="A7" s="769"/>
      <c r="B7" s="769"/>
      <c r="C7" s="769"/>
      <c r="D7" s="769"/>
      <c r="E7" s="769"/>
    </row>
    <row r="8" spans="1:7" ht="39.75" customHeight="1">
      <c r="A8" s="769"/>
      <c r="B8" s="769"/>
      <c r="C8" s="769"/>
      <c r="D8" s="769"/>
      <c r="E8" s="769"/>
    </row>
    <row r="9" spans="1:7" ht="39.75" customHeight="1">
      <c r="A9" s="769"/>
      <c r="B9" s="769"/>
      <c r="C9" s="769"/>
      <c r="D9" s="769"/>
      <c r="E9" s="769"/>
    </row>
    <row r="10" spans="1:7" ht="39.75" customHeight="1">
      <c r="A10" s="769"/>
      <c r="B10" s="769"/>
      <c r="C10" s="769"/>
      <c r="D10" s="769"/>
      <c r="E10" s="769"/>
    </row>
    <row r="11" spans="1:7" ht="409.6" customHeight="1">
      <c r="A11" s="769"/>
      <c r="B11" s="769"/>
      <c r="C11" s="769"/>
      <c r="D11" s="769"/>
      <c r="E11" s="769"/>
    </row>
    <row r="12" spans="1:7" ht="29.25" customHeight="1">
      <c r="C12" s="69"/>
    </row>
    <row r="13" spans="1:7">
      <c r="C13" s="69"/>
    </row>
    <row r="14" spans="1:7">
      <c r="C14" s="69"/>
    </row>
    <row r="15" spans="1:7">
      <c r="C15" s="69"/>
    </row>
    <row r="16" spans="1:7">
      <c r="C16" s="69"/>
    </row>
    <row r="17" spans="3:3">
      <c r="C17" s="69"/>
    </row>
    <row r="18" spans="3:3">
      <c r="C18" s="69"/>
    </row>
  </sheetData>
  <mergeCells count="3">
    <mergeCell ref="A1:E1"/>
    <mergeCell ref="A2:E2"/>
    <mergeCell ref="A3:E11"/>
  </mergeCells>
  <pageMargins left="0.70866141732283472" right="0.70866141732283472" top="0.74803149606299213" bottom="0.74803149606299213" header="0.31496062992125984" footer="0.31496062992125984"/>
  <pageSetup paperSize="12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O139"/>
  <sheetViews>
    <sheetView topLeftCell="B1" zoomScaleNormal="100" zoomScaleSheetLayoutView="75" workbookViewId="0">
      <selection activeCell="J18" sqref="J18"/>
    </sheetView>
  </sheetViews>
  <sheetFormatPr baseColWidth="10" defaultColWidth="10.90625" defaultRowHeight="12"/>
  <cols>
    <col min="1" max="1" width="2.26953125" style="1" customWidth="1"/>
    <col min="2" max="2" width="8.81640625" style="4" customWidth="1"/>
    <col min="3" max="4" width="8.81640625" style="1" customWidth="1"/>
    <col min="5" max="5" width="8.81640625" style="1" hidden="1" customWidth="1"/>
    <col min="6" max="8" width="8.81640625" style="1" customWidth="1"/>
    <col min="9" max="9" width="5.08984375" style="1" bestFit="1" customWidth="1"/>
    <col min="10" max="10" width="8.26953125" style="1" customWidth="1"/>
    <col min="11" max="16384" width="10.90625" style="1"/>
  </cols>
  <sheetData>
    <row r="1" spans="2:15" s="18" customFormat="1" ht="12.75">
      <c r="B1" s="767" t="s">
        <v>245</v>
      </c>
      <c r="C1" s="767"/>
      <c r="D1" s="767"/>
      <c r="E1" s="767"/>
      <c r="F1" s="767"/>
      <c r="G1" s="767"/>
      <c r="H1" s="767"/>
    </row>
    <row r="2" spans="2:15" s="18" customFormat="1" ht="12.75">
      <c r="B2" s="17"/>
      <c r="C2" s="15"/>
      <c r="D2" s="15"/>
      <c r="E2" s="15"/>
      <c r="F2" s="15"/>
      <c r="G2" s="15"/>
    </row>
    <row r="3" spans="2:15" s="18" customFormat="1" ht="12.75">
      <c r="B3" s="767" t="s">
        <v>246</v>
      </c>
      <c r="C3" s="767"/>
      <c r="D3" s="767"/>
      <c r="E3" s="767"/>
      <c r="F3" s="767"/>
      <c r="G3" s="767"/>
      <c r="H3" s="767"/>
    </row>
    <row r="4" spans="2:15" s="18" customFormat="1" ht="12.75">
      <c r="B4" s="767" t="s">
        <v>247</v>
      </c>
      <c r="C4" s="767"/>
      <c r="D4" s="767"/>
      <c r="E4" s="767"/>
      <c r="F4" s="767"/>
      <c r="G4" s="767"/>
      <c r="H4" s="767"/>
    </row>
    <row r="5" spans="2:15" s="18" customFormat="1" ht="66.75" customHeight="1">
      <c r="B5" s="527" t="s">
        <v>198</v>
      </c>
      <c r="C5" s="401" t="s">
        <v>248</v>
      </c>
      <c r="D5" s="401" t="s">
        <v>249</v>
      </c>
      <c r="E5" s="401" t="s">
        <v>250</v>
      </c>
      <c r="F5" s="401" t="s">
        <v>251</v>
      </c>
      <c r="G5" s="401" t="s">
        <v>252</v>
      </c>
      <c r="H5" s="401" t="s">
        <v>253</v>
      </c>
      <c r="J5" s="725"/>
      <c r="K5" s="725"/>
      <c r="L5" s="725"/>
      <c r="M5" s="725"/>
      <c r="N5" s="726"/>
      <c r="O5" s="726"/>
    </row>
    <row r="6" spans="2:15" ht="14.25" customHeight="1">
      <c r="B6" s="528">
        <v>44197</v>
      </c>
      <c r="C6" s="312">
        <v>206.52368560645161</v>
      </c>
      <c r="D6" s="312">
        <v>238.06580645161293</v>
      </c>
      <c r="E6" s="312">
        <v>0</v>
      </c>
      <c r="F6" s="312">
        <v>235.21935483870965</v>
      </c>
      <c r="G6" s="312">
        <v>205.9375</v>
      </c>
      <c r="H6" s="312">
        <v>179.06751708119464</v>
      </c>
      <c r="I6" s="722"/>
      <c r="J6" s="727"/>
      <c r="K6" s="728"/>
      <c r="L6" s="729"/>
      <c r="M6" s="729"/>
      <c r="N6" s="729"/>
      <c r="O6" s="729"/>
    </row>
    <row r="7" spans="2:15" ht="14.25" customHeight="1">
      <c r="B7" s="528">
        <v>44228</v>
      </c>
      <c r="C7" s="312">
        <v>208.47107582500001</v>
      </c>
      <c r="D7" s="312">
        <v>240.04750000000001</v>
      </c>
      <c r="E7" s="312">
        <v>0</v>
      </c>
      <c r="F7" s="312">
        <v>228.05</v>
      </c>
      <c r="G7" s="312">
        <v>213.75</v>
      </c>
      <c r="H7" s="312">
        <v>189.30695667784781</v>
      </c>
      <c r="I7" s="722"/>
      <c r="J7" s="727"/>
      <c r="K7" s="728"/>
      <c r="L7" s="728"/>
      <c r="M7" s="728"/>
      <c r="N7" s="728"/>
      <c r="O7" s="728"/>
    </row>
    <row r="8" spans="2:15" ht="14.25" customHeight="1">
      <c r="B8" s="528">
        <v>44256</v>
      </c>
      <c r="C8" s="312">
        <v>206.6650406580645</v>
      </c>
      <c r="D8" s="312">
        <v>243.50451612903228</v>
      </c>
      <c r="E8" s="312">
        <v>0</v>
      </c>
      <c r="F8" s="312">
        <v>226.72774193548386</v>
      </c>
      <c r="G8" s="312"/>
      <c r="H8" s="312">
        <v>183.41406272080454</v>
      </c>
      <c r="I8" s="245"/>
      <c r="J8" s="730"/>
      <c r="K8" s="729"/>
      <c r="L8" s="728"/>
      <c r="M8" s="729"/>
      <c r="N8" s="729"/>
      <c r="O8" s="729"/>
    </row>
    <row r="9" spans="2:15" ht="14.25" customHeight="1">
      <c r="B9" s="528">
        <v>44287</v>
      </c>
      <c r="C9" s="312">
        <v>205.32786012666668</v>
      </c>
      <c r="D9" s="312">
        <v>239.45733333333334</v>
      </c>
      <c r="E9" s="312">
        <v>0</v>
      </c>
      <c r="F9" s="312">
        <v>227.636</v>
      </c>
      <c r="G9" s="312"/>
      <c r="H9" s="312">
        <v>204.15279983555058</v>
      </c>
      <c r="I9" s="245"/>
      <c r="J9" s="730"/>
      <c r="K9" s="729"/>
      <c r="L9" s="728"/>
      <c r="M9" s="729"/>
      <c r="N9" s="729"/>
      <c r="O9" s="729"/>
    </row>
    <row r="10" spans="2:15" ht="14.25" customHeight="1">
      <c r="B10" s="528">
        <v>44317</v>
      </c>
      <c r="C10" s="312">
        <v>211.2085545354839</v>
      </c>
      <c r="D10" s="312">
        <v>246.23354838709679</v>
      </c>
      <c r="E10" s="312">
        <v>0</v>
      </c>
      <c r="F10" s="312">
        <v>239.34774193548387</v>
      </c>
      <c r="G10" s="312"/>
      <c r="H10" s="312">
        <v>210.65756835698585</v>
      </c>
      <c r="I10" s="245"/>
      <c r="J10" s="730"/>
      <c r="K10" s="729"/>
      <c r="L10" s="728"/>
      <c r="M10" s="729"/>
      <c r="N10" s="729"/>
      <c r="O10" s="729"/>
    </row>
    <row r="11" spans="2:15" ht="14.25" customHeight="1">
      <c r="B11" s="528">
        <v>44348</v>
      </c>
      <c r="C11" s="312">
        <v>201.10716614666663</v>
      </c>
      <c r="D11" s="312">
        <v>245.18666666666667</v>
      </c>
      <c r="E11" s="312">
        <v>0</v>
      </c>
      <c r="F11" s="312">
        <v>243.10333333333332</v>
      </c>
      <c r="G11" s="312">
        <v>240</v>
      </c>
      <c r="H11" s="312">
        <v>209.66826032490411</v>
      </c>
      <c r="I11" s="245"/>
      <c r="J11" s="730"/>
      <c r="K11" s="729"/>
      <c r="L11" s="728"/>
      <c r="M11" s="729"/>
      <c r="N11" s="729"/>
      <c r="O11" s="729"/>
    </row>
    <row r="12" spans="2:15" ht="14.25" customHeight="1">
      <c r="B12" s="528">
        <v>44378</v>
      </c>
      <c r="C12" s="312">
        <v>197.07337011612904</v>
      </c>
      <c r="D12" s="312">
        <v>240.82741935483872</v>
      </c>
      <c r="E12" s="312">
        <v>0</v>
      </c>
      <c r="F12" s="312">
        <v>251.781935483871</v>
      </c>
      <c r="G12" s="312">
        <v>240</v>
      </c>
      <c r="H12" s="312">
        <v>220.76350792425433</v>
      </c>
      <c r="I12" s="245"/>
      <c r="J12" s="730"/>
      <c r="K12" s="729"/>
      <c r="L12" s="728"/>
      <c r="M12" s="729"/>
      <c r="N12" s="729"/>
      <c r="O12" s="729"/>
    </row>
    <row r="13" spans="2:15" ht="14.25" customHeight="1">
      <c r="B13" s="528">
        <v>44409</v>
      </c>
      <c r="C13" s="312">
        <v>221.59484986451614</v>
      </c>
      <c r="D13" s="312">
        <v>280.78870967741938</v>
      </c>
      <c r="E13" s="312">
        <v>0</v>
      </c>
      <c r="F13" s="312">
        <v>269.73161290322582</v>
      </c>
      <c r="G13" s="312">
        <v>255.36666666666667</v>
      </c>
      <c r="H13" s="312">
        <v>241.25919977991967</v>
      </c>
      <c r="I13" s="245"/>
      <c r="J13" s="730"/>
      <c r="K13" s="729"/>
      <c r="L13" s="728"/>
      <c r="M13" s="729"/>
      <c r="N13" s="729"/>
      <c r="O13" s="729"/>
    </row>
    <row r="14" spans="2:15" ht="14.25" customHeight="1">
      <c r="B14" s="528">
        <v>44440</v>
      </c>
      <c r="C14" s="312">
        <v>237.3859754333333</v>
      </c>
      <c r="D14" s="312">
        <v>295.92366666666663</v>
      </c>
      <c r="E14" s="312">
        <v>0</v>
      </c>
      <c r="F14" s="312">
        <v>284.89733333333334</v>
      </c>
      <c r="G14" s="312">
        <v>271.10000000000002</v>
      </c>
      <c r="H14" s="312">
        <v>254.62518425105466</v>
      </c>
      <c r="I14" s="245"/>
      <c r="J14" s="730"/>
      <c r="K14" s="729"/>
      <c r="L14" s="728"/>
      <c r="M14" s="729"/>
      <c r="N14" s="729"/>
      <c r="O14" s="729"/>
    </row>
    <row r="15" spans="2:15" ht="14.25" customHeight="1">
      <c r="B15" s="528">
        <v>44470</v>
      </c>
      <c r="C15" s="312">
        <v>260.36799569677419</v>
      </c>
      <c r="D15" s="312">
        <v>322.99709677419355</v>
      </c>
      <c r="E15" s="312">
        <v>0</v>
      </c>
      <c r="F15" s="312">
        <v>305.43677419354839</v>
      </c>
      <c r="G15" s="312">
        <v>299.58064516129036</v>
      </c>
      <c r="H15" s="312">
        <v>259.79918706588194</v>
      </c>
      <c r="I15" s="245"/>
      <c r="J15" s="730"/>
      <c r="K15" s="729"/>
      <c r="L15" s="728"/>
      <c r="M15" s="729"/>
      <c r="N15" s="729"/>
      <c r="O15" s="729"/>
    </row>
    <row r="16" spans="2:15" ht="14.25" customHeight="1">
      <c r="B16" s="528">
        <v>44501</v>
      </c>
      <c r="C16" s="312">
        <v>284.10243978666665</v>
      </c>
      <c r="D16" s="312">
        <v>367.767</v>
      </c>
      <c r="E16" s="312">
        <v>0</v>
      </c>
      <c r="F16" s="312">
        <v>323.863</v>
      </c>
      <c r="G16" s="312">
        <v>307.5</v>
      </c>
      <c r="H16" s="312">
        <v>269.92286061216396</v>
      </c>
      <c r="I16" s="245"/>
      <c r="J16" s="730"/>
      <c r="K16" s="729"/>
      <c r="L16" s="728"/>
      <c r="M16" s="729"/>
      <c r="N16" s="729"/>
      <c r="O16" s="729"/>
    </row>
    <row r="17" spans="2:15" ht="14.25" customHeight="1">
      <c r="B17" s="528">
        <v>44531</v>
      </c>
      <c r="C17" s="312">
        <v>287.9614667806452</v>
      </c>
      <c r="D17" s="312">
        <v>370.1725806451613</v>
      </c>
      <c r="E17" s="312">
        <v>0</v>
      </c>
      <c r="F17" s="312">
        <v>340.73096774193544</v>
      </c>
      <c r="G17" s="312">
        <v>314.15509259259261</v>
      </c>
      <c r="H17" s="312">
        <v>294.84701899390365</v>
      </c>
      <c r="I17" s="245"/>
      <c r="J17" s="730"/>
      <c r="K17" s="729"/>
      <c r="L17" s="728"/>
      <c r="M17" s="729"/>
      <c r="N17" s="729"/>
      <c r="O17" s="729"/>
    </row>
    <row r="18" spans="2:15" ht="14.25" customHeight="1">
      <c r="B18" s="528">
        <v>44562</v>
      </c>
      <c r="C18" s="312">
        <v>275.58402632258066</v>
      </c>
      <c r="D18" s="312">
        <v>353.91774193548389</v>
      </c>
      <c r="E18" s="312">
        <v>0</v>
      </c>
      <c r="F18" s="312">
        <v>324.30677419354839</v>
      </c>
      <c r="G18" s="312">
        <v>311.08832565284177</v>
      </c>
      <c r="H18" s="312">
        <v>267.76866535875007</v>
      </c>
      <c r="I18" s="722"/>
      <c r="J18" s="727"/>
      <c r="K18" s="728"/>
      <c r="L18" s="728"/>
      <c r="M18" s="728"/>
      <c r="N18" s="728"/>
      <c r="O18" s="728"/>
    </row>
    <row r="19" spans="2:15" ht="14.25" customHeight="1">
      <c r="B19" s="528">
        <v>44593</v>
      </c>
      <c r="C19" s="312">
        <v>285.49492586785715</v>
      </c>
      <c r="D19" s="312">
        <v>353.36607142857144</v>
      </c>
      <c r="E19" s="312">
        <v>0</v>
      </c>
      <c r="F19" s="312">
        <v>325.3257142857143</v>
      </c>
      <c r="G19" s="312">
        <v>314.15816326530614</v>
      </c>
      <c r="H19" s="312">
        <v>283.74659203941059</v>
      </c>
      <c r="I19" s="722"/>
      <c r="J19" s="727"/>
      <c r="K19" s="728"/>
      <c r="L19" s="672"/>
      <c r="M19" s="672"/>
      <c r="N19" s="729"/>
      <c r="O19" s="729"/>
    </row>
    <row r="20" spans="2:15" ht="14.25" customHeight="1">
      <c r="B20" s="528">
        <v>44621</v>
      </c>
      <c r="C20" s="312">
        <v>371.82381054838703</v>
      </c>
      <c r="D20" s="312">
        <v>440.50032258064516</v>
      </c>
      <c r="E20" s="312">
        <v>0</v>
      </c>
      <c r="F20" s="312">
        <v>393.41967741935485</v>
      </c>
      <c r="G20" s="312">
        <v>321.02150537634407</v>
      </c>
      <c r="H20" s="312">
        <v>278.05501162064633</v>
      </c>
      <c r="I20" s="245"/>
      <c r="J20" s="730"/>
      <c r="K20" s="425"/>
      <c r="L20" s="425"/>
      <c r="M20" s="425"/>
      <c r="N20" s="425"/>
      <c r="O20" s="425"/>
    </row>
    <row r="21" spans="2:15" ht="14.25" customHeight="1">
      <c r="B21" s="528">
        <v>44652</v>
      </c>
      <c r="C21" s="312">
        <v>359.99697766533342</v>
      </c>
      <c r="D21" s="312">
        <v>428.64464075649948</v>
      </c>
      <c r="E21" s="312">
        <v>0</v>
      </c>
      <c r="F21" s="312">
        <v>405.56366243244156</v>
      </c>
      <c r="G21" s="312">
        <v>321.66666666666669</v>
      </c>
      <c r="H21" s="312">
        <v>290.36895454054587</v>
      </c>
      <c r="I21" s="245"/>
      <c r="J21" s="730"/>
      <c r="K21" s="728"/>
      <c r="L21" s="672"/>
      <c r="M21" s="672"/>
      <c r="N21" s="729"/>
      <c r="O21" s="729"/>
    </row>
    <row r="22" spans="2:15" ht="14.25" customHeight="1">
      <c r="B22" s="528">
        <v>44682</v>
      </c>
      <c r="C22" s="312">
        <v>397.0527512386206</v>
      </c>
      <c r="D22" s="312">
        <v>462.79371025013364</v>
      </c>
      <c r="E22" s="312"/>
      <c r="F22" s="312">
        <v>467.04868495006764</v>
      </c>
      <c r="G22" s="312">
        <v>430</v>
      </c>
      <c r="H22" s="312">
        <v>350.13848762681442</v>
      </c>
      <c r="I22" s="245"/>
      <c r="J22" s="730"/>
      <c r="K22" s="425"/>
      <c r="L22" s="672"/>
      <c r="M22" s="672"/>
      <c r="N22" s="729"/>
      <c r="O22" s="729"/>
    </row>
    <row r="23" spans="2:15" ht="14.25" customHeight="1">
      <c r="B23" s="528">
        <v>44713</v>
      </c>
      <c r="C23" s="312">
        <v>340.37579243673076</v>
      </c>
      <c r="D23" s="312">
        <v>409.72917165816102</v>
      </c>
      <c r="E23" s="312">
        <v>0</v>
      </c>
      <c r="F23" s="312">
        <v>484.11451337298496</v>
      </c>
      <c r="G23" s="312"/>
      <c r="H23" s="312">
        <v>358.36082903826508</v>
      </c>
      <c r="I23" s="723"/>
      <c r="J23" s="730"/>
      <c r="K23" s="425"/>
      <c r="L23" s="672"/>
      <c r="M23" s="672"/>
      <c r="N23" s="729"/>
      <c r="O23" s="729"/>
    </row>
    <row r="24" spans="2:15" ht="14.25" customHeight="1">
      <c r="B24" s="528">
        <v>44743</v>
      </c>
      <c r="C24" s="312">
        <v>316.77011321225802</v>
      </c>
      <c r="D24" s="312">
        <v>393.82392885404829</v>
      </c>
      <c r="E24" s="312">
        <v>0</v>
      </c>
      <c r="F24" s="312">
        <v>493.93063833239512</v>
      </c>
      <c r="G24" s="312"/>
      <c r="H24" s="312">
        <v>478.33443848605827</v>
      </c>
      <c r="I24" s="723"/>
      <c r="J24" s="730"/>
      <c r="K24" s="425"/>
      <c r="L24" s="672"/>
      <c r="M24" s="672"/>
      <c r="N24" s="729"/>
      <c r="O24" s="729"/>
    </row>
    <row r="25" spans="2:15" ht="14.25" customHeight="1">
      <c r="B25" s="792" t="s">
        <v>254</v>
      </c>
      <c r="C25" s="792"/>
      <c r="D25" s="792"/>
      <c r="E25" s="792"/>
      <c r="F25" s="792"/>
      <c r="G25" s="792"/>
      <c r="H25" s="792"/>
      <c r="I25" s="245"/>
      <c r="J25" s="730"/>
      <c r="K25" s="729"/>
      <c r="L25" s="729"/>
      <c r="M25" s="729"/>
      <c r="N25" s="729"/>
      <c r="O25" s="729"/>
    </row>
    <row r="26" spans="2:15" ht="14.25" customHeight="1">
      <c r="B26" s="311"/>
      <c r="C26" s="529"/>
      <c r="D26" s="529"/>
      <c r="E26" s="529"/>
      <c r="F26" s="529"/>
      <c r="G26" s="529"/>
      <c r="H26" s="529"/>
      <c r="I26" s="245"/>
      <c r="J26" s="245"/>
    </row>
    <row r="27" spans="2:15" ht="14.25" customHeight="1">
      <c r="B27" s="311"/>
      <c r="C27" s="529"/>
      <c r="D27" s="529"/>
      <c r="E27" s="529"/>
      <c r="F27" s="529"/>
      <c r="G27" s="529"/>
      <c r="H27" s="529"/>
      <c r="I27" s="245"/>
      <c r="J27" s="245"/>
    </row>
    <row r="28" spans="2:15" ht="15" customHeight="1">
      <c r="B28" s="1"/>
      <c r="I28" s="245"/>
      <c r="J28" s="245"/>
    </row>
    <row r="29" spans="2:15" ht="12.75" customHeight="1">
      <c r="B29" s="1"/>
      <c r="C29" s="30"/>
      <c r="D29" s="30"/>
      <c r="E29" s="30"/>
      <c r="F29" s="30"/>
      <c r="G29" s="30"/>
      <c r="H29" s="30"/>
      <c r="I29" s="30"/>
      <c r="J29" s="30"/>
    </row>
    <row r="30" spans="2:15" ht="15" customHeight="1">
      <c r="C30" s="30"/>
      <c r="G30" s="30"/>
      <c r="I30" s="13"/>
      <c r="J30" s="13"/>
    </row>
    <row r="31" spans="2:15" ht="15" customHeight="1">
      <c r="I31" s="13"/>
      <c r="J31" s="13"/>
    </row>
    <row r="32" spans="2:15" ht="15" customHeight="1">
      <c r="I32" s="13"/>
      <c r="J32" s="13"/>
    </row>
    <row r="33" spans="2:2" ht="15" customHeight="1"/>
    <row r="34" spans="2:2" ht="15" customHeight="1"/>
    <row r="35" spans="2:2" ht="15" customHeight="1"/>
    <row r="36" spans="2:2" ht="15" customHeight="1"/>
    <row r="37" spans="2:2" ht="15" customHeight="1"/>
    <row r="38" spans="2:2" ht="15" customHeight="1"/>
    <row r="39" spans="2:2" ht="15" customHeight="1"/>
    <row r="40" spans="2:2" ht="15" customHeight="1"/>
    <row r="41" spans="2:2" ht="13.7" customHeight="1"/>
    <row r="42" spans="2:2" ht="13.7" customHeight="1"/>
    <row r="43" spans="2:2" ht="13.7" customHeight="1"/>
    <row r="44" spans="2:2" ht="13.7" customHeight="1"/>
    <row r="45" spans="2:2" ht="13.7" customHeight="1"/>
    <row r="46" spans="2:2" ht="7.5" customHeight="1"/>
    <row r="47" spans="2:2" ht="12" customHeight="1"/>
    <row r="48" spans="2:2" ht="13.7" customHeight="1">
      <c r="B48" s="1"/>
    </row>
    <row r="49" spans="9:10" ht="13.7" customHeight="1"/>
    <row r="50" spans="9:10" ht="13.7" customHeight="1"/>
    <row r="51" spans="9:10" ht="13.7" customHeight="1"/>
    <row r="52" spans="9:10" ht="13.7" customHeight="1"/>
    <row r="53" spans="9:10" ht="13.7" customHeight="1"/>
    <row r="54" spans="9:10" ht="13.7" customHeight="1"/>
    <row r="55" spans="9:10" ht="13.7" customHeight="1"/>
    <row r="56" spans="9:10" ht="13.7" customHeight="1"/>
    <row r="57" spans="9:10" ht="13.7" customHeight="1"/>
    <row r="58" spans="9:10" ht="13.7" customHeight="1"/>
    <row r="59" spans="9:10" ht="13.7" customHeight="1"/>
    <row r="60" spans="9:10" ht="13.7" customHeight="1"/>
    <row r="61" spans="9:10" ht="13.7" customHeight="1">
      <c r="I61" s="4"/>
      <c r="J61" s="4"/>
    </row>
    <row r="62" spans="9:10" ht="13.7" customHeight="1">
      <c r="I62" s="4"/>
      <c r="J62" s="4"/>
    </row>
    <row r="63" spans="9:10" ht="13.7" customHeight="1"/>
    <row r="64" spans="9:10"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row r="139" ht="13.7" customHeight="1"/>
  </sheetData>
  <customSheetViews>
    <customSheetView guid="{5CDC6F58-B038-4A0E-A13D-C643B013E119}" topLeftCell="A26">
      <selection activeCell="C44" sqref="C44"/>
      <pageMargins left="0" right="0" top="0" bottom="0" header="0" footer="0"/>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5:H25"/>
  </mergeCells>
  <printOptions horizontalCentered="1" verticalCentered="1"/>
  <pageMargins left="0.59055118110236227" right="0.59055118110236227" top="0.31496062992125984" bottom="0.23622047244094491" header="0.23622047244094491" footer="0.23622047244094491"/>
  <pageSetup paperSize="126"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pageSetUpPr fitToPage="1"/>
  </sheetPr>
  <dimension ref="A1:BA124"/>
  <sheetViews>
    <sheetView zoomScale="80" zoomScaleNormal="80" workbookViewId="0">
      <pane ySplit="1" topLeftCell="A2" activePane="bottomLeft" state="frozen"/>
      <selection activeCell="F47" sqref="F47"/>
      <selection pane="bottomLeft" activeCell="AB57" sqref="AB57"/>
    </sheetView>
  </sheetViews>
  <sheetFormatPr baseColWidth="10" defaultColWidth="7.26953125" defaultRowHeight="12.75"/>
  <cols>
    <col min="1" max="1" width="3.81640625" style="1" customWidth="1"/>
    <col min="2" max="2" width="8.26953125" style="1" customWidth="1"/>
    <col min="3" max="10" width="6.453125" style="1" customWidth="1"/>
    <col min="11" max="11" width="7.1796875" style="637" customWidth="1"/>
    <col min="12" max="12" width="7.6328125" style="734" customWidth="1"/>
    <col min="13" max="13" width="7.6328125" style="641" customWidth="1"/>
    <col min="14" max="19" width="7.6328125" style="736" hidden="1" customWidth="1"/>
    <col min="20" max="43" width="7.6328125" style="736" customWidth="1"/>
    <col min="44" max="47" width="7.26953125" style="736"/>
    <col min="48" max="53" width="7.26953125" style="373"/>
    <col min="54" max="16384" width="7.26953125" style="637"/>
  </cols>
  <sheetData>
    <row r="1" spans="1:53" s="377" customFormat="1">
      <c r="A1" s="22"/>
      <c r="B1" s="22"/>
      <c r="C1" s="22"/>
      <c r="D1" s="22"/>
      <c r="E1" s="22"/>
      <c r="F1" s="22"/>
      <c r="G1" s="22"/>
      <c r="H1" s="22"/>
      <c r="I1" s="22"/>
      <c r="J1" s="22"/>
      <c r="L1" s="731"/>
      <c r="M1" s="640"/>
      <c r="N1" s="732">
        <v>44256</v>
      </c>
      <c r="O1" s="732">
        <v>44317</v>
      </c>
      <c r="P1" s="732">
        <v>44378</v>
      </c>
      <c r="Q1" s="732">
        <v>44440</v>
      </c>
      <c r="R1" s="732">
        <v>44531</v>
      </c>
      <c r="S1" s="732">
        <v>44621</v>
      </c>
      <c r="T1" s="732">
        <v>44652</v>
      </c>
      <c r="U1" s="732">
        <v>44682</v>
      </c>
      <c r="V1" s="732">
        <v>44713</v>
      </c>
      <c r="W1" s="732">
        <v>44743</v>
      </c>
      <c r="X1" s="732">
        <v>44774</v>
      </c>
      <c r="Y1" s="732">
        <v>44805</v>
      </c>
      <c r="Z1" s="732">
        <v>44835</v>
      </c>
      <c r="AA1" s="732">
        <v>44866</v>
      </c>
      <c r="AB1" s="732">
        <v>44896</v>
      </c>
      <c r="AC1" s="732">
        <v>44986</v>
      </c>
      <c r="AD1" s="732">
        <v>45170</v>
      </c>
      <c r="AE1" s="732">
        <v>45261</v>
      </c>
      <c r="AF1" s="732">
        <v>45352</v>
      </c>
      <c r="AG1" s="733"/>
      <c r="AH1" s="733"/>
      <c r="AI1" s="733"/>
      <c r="AJ1" s="733"/>
      <c r="AK1" s="733"/>
      <c r="AL1" s="733"/>
      <c r="AM1" s="733"/>
      <c r="AN1" s="733"/>
      <c r="AO1" s="733"/>
      <c r="AP1" s="733"/>
      <c r="AQ1" s="733"/>
      <c r="AR1" s="733"/>
      <c r="AS1" s="733"/>
      <c r="AT1" s="733"/>
      <c r="AU1" s="733"/>
      <c r="AV1" s="300"/>
      <c r="AW1" s="300"/>
      <c r="AX1" s="300"/>
      <c r="AY1" s="300"/>
      <c r="AZ1" s="300"/>
      <c r="BA1" s="300"/>
    </row>
    <row r="2" spans="1:53" s="377" customFormat="1" ht="17.649999999999999" customHeight="1">
      <c r="A2" s="22"/>
      <c r="B2" s="22"/>
      <c r="C2" s="22"/>
      <c r="D2" s="22"/>
      <c r="E2" s="22"/>
      <c r="F2" s="22"/>
      <c r="G2" s="22"/>
      <c r="H2" s="22"/>
      <c r="I2" s="22"/>
      <c r="J2" s="22"/>
      <c r="L2" s="734">
        <v>44200</v>
      </c>
      <c r="M2" s="641" t="s">
        <v>255</v>
      </c>
      <c r="N2" s="735">
        <v>220.28028</v>
      </c>
      <c r="O2" s="735"/>
      <c r="P2" s="735">
        <v>222.30119999999999</v>
      </c>
      <c r="Q2" s="735">
        <v>223.77096</v>
      </c>
      <c r="R2" s="735">
        <v>226.52676</v>
      </c>
      <c r="S2" s="735">
        <v>227.90466000000001</v>
      </c>
      <c r="T2" s="735"/>
      <c r="U2" s="735"/>
      <c r="V2" s="735"/>
      <c r="W2" s="735"/>
      <c r="X2" s="735"/>
      <c r="Y2" s="732">
        <v>44835</v>
      </c>
      <c r="Z2" s="735"/>
      <c r="AA2" s="735"/>
      <c r="AB2" s="736"/>
      <c r="AC2" s="736"/>
      <c r="AD2" s="733"/>
      <c r="AE2" s="733"/>
      <c r="AF2" s="733"/>
      <c r="AG2" s="733"/>
      <c r="AH2" s="733"/>
      <c r="AI2" s="733"/>
      <c r="AJ2" s="733"/>
      <c r="AK2" s="733"/>
      <c r="AL2" s="733"/>
      <c r="AM2" s="733"/>
      <c r="AN2" s="733"/>
      <c r="AO2" s="733"/>
      <c r="AP2" s="733"/>
      <c r="AQ2" s="733"/>
      <c r="AR2" s="733"/>
      <c r="AS2" s="733"/>
      <c r="AT2" s="733"/>
      <c r="AU2" s="733"/>
      <c r="AV2" s="300"/>
      <c r="AW2" s="300"/>
      <c r="AX2" s="300"/>
      <c r="AY2" s="300"/>
      <c r="AZ2" s="300"/>
      <c r="BA2" s="300"/>
    </row>
    <row r="3" spans="1:53" s="377" customFormat="1" ht="17.649999999999999" customHeight="1">
      <c r="A3" s="22"/>
      <c r="B3" s="22"/>
      <c r="C3" s="22"/>
      <c r="D3" s="22"/>
      <c r="E3" s="22"/>
      <c r="F3" s="22"/>
      <c r="G3" s="22"/>
      <c r="H3" s="22"/>
      <c r="I3" s="22"/>
      <c r="J3" s="22"/>
      <c r="L3" s="734">
        <v>44207</v>
      </c>
      <c r="M3" s="641" t="s">
        <v>256</v>
      </c>
      <c r="N3" s="735">
        <v>218.25935999999999</v>
      </c>
      <c r="O3" s="735"/>
      <c r="P3" s="735">
        <v>221.10702000000001</v>
      </c>
      <c r="Q3" s="735">
        <v>222.94422</v>
      </c>
      <c r="R3" s="735">
        <v>225.70001999999999</v>
      </c>
      <c r="S3" s="735">
        <v>227.3535</v>
      </c>
      <c r="T3" s="735"/>
      <c r="U3" s="735"/>
      <c r="V3" s="735"/>
      <c r="W3" s="735"/>
      <c r="X3" s="735"/>
      <c r="Y3" s="732">
        <v>44866</v>
      </c>
      <c r="Z3" s="735"/>
      <c r="AA3" s="735"/>
      <c r="AB3" s="736"/>
      <c r="AC3" s="736"/>
      <c r="AD3" s="733"/>
      <c r="AE3" s="733"/>
      <c r="AF3" s="733"/>
      <c r="AG3" s="733"/>
      <c r="AH3" s="733"/>
      <c r="AI3" s="733"/>
      <c r="AJ3" s="733"/>
      <c r="AK3" s="733"/>
      <c r="AL3" s="733"/>
      <c r="AM3" s="733"/>
      <c r="AN3" s="733"/>
      <c r="AO3" s="733"/>
      <c r="AP3" s="733"/>
      <c r="AQ3" s="733"/>
      <c r="AR3" s="733"/>
      <c r="AS3" s="733"/>
      <c r="AT3" s="733"/>
      <c r="AU3" s="733"/>
      <c r="AV3" s="300"/>
      <c r="AW3" s="300"/>
      <c r="AX3" s="300"/>
      <c r="AY3" s="300"/>
      <c r="AZ3" s="300"/>
      <c r="BA3" s="300"/>
    </row>
    <row r="4" spans="1:53" s="377" customFormat="1" ht="17.649999999999999" customHeight="1">
      <c r="A4" s="22"/>
      <c r="B4" s="22"/>
      <c r="C4" s="22"/>
      <c r="D4" s="22"/>
      <c r="E4" s="22"/>
      <c r="F4" s="22"/>
      <c r="G4" s="22"/>
      <c r="H4" s="22"/>
      <c r="I4" s="22"/>
      <c r="J4" s="22"/>
      <c r="L4" s="734">
        <v>44215</v>
      </c>
      <c r="M4" s="737" t="s">
        <v>258</v>
      </c>
      <c r="N4" s="735">
        <v>236.63136</v>
      </c>
      <c r="O4" s="735"/>
      <c r="P4" s="735">
        <v>237.4581</v>
      </c>
      <c r="Q4" s="735">
        <v>238.65227999999999</v>
      </c>
      <c r="R4" s="735">
        <v>241.04064</v>
      </c>
      <c r="S4" s="735">
        <v>241.49993999999998</v>
      </c>
      <c r="T4" s="735"/>
      <c r="U4" s="735"/>
      <c r="V4" s="735"/>
      <c r="W4" s="735"/>
      <c r="X4" s="735"/>
      <c r="Y4" s="732">
        <v>44896</v>
      </c>
      <c r="Z4" s="735"/>
      <c r="AA4" s="735"/>
      <c r="AB4" s="736"/>
      <c r="AC4" s="736"/>
      <c r="AD4" s="733"/>
      <c r="AE4" s="733"/>
      <c r="AF4" s="733"/>
      <c r="AG4" s="733"/>
      <c r="AH4" s="733"/>
      <c r="AI4" s="733"/>
      <c r="AJ4" s="733"/>
      <c r="AK4" s="733"/>
      <c r="AL4" s="733"/>
      <c r="AM4" s="733"/>
      <c r="AN4" s="733"/>
      <c r="AO4" s="733"/>
      <c r="AP4" s="733"/>
      <c r="AQ4" s="733"/>
      <c r="AR4" s="733"/>
      <c r="AS4" s="733"/>
      <c r="AT4" s="733"/>
      <c r="AU4" s="733"/>
      <c r="AV4" s="300"/>
      <c r="AW4" s="300"/>
      <c r="AX4" s="300"/>
      <c r="AY4" s="300"/>
      <c r="AZ4" s="300"/>
      <c r="BA4" s="300"/>
    </row>
    <row r="5" spans="1:53" s="377" customFormat="1" ht="25.5">
      <c r="A5" s="22"/>
      <c r="B5" s="22"/>
      <c r="C5" s="22"/>
      <c r="D5" s="22"/>
      <c r="E5" s="22"/>
      <c r="F5" s="22"/>
      <c r="G5" s="22"/>
      <c r="H5" s="22"/>
      <c r="I5" s="22"/>
      <c r="J5" s="22"/>
      <c r="L5" s="734">
        <v>44221</v>
      </c>
      <c r="M5" s="737" t="s">
        <v>259</v>
      </c>
      <c r="N5" s="735">
        <v>230.47674000000001</v>
      </c>
      <c r="O5" s="735"/>
      <c r="P5" s="735">
        <v>231.21161999999998</v>
      </c>
      <c r="Q5" s="735">
        <v>231.94649999999999</v>
      </c>
      <c r="R5" s="735">
        <v>233.78369999999998</v>
      </c>
      <c r="S5" s="735">
        <v>234.24299999999999</v>
      </c>
      <c r="T5" s="735"/>
      <c r="U5" s="735"/>
      <c r="V5" s="735"/>
      <c r="W5" s="735"/>
      <c r="X5" s="735"/>
      <c r="Y5" s="732">
        <v>44927</v>
      </c>
      <c r="Z5" s="735"/>
      <c r="AA5" s="735"/>
      <c r="AB5" s="736"/>
      <c r="AC5" s="736"/>
      <c r="AD5" s="733"/>
      <c r="AE5" s="733"/>
      <c r="AF5" s="733"/>
      <c r="AG5" s="733"/>
      <c r="AH5" s="733"/>
      <c r="AI5" s="733"/>
      <c r="AJ5" s="733"/>
      <c r="AK5" s="733"/>
      <c r="AL5" s="733"/>
      <c r="AM5" s="733"/>
      <c r="AN5" s="733"/>
      <c r="AO5" s="733"/>
      <c r="AP5" s="733"/>
      <c r="AQ5" s="733"/>
      <c r="AR5" s="733"/>
      <c r="AS5" s="733"/>
      <c r="AT5" s="733"/>
      <c r="AU5" s="733"/>
      <c r="AV5" s="300"/>
      <c r="AW5" s="300"/>
      <c r="AX5" s="300"/>
      <c r="AY5" s="300"/>
      <c r="AZ5" s="300"/>
      <c r="BA5" s="300"/>
    </row>
    <row r="6" spans="1:53" s="377" customFormat="1" ht="25.5">
      <c r="A6" s="22"/>
      <c r="B6" s="22"/>
      <c r="C6" s="22"/>
      <c r="D6" s="22"/>
      <c r="E6" s="22"/>
      <c r="F6" s="22"/>
      <c r="G6" s="22"/>
      <c r="H6" s="22"/>
      <c r="I6" s="22"/>
      <c r="J6" s="22"/>
      <c r="L6" s="734">
        <v>44228</v>
      </c>
      <c r="M6" s="737" t="s">
        <v>260</v>
      </c>
      <c r="N6" s="735">
        <v>229.74186</v>
      </c>
      <c r="O6" s="735"/>
      <c r="P6" s="735">
        <v>230.66046</v>
      </c>
      <c r="Q6" s="735">
        <v>231.21161999999998</v>
      </c>
      <c r="R6" s="735">
        <v>232.86509999999998</v>
      </c>
      <c r="S6" s="735">
        <v>233.04882000000001</v>
      </c>
      <c r="T6" s="735"/>
      <c r="U6" s="735"/>
      <c r="V6" s="735"/>
      <c r="W6" s="735"/>
      <c r="X6" s="735"/>
      <c r="Y6" s="732">
        <v>44958</v>
      </c>
      <c r="Z6" s="735"/>
      <c r="AA6" s="735"/>
      <c r="AB6" s="735"/>
      <c r="AC6" s="736"/>
      <c r="AD6" s="733"/>
      <c r="AE6" s="733"/>
      <c r="AF6" s="733"/>
      <c r="AG6" s="733"/>
      <c r="AH6" s="733"/>
      <c r="AI6" s="733"/>
      <c r="AJ6" s="733"/>
      <c r="AK6" s="733"/>
      <c r="AL6" s="733"/>
      <c r="AM6" s="733"/>
      <c r="AN6" s="733"/>
      <c r="AO6" s="733"/>
      <c r="AP6" s="733"/>
      <c r="AQ6" s="733"/>
      <c r="AR6" s="733"/>
      <c r="AS6" s="733"/>
      <c r="AT6" s="733"/>
      <c r="AU6" s="733"/>
      <c r="AV6" s="300"/>
      <c r="AW6" s="300"/>
      <c r="AX6" s="300"/>
      <c r="AY6" s="300"/>
      <c r="AZ6" s="300"/>
      <c r="BA6" s="300"/>
    </row>
    <row r="7" spans="1:53" ht="12.75" customHeight="1">
      <c r="B7" s="22"/>
      <c r="C7" s="22"/>
      <c r="D7" s="22"/>
      <c r="E7" s="22"/>
      <c r="F7" s="22"/>
      <c r="G7" s="22"/>
      <c r="H7" s="22"/>
      <c r="I7" s="22"/>
      <c r="J7" s="22"/>
      <c r="K7" s="377"/>
      <c r="L7" s="734">
        <v>44235</v>
      </c>
      <c r="M7" s="737" t="s">
        <v>261</v>
      </c>
      <c r="N7" s="735">
        <v>234.97788</v>
      </c>
      <c r="O7" s="735">
        <v>236.72322</v>
      </c>
      <c r="P7" s="735">
        <v>236.90693999999999</v>
      </c>
      <c r="Q7" s="735">
        <v>238.00925999999998</v>
      </c>
      <c r="R7" s="735">
        <v>240.03018</v>
      </c>
      <c r="S7" s="735">
        <v>241.22435999999999</v>
      </c>
      <c r="T7" s="735"/>
      <c r="U7" s="735"/>
      <c r="V7" s="735"/>
      <c r="W7" s="735"/>
      <c r="X7" s="735"/>
      <c r="Y7" s="732">
        <v>44986</v>
      </c>
      <c r="Z7" s="735"/>
      <c r="AA7" s="735"/>
    </row>
    <row r="8" spans="1:53" s="377" customFormat="1" ht="12" customHeight="1">
      <c r="A8" s="22"/>
      <c r="B8" s="22"/>
      <c r="C8" s="22"/>
      <c r="D8" s="22"/>
      <c r="E8" s="22"/>
      <c r="F8" s="22"/>
      <c r="G8" s="22"/>
      <c r="H8" s="22"/>
      <c r="I8" s="22"/>
      <c r="J8" s="22"/>
      <c r="L8" s="734">
        <v>44243</v>
      </c>
      <c r="M8" s="641" t="s">
        <v>262</v>
      </c>
      <c r="N8" s="735">
        <v>234.24299999999999</v>
      </c>
      <c r="O8" s="735">
        <v>236.35577999999998</v>
      </c>
      <c r="P8" s="735">
        <v>237.09065999999999</v>
      </c>
      <c r="Q8" s="735">
        <v>238.46856</v>
      </c>
      <c r="R8" s="735">
        <v>240.58133999999998</v>
      </c>
      <c r="S8" s="735">
        <v>242.32667999999998</v>
      </c>
      <c r="T8" s="735"/>
      <c r="U8" s="735"/>
      <c r="V8" s="735"/>
      <c r="W8" s="735"/>
      <c r="X8" s="735"/>
      <c r="Y8" s="732">
        <v>45017</v>
      </c>
      <c r="Z8" s="735"/>
      <c r="AA8" s="735"/>
      <c r="AB8" s="736"/>
      <c r="AC8" s="736"/>
      <c r="AD8" s="733"/>
      <c r="AE8" s="733"/>
      <c r="AF8" s="733"/>
      <c r="AG8" s="733"/>
      <c r="AH8" s="733"/>
      <c r="AI8" s="733"/>
      <c r="AJ8" s="733"/>
      <c r="AK8" s="733"/>
      <c r="AL8" s="733"/>
      <c r="AM8" s="733"/>
      <c r="AN8" s="733"/>
      <c r="AO8" s="733"/>
      <c r="AP8" s="733"/>
      <c r="AQ8" s="733"/>
      <c r="AR8" s="733"/>
      <c r="AS8" s="733"/>
      <c r="AT8" s="733"/>
      <c r="AU8" s="733"/>
      <c r="AV8" s="300"/>
      <c r="AW8" s="300"/>
      <c r="AX8" s="300"/>
      <c r="AY8" s="300"/>
      <c r="AZ8" s="300"/>
      <c r="BA8" s="300"/>
    </row>
    <row r="9" spans="1:53" s="377" customFormat="1" ht="12" customHeight="1">
      <c r="A9" s="22"/>
      <c r="B9" s="22"/>
      <c r="C9" s="22"/>
      <c r="D9" s="22"/>
      <c r="E9" s="22"/>
      <c r="F9" s="22"/>
      <c r="G9" s="22"/>
      <c r="H9" s="22"/>
      <c r="I9" s="22"/>
      <c r="J9" s="22"/>
      <c r="L9" s="734">
        <v>44249</v>
      </c>
      <c r="M9" s="641" t="s">
        <v>263</v>
      </c>
      <c r="N9" s="735">
        <v>236.81507999999999</v>
      </c>
      <c r="O9" s="735">
        <v>239.20344</v>
      </c>
      <c r="P9" s="735">
        <v>240.48947999999999</v>
      </c>
      <c r="Q9" s="735">
        <v>241.95923999999999</v>
      </c>
      <c r="R9" s="735">
        <v>243.98015999999998</v>
      </c>
      <c r="S9" s="735">
        <v>245.44991999999999</v>
      </c>
      <c r="T9" s="735"/>
      <c r="U9" s="735"/>
      <c r="V9" s="735"/>
      <c r="W9" s="735"/>
      <c r="X9" s="735"/>
      <c r="Y9" s="732">
        <v>45047</v>
      </c>
      <c r="Z9" s="735"/>
      <c r="AA9" s="735"/>
      <c r="AB9" s="736"/>
      <c r="AC9" s="736"/>
      <c r="AD9" s="733"/>
      <c r="AE9" s="733"/>
      <c r="AF9" s="733"/>
      <c r="AG9" s="733"/>
      <c r="AH9" s="733"/>
      <c r="AI9" s="733"/>
      <c r="AJ9" s="733"/>
      <c r="AK9" s="733"/>
      <c r="AL9" s="733"/>
      <c r="AM9" s="733"/>
      <c r="AN9" s="733"/>
      <c r="AO9" s="733"/>
      <c r="AP9" s="733"/>
      <c r="AQ9" s="733"/>
      <c r="AR9" s="733"/>
      <c r="AS9" s="733"/>
      <c r="AT9" s="733"/>
      <c r="AU9" s="733"/>
      <c r="AV9" s="300"/>
      <c r="AW9" s="300"/>
      <c r="AX9" s="300"/>
      <c r="AY9" s="300"/>
      <c r="AZ9" s="300"/>
      <c r="BA9" s="300"/>
    </row>
    <row r="10" spans="1:53" s="377" customFormat="1" ht="12" customHeight="1">
      <c r="A10" s="22"/>
      <c r="B10" s="22"/>
      <c r="C10" s="22"/>
      <c r="D10" s="22"/>
      <c r="E10" s="22"/>
      <c r="F10" s="22"/>
      <c r="G10" s="22"/>
      <c r="H10" s="22"/>
      <c r="I10" s="22"/>
      <c r="J10" s="22"/>
      <c r="L10" s="734">
        <v>44256</v>
      </c>
      <c r="M10" s="641" t="s">
        <v>264</v>
      </c>
      <c r="N10" s="735">
        <v>225.70001999999999</v>
      </c>
      <c r="O10" s="735">
        <v>229.00698</v>
      </c>
      <c r="P10" s="735">
        <v>231.02789999999999</v>
      </c>
      <c r="Q10" s="735">
        <v>232.77323999999999</v>
      </c>
      <c r="R10" s="735">
        <v>235.62090000000001</v>
      </c>
      <c r="S10" s="735">
        <v>237.91739999999999</v>
      </c>
      <c r="T10" s="735"/>
      <c r="U10" s="735"/>
      <c r="V10" s="735"/>
      <c r="W10" s="735"/>
      <c r="X10" s="735"/>
      <c r="Y10" s="732">
        <v>45078</v>
      </c>
      <c r="Z10" s="735"/>
      <c r="AA10" s="735"/>
      <c r="AB10" s="736"/>
      <c r="AC10" s="736"/>
      <c r="AD10" s="733"/>
      <c r="AE10" s="733"/>
      <c r="AF10" s="733"/>
      <c r="AG10" s="733"/>
      <c r="AH10" s="733"/>
      <c r="AI10" s="733"/>
      <c r="AJ10" s="733"/>
      <c r="AK10" s="733"/>
      <c r="AL10" s="733"/>
      <c r="AM10" s="733"/>
      <c r="AN10" s="733"/>
      <c r="AO10" s="733"/>
      <c r="AP10" s="733"/>
      <c r="AQ10" s="733"/>
      <c r="AR10" s="733"/>
      <c r="AS10" s="733"/>
      <c r="AT10" s="733"/>
      <c r="AU10" s="733"/>
      <c r="AV10" s="300"/>
      <c r="AW10" s="300"/>
      <c r="AX10" s="300"/>
      <c r="AY10" s="300"/>
      <c r="AZ10" s="300"/>
      <c r="BA10" s="300"/>
    </row>
    <row r="11" spans="1:53" s="377" customFormat="1" ht="12" customHeight="1">
      <c r="A11" s="22"/>
      <c r="B11" s="22"/>
      <c r="C11" s="22"/>
      <c r="D11" s="22"/>
      <c r="E11" s="22"/>
      <c r="F11" s="22"/>
      <c r="G11" s="22"/>
      <c r="H11" s="22"/>
      <c r="I11" s="22"/>
      <c r="J11" s="22"/>
      <c r="L11" s="734">
        <v>44263</v>
      </c>
      <c r="M11" s="641" t="s">
        <v>265</v>
      </c>
      <c r="N11" s="735">
        <v>225.33258000000001</v>
      </c>
      <c r="O11" s="735">
        <v>228.45581999999999</v>
      </c>
      <c r="P11" s="735">
        <v>230.5686</v>
      </c>
      <c r="Q11" s="735">
        <v>232.58951999999999</v>
      </c>
      <c r="R11" s="735">
        <v>235.25345999999999</v>
      </c>
      <c r="S11" s="735">
        <v>237.36624</v>
      </c>
      <c r="T11" s="735"/>
      <c r="U11" s="735"/>
      <c r="V11" s="735"/>
      <c r="W11" s="735"/>
      <c r="X11" s="735"/>
      <c r="Y11" s="732">
        <v>45108</v>
      </c>
      <c r="Z11" s="735"/>
      <c r="AA11" s="735"/>
      <c r="AB11" s="735"/>
      <c r="AC11" s="736"/>
      <c r="AD11" s="733"/>
      <c r="AE11" s="733"/>
      <c r="AF11" s="733"/>
      <c r="AG11" s="733"/>
      <c r="AH11" s="733"/>
      <c r="AI11" s="733"/>
      <c r="AJ11" s="733"/>
      <c r="AK11" s="733"/>
      <c r="AL11" s="733"/>
      <c r="AM11" s="733"/>
      <c r="AN11" s="733"/>
      <c r="AO11" s="733"/>
      <c r="AP11" s="733"/>
      <c r="AQ11" s="733"/>
      <c r="AR11" s="733"/>
      <c r="AS11" s="733"/>
      <c r="AT11" s="733"/>
      <c r="AU11" s="733"/>
      <c r="AV11" s="300"/>
      <c r="AW11" s="300"/>
      <c r="AX11" s="300"/>
      <c r="AY11" s="300"/>
      <c r="AZ11" s="300"/>
      <c r="BA11" s="300"/>
    </row>
    <row r="12" spans="1:53" s="377" customFormat="1" ht="12" customHeight="1">
      <c r="A12" s="22"/>
      <c r="B12" s="22"/>
      <c r="C12" s="22"/>
      <c r="D12" s="22"/>
      <c r="E12" s="22"/>
      <c r="F12" s="22"/>
      <c r="G12" s="22"/>
      <c r="H12" s="22"/>
      <c r="I12" s="22"/>
      <c r="J12" s="22"/>
      <c r="L12" s="734">
        <v>44270</v>
      </c>
      <c r="M12" s="641" t="s">
        <v>266</v>
      </c>
      <c r="N12" s="736"/>
      <c r="O12" s="735">
        <v>222.94422</v>
      </c>
      <c r="P12" s="735">
        <v>224.78142</v>
      </c>
      <c r="Q12" s="735">
        <v>226.80233999999999</v>
      </c>
      <c r="R12" s="735">
        <v>229.65</v>
      </c>
      <c r="S12" s="735">
        <v>231.85463999999999</v>
      </c>
      <c r="T12" s="735"/>
      <c r="U12" s="735"/>
      <c r="V12" s="735"/>
      <c r="W12" s="735"/>
      <c r="X12" s="735"/>
      <c r="Y12" s="732">
        <v>45139</v>
      </c>
      <c r="Z12" s="735"/>
      <c r="AA12" s="735"/>
      <c r="AB12" s="735"/>
      <c r="AC12" s="736"/>
      <c r="AD12" s="733"/>
      <c r="AE12" s="733"/>
      <c r="AF12" s="733"/>
      <c r="AG12" s="733"/>
      <c r="AH12" s="733"/>
      <c r="AI12" s="733"/>
      <c r="AJ12" s="733"/>
      <c r="AK12" s="733"/>
      <c r="AL12" s="733"/>
      <c r="AM12" s="733"/>
      <c r="AN12" s="733"/>
      <c r="AO12" s="733"/>
      <c r="AP12" s="733"/>
      <c r="AQ12" s="733"/>
      <c r="AR12" s="733"/>
      <c r="AS12" s="733"/>
      <c r="AT12" s="733"/>
      <c r="AU12" s="733"/>
      <c r="AV12" s="300"/>
      <c r="AW12" s="300"/>
      <c r="AX12" s="300"/>
      <c r="AY12" s="300"/>
      <c r="AZ12" s="300"/>
      <c r="BA12" s="300"/>
    </row>
    <row r="13" spans="1:53" s="377" customFormat="1" ht="12" customHeight="1">
      <c r="A13" s="22"/>
      <c r="B13" s="22"/>
      <c r="C13" s="22"/>
      <c r="D13" s="22"/>
      <c r="E13" s="22"/>
      <c r="F13" s="22"/>
      <c r="G13" s="22"/>
      <c r="H13" s="22"/>
      <c r="I13" s="22"/>
      <c r="J13" s="22"/>
      <c r="L13" s="734">
        <v>44325</v>
      </c>
      <c r="M13" s="738" t="s">
        <v>267</v>
      </c>
      <c r="N13" s="736"/>
      <c r="O13" s="736">
        <v>212.47217999999998</v>
      </c>
      <c r="P13" s="736">
        <v>214.67681999999999</v>
      </c>
      <c r="Q13" s="736">
        <v>216.78960000000001</v>
      </c>
      <c r="R13" s="736">
        <v>219.82097999999999</v>
      </c>
      <c r="S13" s="736">
        <v>222.30119999999999</v>
      </c>
      <c r="T13" s="736"/>
      <c r="U13" s="736"/>
      <c r="V13" s="736"/>
      <c r="W13" s="736"/>
      <c r="X13" s="736"/>
      <c r="Y13" s="732">
        <v>45170</v>
      </c>
      <c r="Z13" s="736"/>
      <c r="AA13" s="736"/>
      <c r="AB13" s="736"/>
      <c r="AC13" s="736"/>
      <c r="AD13" s="736"/>
      <c r="AE13" s="736"/>
      <c r="AF13" s="736"/>
      <c r="AG13" s="736"/>
      <c r="AH13" s="736"/>
      <c r="AI13" s="736"/>
      <c r="AJ13" s="736"/>
      <c r="AK13" s="736"/>
      <c r="AL13" s="733"/>
      <c r="AM13" s="733"/>
      <c r="AN13" s="733"/>
      <c r="AO13" s="733"/>
      <c r="AP13" s="733"/>
      <c r="AQ13" s="733"/>
      <c r="AR13" s="733"/>
      <c r="AS13" s="733"/>
      <c r="AT13" s="733"/>
      <c r="AU13" s="733"/>
      <c r="AV13" s="300"/>
      <c r="AW13" s="300"/>
      <c r="AX13" s="300"/>
      <c r="AY13" s="300"/>
      <c r="AZ13" s="300"/>
      <c r="BA13" s="300"/>
    </row>
    <row r="14" spans="1:53" s="377" customFormat="1" ht="12" customHeight="1">
      <c r="A14" s="22"/>
      <c r="B14" s="22"/>
      <c r="C14" s="22"/>
      <c r="D14" s="22"/>
      <c r="E14" s="22"/>
      <c r="F14" s="22"/>
      <c r="G14" s="22"/>
      <c r="H14" s="22"/>
      <c r="I14" s="22"/>
      <c r="J14" s="22"/>
      <c r="L14" s="734">
        <v>44284</v>
      </c>
      <c r="M14" s="738" t="s">
        <v>268</v>
      </c>
      <c r="N14" s="736"/>
      <c r="O14" s="736">
        <v>209.25708</v>
      </c>
      <c r="P14" s="736">
        <v>211.46171999999999</v>
      </c>
      <c r="Q14" s="736">
        <v>213.75821999999999</v>
      </c>
      <c r="R14" s="736">
        <v>217.24889999999999</v>
      </c>
      <c r="S14" s="736">
        <v>220.28028</v>
      </c>
      <c r="T14" s="736"/>
      <c r="U14" s="736"/>
      <c r="V14" s="736"/>
      <c r="W14" s="736"/>
      <c r="X14" s="736"/>
      <c r="Y14" s="732">
        <v>45200</v>
      </c>
      <c r="Z14" s="736"/>
      <c r="AA14" s="736"/>
      <c r="AB14" s="736"/>
      <c r="AC14" s="736"/>
      <c r="AD14" s="736"/>
      <c r="AE14" s="736"/>
      <c r="AF14" s="736"/>
      <c r="AG14" s="736"/>
      <c r="AH14" s="736"/>
      <c r="AI14" s="736"/>
      <c r="AJ14" s="736"/>
      <c r="AK14" s="736"/>
      <c r="AL14" s="733"/>
      <c r="AM14" s="733"/>
      <c r="AN14" s="733"/>
      <c r="AO14" s="733"/>
      <c r="AP14" s="733"/>
      <c r="AQ14" s="733"/>
      <c r="AR14" s="733"/>
      <c r="AS14" s="733"/>
      <c r="AT14" s="733"/>
      <c r="AU14" s="733"/>
      <c r="AV14" s="300"/>
      <c r="AW14" s="300"/>
      <c r="AX14" s="300"/>
      <c r="AY14" s="300"/>
      <c r="AZ14" s="300"/>
      <c r="BA14" s="300"/>
    </row>
    <row r="15" spans="1:53" s="638" customFormat="1" ht="12" customHeight="1">
      <c r="A15" s="721"/>
      <c r="B15" s="721"/>
      <c r="C15" s="721"/>
      <c r="D15" s="721"/>
      <c r="E15" s="721"/>
      <c r="F15" s="721"/>
      <c r="G15" s="721"/>
      <c r="H15" s="721"/>
      <c r="I15" s="721"/>
      <c r="J15" s="721"/>
      <c r="L15" s="734">
        <v>44291</v>
      </c>
      <c r="M15" s="738" t="s">
        <v>269</v>
      </c>
      <c r="N15" s="736"/>
      <c r="O15" s="736">
        <v>206.86872</v>
      </c>
      <c r="P15" s="736">
        <v>209.34894</v>
      </c>
      <c r="Q15" s="736">
        <v>211.7373</v>
      </c>
      <c r="R15" s="736">
        <v>215.59541999999999</v>
      </c>
      <c r="S15" s="736">
        <v>219.08609999999999</v>
      </c>
      <c r="T15" s="736"/>
      <c r="U15" s="736"/>
      <c r="V15" s="736"/>
      <c r="W15" s="736"/>
      <c r="X15" s="736"/>
      <c r="Y15" s="732">
        <v>45231</v>
      </c>
      <c r="Z15" s="736"/>
      <c r="AA15" s="736"/>
      <c r="AB15" s="736">
        <v>223.12794</v>
      </c>
      <c r="AC15" s="736"/>
      <c r="AD15" s="736"/>
      <c r="AE15" s="736"/>
      <c r="AF15" s="736"/>
      <c r="AG15" s="736"/>
      <c r="AH15" s="736"/>
      <c r="AI15" s="736"/>
      <c r="AJ15" s="736"/>
      <c r="AK15" s="736"/>
      <c r="AL15" s="733"/>
      <c r="AM15" s="733"/>
      <c r="AN15" s="733"/>
      <c r="AO15" s="733"/>
      <c r="AP15" s="733"/>
      <c r="AQ15" s="733"/>
      <c r="AR15" s="733"/>
      <c r="AS15" s="733"/>
      <c r="AT15" s="733"/>
      <c r="AU15" s="733"/>
      <c r="AV15" s="619"/>
      <c r="AW15" s="619"/>
      <c r="AX15" s="619"/>
      <c r="AY15" s="619"/>
      <c r="AZ15" s="619"/>
      <c r="BA15" s="619"/>
    </row>
    <row r="16" spans="1:53" s="377" customFormat="1" ht="12" customHeight="1">
      <c r="A16" s="22"/>
      <c r="B16" s="22"/>
      <c r="C16" s="22"/>
      <c r="D16" s="22"/>
      <c r="E16" s="22"/>
      <c r="F16" s="22"/>
      <c r="G16" s="22"/>
      <c r="H16" s="22"/>
      <c r="I16" s="22"/>
      <c r="J16" s="22"/>
      <c r="L16" s="734">
        <v>44298</v>
      </c>
      <c r="M16" s="738" t="s">
        <v>270</v>
      </c>
      <c r="N16" s="736"/>
      <c r="O16" s="736">
        <v>212.74776</v>
      </c>
      <c r="P16" s="736">
        <v>215.59541999999999</v>
      </c>
      <c r="Q16" s="736">
        <v>217.98378</v>
      </c>
      <c r="R16" s="736">
        <v>221.56631999999999</v>
      </c>
      <c r="S16" s="736">
        <v>225.05699999999999</v>
      </c>
      <c r="T16" s="736"/>
      <c r="U16" s="736"/>
      <c r="V16" s="736"/>
      <c r="W16" s="736"/>
      <c r="X16" s="736"/>
      <c r="Y16" s="732">
        <v>45261</v>
      </c>
      <c r="Z16" s="736"/>
      <c r="AA16" s="736"/>
      <c r="AB16" s="736">
        <v>226.89419999999998</v>
      </c>
      <c r="AC16" s="736"/>
      <c r="AD16" s="736"/>
      <c r="AE16" s="736"/>
      <c r="AF16" s="736"/>
      <c r="AG16" s="736"/>
      <c r="AH16" s="736"/>
      <c r="AI16" s="736"/>
      <c r="AJ16" s="736"/>
      <c r="AK16" s="736"/>
      <c r="AL16" s="733"/>
      <c r="AM16" s="733"/>
      <c r="AN16" s="733"/>
      <c r="AO16" s="733"/>
      <c r="AP16" s="733"/>
      <c r="AQ16" s="733"/>
      <c r="AR16" s="733"/>
      <c r="AS16" s="733"/>
      <c r="AT16" s="733"/>
      <c r="AU16" s="733"/>
      <c r="AV16" s="300"/>
      <c r="AW16" s="300"/>
      <c r="AX16" s="300"/>
      <c r="AY16" s="300"/>
      <c r="AZ16" s="300"/>
      <c r="BA16" s="300"/>
    </row>
    <row r="17" spans="2:29" ht="12" customHeight="1">
      <c r="B17" s="22"/>
      <c r="C17" s="22"/>
      <c r="D17" s="22"/>
      <c r="E17" s="22"/>
      <c r="F17" s="22"/>
      <c r="G17" s="22"/>
      <c r="H17" s="22"/>
      <c r="I17" s="22"/>
      <c r="J17" s="22"/>
      <c r="K17" s="377"/>
      <c r="L17" s="734">
        <v>44305</v>
      </c>
      <c r="M17" s="738" t="s">
        <v>271</v>
      </c>
      <c r="O17" s="736">
        <v>224.87327999999999</v>
      </c>
      <c r="P17" s="736">
        <v>227.3535</v>
      </c>
      <c r="Q17" s="736">
        <v>229.65</v>
      </c>
      <c r="R17" s="736">
        <v>232.95695999999998</v>
      </c>
      <c r="S17" s="736">
        <v>235.89648</v>
      </c>
      <c r="Y17" s="732">
        <v>45292</v>
      </c>
      <c r="AB17" s="736">
        <v>234.79416000000001</v>
      </c>
    </row>
    <row r="18" spans="2:29" ht="12" customHeight="1">
      <c r="B18" s="22"/>
      <c r="C18" s="22"/>
      <c r="D18" s="22"/>
      <c r="E18" s="22"/>
      <c r="F18" s="22"/>
      <c r="G18" s="22"/>
      <c r="H18" s="22"/>
      <c r="I18" s="22"/>
      <c r="J18" s="22"/>
      <c r="K18" s="377"/>
      <c r="L18" s="734">
        <v>44312</v>
      </c>
      <c r="M18" s="738" t="s">
        <v>272</v>
      </c>
      <c r="O18" s="736">
        <v>257.85102000000001</v>
      </c>
      <c r="P18" s="736">
        <v>260.42309999999998</v>
      </c>
      <c r="Q18" s="736">
        <v>261.98471999999998</v>
      </c>
      <c r="R18" s="736">
        <v>264.28122000000002</v>
      </c>
      <c r="S18" s="736">
        <v>266.66958</v>
      </c>
      <c r="Y18" s="732">
        <v>45323</v>
      </c>
      <c r="AB18" s="736">
        <v>252.98244</v>
      </c>
    </row>
    <row r="19" spans="2:29" ht="12" customHeight="1">
      <c r="B19" s="22"/>
      <c r="C19" s="22"/>
      <c r="D19" s="22"/>
      <c r="E19" s="22"/>
      <c r="F19" s="22"/>
      <c r="G19" s="22"/>
      <c r="H19" s="22"/>
      <c r="I19" s="22"/>
      <c r="J19" s="22"/>
      <c r="K19" s="377"/>
      <c r="L19" s="734">
        <v>44319</v>
      </c>
      <c r="M19" s="738" t="s">
        <v>273</v>
      </c>
      <c r="O19" s="736">
        <v>250.77779999999998</v>
      </c>
      <c r="P19" s="736">
        <v>252.98244</v>
      </c>
      <c r="Q19" s="736">
        <v>254.72778</v>
      </c>
      <c r="R19" s="736">
        <v>257.39171999999996</v>
      </c>
      <c r="S19" s="736">
        <v>260.14751999999999</v>
      </c>
      <c r="Y19" s="732">
        <v>45352</v>
      </c>
      <c r="AB19" s="736">
        <v>248.4813</v>
      </c>
    </row>
    <row r="20" spans="2:29" ht="12" customHeight="1">
      <c r="B20" s="22"/>
      <c r="C20" s="22"/>
      <c r="D20" s="22"/>
      <c r="E20" s="22"/>
      <c r="F20" s="22"/>
      <c r="G20" s="22"/>
      <c r="H20" s="22"/>
      <c r="I20" s="22"/>
      <c r="J20" s="22"/>
      <c r="K20" s="377"/>
      <c r="L20" s="734">
        <v>44326</v>
      </c>
      <c r="M20" s="738" t="s">
        <v>274</v>
      </c>
      <c r="O20" s="736">
        <v>255.55452</v>
      </c>
      <c r="P20" s="736">
        <v>258.49403999999998</v>
      </c>
      <c r="Q20" s="736">
        <v>259.96379999999999</v>
      </c>
      <c r="R20" s="736">
        <v>262.35215999999997</v>
      </c>
      <c r="S20" s="736">
        <v>264.64866000000001</v>
      </c>
      <c r="Y20" s="732">
        <v>45383</v>
      </c>
      <c r="AB20" s="736">
        <v>252.06384</v>
      </c>
    </row>
    <row r="21" spans="2:29" ht="12" customHeight="1">
      <c r="B21" s="22"/>
      <c r="C21" s="22"/>
      <c r="D21" s="22"/>
      <c r="E21" s="22"/>
      <c r="F21" s="22"/>
      <c r="G21" s="22"/>
      <c r="H21" s="22"/>
      <c r="I21" s="22"/>
      <c r="J21" s="22"/>
      <c r="K21" s="377"/>
      <c r="L21" s="734">
        <v>44333</v>
      </c>
      <c r="M21" s="641" t="s">
        <v>275</v>
      </c>
      <c r="P21" s="735">
        <v>239.66273999999999</v>
      </c>
      <c r="Q21" s="735">
        <v>241.59180000000001</v>
      </c>
      <c r="R21" s="735">
        <v>244.07201999999998</v>
      </c>
      <c r="S21" s="735">
        <v>246.55223999999998</v>
      </c>
      <c r="T21" s="735"/>
      <c r="U21" s="735"/>
      <c r="V21" s="735"/>
      <c r="W21" s="735"/>
      <c r="X21" s="735"/>
      <c r="Y21" s="732">
        <v>45413</v>
      </c>
      <c r="Z21" s="735"/>
      <c r="AA21" s="735"/>
      <c r="AB21" s="735">
        <v>241.04064</v>
      </c>
    </row>
    <row r="22" spans="2:29" ht="12" customHeight="1">
      <c r="B22" s="22"/>
      <c r="C22" s="22"/>
      <c r="D22" s="22"/>
      <c r="E22" s="22"/>
      <c r="F22" s="22"/>
      <c r="G22" s="22"/>
      <c r="H22" s="22"/>
      <c r="I22" s="22"/>
      <c r="J22" s="22"/>
      <c r="K22" s="377"/>
      <c r="L22" s="734">
        <v>44340</v>
      </c>
      <c r="M22" s="641" t="s">
        <v>276</v>
      </c>
      <c r="P22" s="735">
        <v>226.06745999999998</v>
      </c>
      <c r="Q22" s="735">
        <v>228.82326</v>
      </c>
      <c r="R22" s="735">
        <v>232.31394</v>
      </c>
      <c r="S22" s="735">
        <v>235.34531999999999</v>
      </c>
      <c r="T22" s="735"/>
      <c r="U22" s="735"/>
      <c r="V22" s="735"/>
      <c r="W22" s="735"/>
      <c r="X22" s="735"/>
      <c r="Y22" s="732">
        <v>45444</v>
      </c>
      <c r="Z22" s="735"/>
      <c r="AA22" s="735"/>
      <c r="AB22" s="735">
        <v>239.11158</v>
      </c>
    </row>
    <row r="23" spans="2:29" ht="12" customHeight="1">
      <c r="C23" s="22"/>
      <c r="D23" s="22"/>
      <c r="E23" s="22"/>
      <c r="F23" s="22"/>
      <c r="G23" s="22"/>
      <c r="H23" s="22"/>
      <c r="I23" s="22"/>
      <c r="J23" s="22"/>
      <c r="K23" s="377"/>
      <c r="L23" s="734">
        <v>44348</v>
      </c>
      <c r="M23" s="641" t="s">
        <v>277</v>
      </c>
      <c r="P23" s="735">
        <v>234.24299999999999</v>
      </c>
      <c r="Q23" s="735">
        <v>236.99879999999999</v>
      </c>
      <c r="R23" s="735">
        <v>241.13249999999999</v>
      </c>
      <c r="S23" s="735">
        <v>244.62317999999999</v>
      </c>
      <c r="T23" s="735"/>
      <c r="U23" s="735"/>
      <c r="V23" s="735"/>
      <c r="W23" s="735">
        <v>244.71503999999999</v>
      </c>
      <c r="X23" s="735"/>
      <c r="Y23" s="732">
        <v>45474</v>
      </c>
      <c r="Z23" s="735"/>
      <c r="AA23" s="735"/>
      <c r="AB23" s="735">
        <v>249.30804000000001</v>
      </c>
    </row>
    <row r="24" spans="2:29" ht="12" customHeight="1">
      <c r="C24" s="22"/>
      <c r="D24" s="22"/>
      <c r="E24" s="22"/>
      <c r="F24" s="22"/>
      <c r="G24" s="22"/>
      <c r="H24" s="22"/>
      <c r="I24" s="22"/>
      <c r="J24" s="22"/>
      <c r="K24" s="377"/>
      <c r="L24" s="734">
        <v>44354</v>
      </c>
      <c r="M24" s="641" t="s">
        <v>278</v>
      </c>
      <c r="P24" s="735">
        <v>231.4872</v>
      </c>
      <c r="Q24" s="735">
        <v>234.42671999999999</v>
      </c>
      <c r="R24" s="735">
        <v>238.3767</v>
      </c>
      <c r="S24" s="735">
        <v>242.05109999999999</v>
      </c>
      <c r="T24" s="735"/>
      <c r="U24" s="735"/>
      <c r="V24" s="735"/>
      <c r="W24" s="735">
        <v>245.54177999999999</v>
      </c>
      <c r="X24" s="735"/>
      <c r="Y24" s="732">
        <v>45505</v>
      </c>
      <c r="Z24" s="735"/>
      <c r="AA24" s="735"/>
      <c r="AB24" s="735">
        <v>250.13478000000001</v>
      </c>
      <c r="AC24" s="735"/>
    </row>
    <row r="25" spans="2:29" ht="12" customHeight="1">
      <c r="B25" s="22"/>
      <c r="C25" s="22"/>
      <c r="D25" s="22"/>
      <c r="E25" s="22"/>
      <c r="F25" s="22"/>
      <c r="G25" s="22"/>
      <c r="H25" s="22"/>
      <c r="I25" s="22"/>
      <c r="J25" s="22"/>
      <c r="K25" s="377"/>
      <c r="L25" s="734">
        <v>44361</v>
      </c>
      <c r="M25" s="641" t="s">
        <v>279</v>
      </c>
      <c r="P25" s="739">
        <v>230.75232</v>
      </c>
      <c r="Q25" s="739">
        <v>233.78369999999998</v>
      </c>
      <c r="R25" s="739">
        <v>236.90693999999999</v>
      </c>
      <c r="S25" s="739">
        <v>240.12204</v>
      </c>
      <c r="T25" s="739"/>
      <c r="U25" s="739"/>
      <c r="V25" s="739"/>
      <c r="W25" s="739">
        <v>240.58133999999998</v>
      </c>
      <c r="X25" s="739"/>
      <c r="Y25" s="732">
        <v>45536</v>
      </c>
      <c r="Z25" s="739"/>
      <c r="AA25" s="739"/>
      <c r="AB25" s="739">
        <v>244.71503999999999</v>
      </c>
    </row>
    <row r="26" spans="2:29" ht="12" customHeight="1">
      <c r="B26" s="639" t="s">
        <v>257</v>
      </c>
      <c r="C26" s="22"/>
      <c r="D26" s="22"/>
      <c r="E26" s="22"/>
      <c r="F26" s="22"/>
      <c r="G26" s="22"/>
      <c r="H26" s="22"/>
      <c r="I26" s="22"/>
      <c r="J26" s="22"/>
      <c r="K26" s="377"/>
      <c r="L26" s="734">
        <v>44368</v>
      </c>
      <c r="M26" s="641" t="s">
        <v>280</v>
      </c>
      <c r="P26" s="739">
        <v>220.37214</v>
      </c>
      <c r="Q26" s="739">
        <v>223.86282</v>
      </c>
      <c r="R26" s="739">
        <v>227.81279999999998</v>
      </c>
      <c r="S26" s="739">
        <v>231.76277999999999</v>
      </c>
      <c r="T26" s="739"/>
      <c r="U26" s="739"/>
      <c r="V26" s="739"/>
      <c r="W26" s="739">
        <v>233.41625999999999</v>
      </c>
      <c r="X26" s="739"/>
      <c r="Y26" s="732">
        <v>45566</v>
      </c>
      <c r="Z26" s="739"/>
      <c r="AA26" s="739"/>
      <c r="AB26" s="739">
        <v>237.82553999999999</v>
      </c>
    </row>
    <row r="27" spans="2:29" ht="12" customHeight="1">
      <c r="B27" s="22"/>
      <c r="C27" s="22"/>
      <c r="D27" s="22"/>
      <c r="E27" s="22"/>
      <c r="F27" s="22"/>
      <c r="G27" s="22"/>
      <c r="H27" s="22"/>
      <c r="I27" s="22"/>
      <c r="J27" s="22"/>
      <c r="K27" s="377"/>
      <c r="L27" s="734">
        <v>44375</v>
      </c>
      <c r="M27" s="641" t="s">
        <v>281</v>
      </c>
      <c r="P27" s="739">
        <v>227.07792000000001</v>
      </c>
      <c r="Q27" s="739">
        <v>230.29301999999998</v>
      </c>
      <c r="R27" s="739">
        <v>233.69183999999998</v>
      </c>
      <c r="S27" s="739">
        <v>236.99879999999999</v>
      </c>
      <c r="T27" s="739"/>
      <c r="U27" s="739"/>
      <c r="V27" s="739"/>
      <c r="W27" s="739">
        <v>236.35577999999998</v>
      </c>
      <c r="X27" s="739"/>
      <c r="Y27" s="732">
        <v>45597</v>
      </c>
      <c r="Z27" s="739"/>
      <c r="AA27" s="739"/>
      <c r="AB27" s="739">
        <v>239.75459999999998</v>
      </c>
    </row>
    <row r="28" spans="2:29" ht="12" customHeight="1">
      <c r="B28" s="22"/>
      <c r="C28" s="22"/>
      <c r="D28" s="22"/>
      <c r="E28" s="22"/>
      <c r="F28" s="22"/>
      <c r="G28" s="22"/>
      <c r="H28" s="22"/>
      <c r="I28" s="22"/>
      <c r="J28" s="22"/>
      <c r="K28" s="377"/>
      <c r="L28" s="734">
        <v>44383</v>
      </c>
      <c r="M28" s="641" t="s">
        <v>282</v>
      </c>
      <c r="P28" s="739">
        <v>211.46171999999999</v>
      </c>
      <c r="Q28" s="739">
        <v>214.4931</v>
      </c>
      <c r="R28" s="739">
        <v>218.81052</v>
      </c>
      <c r="S28" s="739">
        <v>222.66863999999998</v>
      </c>
      <c r="T28" s="739"/>
      <c r="U28" s="739"/>
      <c r="V28" s="739"/>
      <c r="W28" s="739">
        <v>224.68956</v>
      </c>
      <c r="X28" s="739"/>
      <c r="Y28" s="732">
        <v>45627</v>
      </c>
      <c r="Z28" s="739"/>
      <c r="AA28" s="739"/>
      <c r="AB28" s="739">
        <v>228.36395999999999</v>
      </c>
    </row>
    <row r="29" spans="2:29" ht="12" customHeight="1">
      <c r="B29" s="22"/>
      <c r="C29" s="22"/>
      <c r="D29" s="22"/>
      <c r="E29" s="22"/>
      <c r="F29" s="22"/>
      <c r="G29" s="22"/>
      <c r="H29" s="22"/>
      <c r="I29" s="22"/>
      <c r="J29" s="22"/>
      <c r="K29" s="377"/>
      <c r="L29" s="734">
        <v>44389</v>
      </c>
      <c r="M29" s="641" t="s">
        <v>283</v>
      </c>
      <c r="Q29" s="739">
        <v>226.06745999999998</v>
      </c>
      <c r="R29" s="739">
        <v>229.92558</v>
      </c>
      <c r="S29" s="739">
        <v>233.3244</v>
      </c>
      <c r="T29" s="739"/>
      <c r="U29" s="739"/>
      <c r="V29" s="739"/>
      <c r="W29" s="739">
        <v>233.14068</v>
      </c>
      <c r="X29" s="739"/>
      <c r="Y29" s="732">
        <v>45658</v>
      </c>
      <c r="Z29" s="739"/>
      <c r="AA29" s="739"/>
      <c r="AB29" s="739">
        <v>236.90693999999999</v>
      </c>
    </row>
    <row r="30" spans="2:29" ht="12" customHeight="1">
      <c r="B30" s="22"/>
      <c r="C30" s="22"/>
      <c r="D30" s="22"/>
      <c r="E30" s="22"/>
      <c r="F30" s="22"/>
      <c r="G30" s="22"/>
      <c r="H30" s="22"/>
      <c r="I30" s="22"/>
      <c r="J30" s="22"/>
      <c r="K30" s="377"/>
      <c r="L30" s="734">
        <v>44396</v>
      </c>
      <c r="M30" s="641" t="s">
        <v>284</v>
      </c>
      <c r="Q30" s="739">
        <v>239.66273999999999</v>
      </c>
      <c r="R30" s="739">
        <v>243.61272</v>
      </c>
      <c r="S30" s="739">
        <v>246.27665999999999</v>
      </c>
      <c r="T30" s="739"/>
      <c r="U30" s="739"/>
      <c r="V30" s="739"/>
      <c r="W30" s="739">
        <v>243.15341999999998</v>
      </c>
      <c r="X30" s="739"/>
      <c r="Y30" s="732">
        <v>45689</v>
      </c>
      <c r="Z30" s="739"/>
      <c r="AA30" s="739"/>
      <c r="AB30" s="739">
        <v>246.27665999999999</v>
      </c>
    </row>
    <row r="31" spans="2:29" ht="12" customHeight="1">
      <c r="B31" s="22"/>
      <c r="C31" s="22"/>
      <c r="D31" s="22"/>
      <c r="E31" s="22"/>
      <c r="F31" s="22"/>
      <c r="G31" s="22"/>
      <c r="H31" s="22"/>
      <c r="I31" s="22"/>
      <c r="J31" s="22"/>
      <c r="K31" s="377"/>
      <c r="L31" s="734">
        <v>44403</v>
      </c>
      <c r="M31" s="641" t="s">
        <v>285</v>
      </c>
      <c r="Q31" s="739">
        <v>234.79416000000001</v>
      </c>
      <c r="R31" s="739">
        <v>239.01972000000001</v>
      </c>
      <c r="S31" s="739">
        <v>241.68366</v>
      </c>
      <c r="T31" s="739"/>
      <c r="U31" s="739"/>
      <c r="V31" s="739"/>
      <c r="W31" s="739">
        <v>239.75459999999998</v>
      </c>
      <c r="X31" s="739"/>
      <c r="Y31" s="732">
        <v>45717</v>
      </c>
      <c r="Z31" s="739"/>
      <c r="AA31" s="739"/>
      <c r="AB31" s="739">
        <v>242.5104</v>
      </c>
    </row>
    <row r="32" spans="2:29" ht="12" customHeight="1">
      <c r="B32" s="22"/>
      <c r="C32" s="22"/>
      <c r="D32" s="22"/>
      <c r="E32" s="22"/>
      <c r="F32" s="22"/>
      <c r="G32" s="22"/>
      <c r="H32" s="22"/>
      <c r="I32" s="22"/>
      <c r="J32" s="22"/>
      <c r="K32" s="377"/>
      <c r="L32" s="734">
        <v>44410</v>
      </c>
      <c r="M32" s="641" t="s">
        <v>286</v>
      </c>
      <c r="Q32" s="739">
        <v>258.49403999999998</v>
      </c>
      <c r="R32" s="739">
        <v>262.62774000000002</v>
      </c>
      <c r="S32" s="739">
        <v>265.38353999999998</v>
      </c>
      <c r="T32" s="739"/>
      <c r="U32" s="739"/>
      <c r="V32" s="739"/>
      <c r="W32" s="739">
        <v>258.95333999999997</v>
      </c>
      <c r="X32" s="739"/>
      <c r="Y32" s="732">
        <v>45748</v>
      </c>
      <c r="Z32" s="739"/>
      <c r="AA32" s="739"/>
      <c r="AB32" s="739">
        <v>260.97426000000002</v>
      </c>
    </row>
    <row r="33" spans="2:33" ht="12" customHeight="1">
      <c r="B33" s="22"/>
      <c r="C33" s="22"/>
      <c r="D33" s="22"/>
      <c r="E33" s="22"/>
      <c r="F33" s="22"/>
      <c r="G33" s="22"/>
      <c r="H33" s="22"/>
      <c r="I33" s="22"/>
      <c r="J33" s="22"/>
      <c r="K33" s="377"/>
      <c r="L33" s="734">
        <v>44417</v>
      </c>
      <c r="M33" s="641" t="s">
        <v>287</v>
      </c>
      <c r="Q33" s="735">
        <v>257.75916000000001</v>
      </c>
      <c r="R33" s="735">
        <v>262.16843999999998</v>
      </c>
      <c r="S33" s="735">
        <v>265.47539999999998</v>
      </c>
      <c r="T33" s="735"/>
      <c r="U33" s="735"/>
      <c r="V33" s="735"/>
      <c r="W33" s="735">
        <v>259.22892000000002</v>
      </c>
      <c r="X33" s="735"/>
      <c r="Y33" s="732">
        <v>45778</v>
      </c>
      <c r="Z33" s="735"/>
      <c r="AA33" s="735"/>
      <c r="AB33" s="735">
        <v>261.43356</v>
      </c>
      <c r="AC33" s="735"/>
    </row>
    <row r="34" spans="2:33" ht="12" customHeight="1">
      <c r="B34" s="22"/>
      <c r="C34" s="22"/>
      <c r="D34" s="22"/>
      <c r="E34" s="22"/>
      <c r="F34" s="22"/>
      <c r="G34" s="22"/>
      <c r="H34" s="22"/>
      <c r="I34" s="22"/>
      <c r="J34" s="22"/>
      <c r="K34" s="377"/>
      <c r="L34" s="734">
        <v>44424</v>
      </c>
      <c r="M34" s="641" t="s">
        <v>288</v>
      </c>
      <c r="Q34" s="735">
        <v>270.61955999999998</v>
      </c>
      <c r="R34" s="735">
        <v>275.30441999999999</v>
      </c>
      <c r="S34" s="735">
        <v>278.42766</v>
      </c>
      <c r="T34" s="735"/>
      <c r="U34" s="735"/>
      <c r="V34" s="735"/>
      <c r="W34" s="735">
        <v>265.93469999999996</v>
      </c>
      <c r="X34" s="735"/>
      <c r="Y34" s="732">
        <v>45809</v>
      </c>
      <c r="Z34" s="735"/>
      <c r="AA34" s="735"/>
      <c r="AB34" s="735">
        <v>268.41492</v>
      </c>
      <c r="AC34" s="735"/>
    </row>
    <row r="35" spans="2:33" ht="12" customHeight="1">
      <c r="B35" s="22"/>
      <c r="C35" s="22"/>
      <c r="D35" s="22"/>
      <c r="E35" s="22"/>
      <c r="F35" s="22"/>
      <c r="G35" s="22"/>
      <c r="H35" s="22"/>
      <c r="I35" s="22"/>
      <c r="J35" s="22"/>
      <c r="K35" s="377"/>
      <c r="L35" s="734">
        <v>44431</v>
      </c>
      <c r="M35" s="641" t="s">
        <v>289</v>
      </c>
      <c r="Q35" s="735">
        <v>258.76961999999997</v>
      </c>
      <c r="R35" s="735">
        <v>263.63819999999998</v>
      </c>
      <c r="S35" s="735">
        <v>267.12887999999998</v>
      </c>
      <c r="T35" s="735"/>
      <c r="U35" s="735"/>
      <c r="V35" s="735"/>
      <c r="W35" s="735">
        <v>259.96379999999999</v>
      </c>
      <c r="X35" s="735"/>
      <c r="Y35" s="732">
        <v>45839</v>
      </c>
      <c r="Z35" s="735"/>
      <c r="AA35" s="735"/>
      <c r="AB35" s="735">
        <v>263.63819999999998</v>
      </c>
      <c r="AC35" s="735"/>
    </row>
    <row r="36" spans="2:33" ht="13.7" customHeight="1">
      <c r="B36" s="22"/>
      <c r="C36" s="22"/>
      <c r="D36" s="22"/>
      <c r="E36" s="22"/>
      <c r="F36" s="22"/>
      <c r="G36" s="22"/>
      <c r="H36" s="22"/>
      <c r="I36" s="22"/>
      <c r="J36" s="22"/>
      <c r="K36" s="377"/>
      <c r="L36" s="734">
        <v>44438</v>
      </c>
      <c r="M36" s="641" t="s">
        <v>290</v>
      </c>
      <c r="Q36" s="735">
        <v>258.76961999999997</v>
      </c>
      <c r="R36" s="735">
        <v>261.80099999999999</v>
      </c>
      <c r="S36" s="735">
        <v>265.10795999999999</v>
      </c>
      <c r="T36" s="735"/>
      <c r="U36" s="735"/>
      <c r="V36" s="735"/>
      <c r="W36" s="735">
        <v>259.87194</v>
      </c>
      <c r="X36" s="735"/>
      <c r="Y36" s="732">
        <v>45870</v>
      </c>
      <c r="Z36" s="735"/>
      <c r="AA36" s="735"/>
      <c r="AB36" s="735">
        <v>263.27076</v>
      </c>
      <c r="AC36" s="735"/>
    </row>
    <row r="37" spans="2:33" ht="13.7" customHeight="1">
      <c r="B37" s="22"/>
      <c r="C37" s="22"/>
      <c r="D37" s="22"/>
      <c r="E37" s="22"/>
      <c r="F37" s="22"/>
      <c r="G37" s="22"/>
      <c r="H37" s="22"/>
      <c r="I37" s="22"/>
      <c r="J37" s="22"/>
      <c r="K37" s="377"/>
      <c r="L37" s="734">
        <v>44446</v>
      </c>
      <c r="M37" s="641" t="s">
        <v>291</v>
      </c>
      <c r="Q37" s="735">
        <v>260.79053999999996</v>
      </c>
      <c r="R37" s="735">
        <v>263.63819999999998</v>
      </c>
      <c r="S37" s="735">
        <v>266.94515999999999</v>
      </c>
      <c r="T37" s="735"/>
      <c r="U37" s="735"/>
      <c r="V37" s="735"/>
      <c r="W37" s="735">
        <v>261.06612000000001</v>
      </c>
      <c r="X37" s="735"/>
      <c r="Y37" s="732">
        <v>45901</v>
      </c>
      <c r="Z37" s="735"/>
      <c r="AA37" s="735"/>
      <c r="AB37" s="735">
        <v>265.19981999999999</v>
      </c>
      <c r="AC37" s="735"/>
    </row>
    <row r="38" spans="2:33" ht="12.75" customHeight="1">
      <c r="B38" s="22"/>
      <c r="C38" s="22"/>
      <c r="D38" s="22"/>
      <c r="E38" s="22"/>
      <c r="F38" s="22"/>
      <c r="G38" s="22"/>
      <c r="H38" s="22"/>
      <c r="I38" s="22"/>
      <c r="J38" s="22"/>
      <c r="K38" s="377"/>
      <c r="L38" s="734">
        <v>44452</v>
      </c>
      <c r="M38" s="641" t="s">
        <v>292</v>
      </c>
      <c r="R38" s="735">
        <v>252.1557</v>
      </c>
      <c r="S38" s="735">
        <v>255.3708</v>
      </c>
      <c r="T38" s="735"/>
      <c r="U38" s="735"/>
      <c r="V38" s="735"/>
      <c r="W38" s="735">
        <v>254.08475999999999</v>
      </c>
      <c r="X38" s="735"/>
      <c r="Y38" s="732">
        <v>45931</v>
      </c>
      <c r="Z38" s="735"/>
      <c r="AA38" s="735"/>
      <c r="AB38" s="735">
        <v>258.40217999999999</v>
      </c>
    </row>
    <row r="39" spans="2:33" ht="12.75" customHeight="1">
      <c r="B39" s="22"/>
      <c r="C39" s="22"/>
      <c r="D39" s="22"/>
      <c r="E39" s="22"/>
      <c r="F39" s="22"/>
      <c r="G39" s="22"/>
      <c r="H39" s="22"/>
      <c r="I39" s="22"/>
      <c r="J39" s="22"/>
      <c r="K39" s="377"/>
      <c r="L39" s="734">
        <v>44459</v>
      </c>
      <c r="M39" s="641" t="s">
        <v>293</v>
      </c>
      <c r="R39" s="735">
        <v>257.20799999999997</v>
      </c>
      <c r="S39" s="735">
        <v>260.51495999999997</v>
      </c>
      <c r="T39" s="735"/>
      <c r="U39" s="735"/>
      <c r="V39" s="735"/>
      <c r="W39" s="735">
        <v>259.68822</v>
      </c>
      <c r="X39" s="735"/>
      <c r="Y39" s="732">
        <v>45962</v>
      </c>
      <c r="Z39" s="735"/>
      <c r="AA39" s="735"/>
      <c r="AB39" s="735">
        <v>264.09749999999997</v>
      </c>
    </row>
    <row r="40" spans="2:33" ht="15" customHeight="1">
      <c r="B40" s="22"/>
      <c r="C40" s="22"/>
      <c r="D40" s="22"/>
      <c r="E40" s="22"/>
      <c r="F40" s="22"/>
      <c r="G40" s="22"/>
      <c r="H40" s="22"/>
      <c r="I40" s="22"/>
      <c r="J40" s="22"/>
      <c r="K40" s="377"/>
      <c r="L40" s="734">
        <v>44466</v>
      </c>
      <c r="M40" s="641" t="s">
        <v>294</v>
      </c>
      <c r="R40" s="735">
        <v>264.83238</v>
      </c>
      <c r="S40" s="735">
        <v>267.68004000000002</v>
      </c>
      <c r="T40" s="735"/>
      <c r="U40" s="735"/>
      <c r="V40" s="735"/>
      <c r="W40" s="735">
        <v>264.28122000000002</v>
      </c>
      <c r="X40" s="735"/>
      <c r="Y40" s="732">
        <v>45992</v>
      </c>
      <c r="Z40" s="735"/>
      <c r="AA40" s="735"/>
      <c r="AB40" s="735">
        <v>267.58817999999997</v>
      </c>
    </row>
    <row r="41" spans="2:33" ht="15" customHeight="1">
      <c r="B41" s="22"/>
      <c r="C41" s="22"/>
      <c r="D41" s="22"/>
      <c r="E41" s="22"/>
      <c r="F41" s="22"/>
      <c r="G41" s="22"/>
      <c r="H41" s="22"/>
      <c r="I41" s="22"/>
      <c r="J41" s="22"/>
      <c r="K41" s="377"/>
      <c r="L41" s="734">
        <v>44473</v>
      </c>
      <c r="M41" s="641" t="s">
        <v>295</v>
      </c>
      <c r="R41" s="735">
        <v>277.14161999999999</v>
      </c>
      <c r="S41" s="735">
        <v>279.98928000000001</v>
      </c>
      <c r="T41" s="735"/>
      <c r="U41" s="735"/>
      <c r="V41" s="735"/>
      <c r="W41" s="735">
        <v>276.03929999999997</v>
      </c>
      <c r="X41" s="735"/>
      <c r="Y41" s="732">
        <v>46023</v>
      </c>
      <c r="Z41" s="735"/>
      <c r="AA41" s="735"/>
      <c r="AB41" s="735">
        <v>279.07067999999998</v>
      </c>
      <c r="AD41" s="735"/>
      <c r="AE41" s="735"/>
      <c r="AF41" s="735"/>
      <c r="AG41" s="735"/>
    </row>
    <row r="42" spans="2:33" ht="15" customHeight="1">
      <c r="B42" s="22"/>
      <c r="C42" s="22"/>
      <c r="D42" s="22"/>
      <c r="E42" s="22"/>
      <c r="F42" s="22"/>
      <c r="G42" s="22"/>
      <c r="H42" s="22"/>
      <c r="I42" s="22"/>
      <c r="J42" s="22"/>
      <c r="K42" s="377"/>
      <c r="L42" s="734">
        <v>44480</v>
      </c>
      <c r="M42" s="641" t="s">
        <v>296</v>
      </c>
      <c r="R42" s="735">
        <v>269.88468</v>
      </c>
      <c r="S42" s="735">
        <v>272.91606000000002</v>
      </c>
      <c r="T42" s="735"/>
      <c r="U42" s="735"/>
      <c r="V42" s="735"/>
      <c r="W42" s="735">
        <v>272.18117999999998</v>
      </c>
      <c r="X42" s="735"/>
      <c r="Y42" s="732">
        <v>46054</v>
      </c>
      <c r="Z42" s="735"/>
      <c r="AA42" s="735"/>
      <c r="AB42" s="735">
        <v>275.58</v>
      </c>
      <c r="AF42" s="735"/>
      <c r="AG42" s="735"/>
    </row>
    <row r="43" spans="2:33" ht="15" customHeight="1">
      <c r="B43" s="22"/>
      <c r="C43" s="22"/>
      <c r="D43" s="22"/>
      <c r="E43" s="22"/>
      <c r="F43" s="22"/>
      <c r="G43" s="22"/>
      <c r="H43" s="22"/>
      <c r="I43" s="22"/>
      <c r="J43" s="22"/>
      <c r="K43" s="377"/>
      <c r="L43" s="734">
        <v>44487</v>
      </c>
      <c r="M43" s="641" t="s">
        <v>623</v>
      </c>
      <c r="R43" s="735">
        <v>275.21256</v>
      </c>
      <c r="S43" s="735">
        <v>277.78463999999997</v>
      </c>
      <c r="T43" s="735"/>
      <c r="U43" s="735"/>
      <c r="V43" s="735"/>
      <c r="W43" s="735">
        <v>275.58</v>
      </c>
      <c r="X43" s="735"/>
      <c r="Y43" s="732">
        <v>46082</v>
      </c>
      <c r="Z43" s="735"/>
      <c r="AA43" s="735"/>
      <c r="AB43" s="735">
        <v>278.70323999999999</v>
      </c>
      <c r="AF43" s="735"/>
      <c r="AG43" s="735"/>
    </row>
    <row r="44" spans="2:33" ht="15" customHeight="1">
      <c r="B44" s="22"/>
      <c r="C44" s="22"/>
      <c r="D44" s="22"/>
      <c r="E44" s="22"/>
      <c r="F44" s="22"/>
      <c r="G44" s="22"/>
      <c r="H44" s="22"/>
      <c r="I44" s="22"/>
      <c r="J44" s="22"/>
      <c r="K44" s="377"/>
      <c r="L44" s="734">
        <v>44494</v>
      </c>
      <c r="M44" s="641" t="s">
        <v>624</v>
      </c>
      <c r="R44" s="735">
        <v>285.77645999999999</v>
      </c>
      <c r="S44" s="735">
        <v>286.78692000000001</v>
      </c>
      <c r="T44" s="735"/>
      <c r="U44" s="735"/>
      <c r="V44" s="735"/>
      <c r="W44" s="735">
        <v>281.36718000000002</v>
      </c>
      <c r="X44" s="735"/>
      <c r="Y44" s="735">
        <v>281.18345999999997</v>
      </c>
      <c r="Z44" s="735"/>
      <c r="AA44" s="735"/>
      <c r="AB44" s="735">
        <v>283.57182</v>
      </c>
      <c r="AF44" s="735"/>
      <c r="AG44" s="735"/>
    </row>
    <row r="45" spans="2:33" ht="15" customHeight="1">
      <c r="B45" s="22"/>
      <c r="C45" s="22"/>
      <c r="D45" s="22"/>
      <c r="E45" s="22"/>
      <c r="F45" s="22"/>
      <c r="G45" s="22"/>
      <c r="H45" s="22"/>
      <c r="I45" s="22"/>
      <c r="J45" s="22"/>
      <c r="K45" s="377"/>
      <c r="L45" s="734">
        <v>44501</v>
      </c>
      <c r="M45" s="641" t="s">
        <v>625</v>
      </c>
      <c r="Q45" s="739"/>
      <c r="R45" s="739">
        <v>296.34035999999998</v>
      </c>
      <c r="S45" s="739">
        <v>297.71825999999999</v>
      </c>
      <c r="T45" s="739"/>
      <c r="U45" s="739"/>
      <c r="V45" s="739"/>
      <c r="W45" s="739">
        <v>292.02294000000001</v>
      </c>
      <c r="X45" s="739"/>
      <c r="Y45" s="739">
        <v>291.37991999999997</v>
      </c>
      <c r="Z45" s="739"/>
      <c r="AA45" s="739"/>
      <c r="AB45" s="739">
        <v>293.21711999999997</v>
      </c>
      <c r="AF45" s="735"/>
      <c r="AG45" s="735"/>
    </row>
    <row r="46" spans="2:33" ht="15" customHeight="1">
      <c r="B46" s="22"/>
      <c r="C46" s="22"/>
      <c r="D46" s="22"/>
      <c r="E46" s="22"/>
      <c r="F46" s="22"/>
      <c r="G46" s="22"/>
      <c r="H46" s="22"/>
      <c r="I46" s="22"/>
      <c r="J46" s="22"/>
      <c r="K46" s="377"/>
      <c r="L46" s="734">
        <v>44508</v>
      </c>
      <c r="M46" s="641" t="s">
        <v>626</v>
      </c>
      <c r="R46" s="735">
        <v>286.87878000000001</v>
      </c>
      <c r="S46" s="735">
        <v>288.44040000000001</v>
      </c>
      <c r="T46" s="735"/>
      <c r="U46" s="735"/>
      <c r="V46" s="735"/>
      <c r="W46" s="735">
        <v>285.13344000000001</v>
      </c>
      <c r="X46" s="735"/>
      <c r="Y46" s="735">
        <v>284.39855999999997</v>
      </c>
      <c r="Z46" s="735"/>
      <c r="AA46" s="735"/>
      <c r="AB46" s="735">
        <v>286.69506000000001</v>
      </c>
      <c r="AD46" s="735"/>
      <c r="AE46" s="735"/>
      <c r="AF46" s="735"/>
      <c r="AG46" s="735"/>
    </row>
    <row r="47" spans="2:33" ht="15" customHeight="1">
      <c r="B47" s="22"/>
      <c r="C47" s="22"/>
      <c r="D47" s="22"/>
      <c r="E47" s="22"/>
      <c r="F47" s="22"/>
      <c r="G47" s="22"/>
      <c r="H47" s="22"/>
      <c r="I47" s="22"/>
      <c r="J47" s="22"/>
      <c r="K47" s="377"/>
      <c r="L47" s="734">
        <v>44515</v>
      </c>
      <c r="M47" s="641" t="s">
        <v>627</v>
      </c>
      <c r="R47" s="735">
        <v>307.17984000000001</v>
      </c>
      <c r="S47" s="735">
        <v>308.09843999999998</v>
      </c>
      <c r="T47" s="735"/>
      <c r="U47" s="735"/>
      <c r="V47" s="735"/>
      <c r="W47" s="735">
        <v>301.76009999999997</v>
      </c>
      <c r="X47" s="735"/>
      <c r="Y47" s="735">
        <v>299.46359999999999</v>
      </c>
      <c r="Z47" s="735"/>
      <c r="AA47" s="735"/>
      <c r="AB47" s="735">
        <v>301.02521999999999</v>
      </c>
    </row>
    <row r="48" spans="2:33" ht="15" customHeight="1">
      <c r="B48" s="22"/>
      <c r="C48" s="22"/>
      <c r="D48" s="22"/>
      <c r="E48" s="22"/>
      <c r="F48" s="22"/>
      <c r="G48" s="22"/>
      <c r="H48" s="22"/>
      <c r="I48" s="22"/>
      <c r="J48" s="22"/>
      <c r="K48" s="377"/>
      <c r="L48" s="734">
        <v>44522</v>
      </c>
      <c r="M48" s="641" t="s">
        <v>628</v>
      </c>
      <c r="R48" s="735">
        <v>316.64141999999998</v>
      </c>
      <c r="S48" s="735">
        <v>318.38675999999998</v>
      </c>
      <c r="T48" s="735"/>
      <c r="U48" s="735"/>
      <c r="V48" s="735"/>
      <c r="W48" s="735">
        <v>311.86469999999997</v>
      </c>
      <c r="X48" s="735"/>
      <c r="Y48" s="735">
        <v>310.9461</v>
      </c>
      <c r="Z48" s="735"/>
      <c r="AA48" s="735"/>
      <c r="AB48" s="735">
        <v>312.59958</v>
      </c>
    </row>
    <row r="49" spans="2:32" ht="15" customHeight="1">
      <c r="B49" s="22"/>
      <c r="C49" s="22"/>
      <c r="D49" s="22"/>
      <c r="E49" s="22"/>
      <c r="F49" s="22"/>
      <c r="G49" s="22"/>
      <c r="H49" s="22"/>
      <c r="I49" s="22"/>
      <c r="J49" s="22"/>
      <c r="K49" s="377"/>
      <c r="L49" s="734">
        <v>44529</v>
      </c>
      <c r="M49" s="641" t="s">
        <v>629</v>
      </c>
      <c r="R49" s="735">
        <v>313.79375999999996</v>
      </c>
      <c r="S49" s="735">
        <v>314.98793999999998</v>
      </c>
      <c r="T49" s="735"/>
      <c r="U49" s="735"/>
      <c r="V49" s="735"/>
      <c r="W49" s="735">
        <v>307.73099999999999</v>
      </c>
      <c r="X49" s="735"/>
      <c r="Y49" s="735">
        <v>306.81239999999997</v>
      </c>
      <c r="Z49" s="735"/>
      <c r="AA49" s="735"/>
      <c r="AB49" s="735">
        <v>308.09843999999998</v>
      </c>
    </row>
    <row r="50" spans="2:32" ht="15" customHeight="1">
      <c r="B50" s="22"/>
      <c r="C50" s="22"/>
      <c r="D50" s="22"/>
      <c r="E50" s="22"/>
      <c r="F50" s="22"/>
      <c r="G50" s="22"/>
      <c r="H50" s="22"/>
      <c r="I50" s="22"/>
      <c r="J50" s="22"/>
      <c r="K50" s="377"/>
      <c r="L50" s="740">
        <v>44536</v>
      </c>
      <c r="M50" s="641" t="s">
        <v>630</v>
      </c>
      <c r="R50" s="735">
        <v>301.85195999999996</v>
      </c>
      <c r="S50" s="735">
        <v>302.21940000000001</v>
      </c>
      <c r="T50" s="735"/>
      <c r="U50" s="735"/>
      <c r="V50" s="735"/>
      <c r="W50" s="735">
        <v>299.46359999999999</v>
      </c>
      <c r="X50" s="735"/>
      <c r="Y50" s="735">
        <v>299.83103999999997</v>
      </c>
      <c r="Z50" s="735"/>
      <c r="AA50" s="735"/>
      <c r="AB50" s="735">
        <v>301.85195999999996</v>
      </c>
    </row>
    <row r="51" spans="2:32" ht="15" customHeight="1">
      <c r="B51" s="22"/>
      <c r="C51" s="22"/>
      <c r="D51" s="22"/>
      <c r="E51" s="22"/>
      <c r="F51" s="22"/>
      <c r="G51" s="22"/>
      <c r="H51" s="22"/>
      <c r="I51" s="22"/>
      <c r="J51" s="22"/>
      <c r="K51" s="377"/>
      <c r="L51" s="740">
        <v>44543</v>
      </c>
      <c r="M51" s="641" t="s">
        <v>631</v>
      </c>
      <c r="S51" s="735">
        <v>298.54500000000002</v>
      </c>
      <c r="T51" s="735"/>
      <c r="U51" s="735">
        <v>379.7</v>
      </c>
      <c r="V51" s="735"/>
      <c r="W51" s="735">
        <v>295.23804000000001</v>
      </c>
      <c r="X51" s="735"/>
      <c r="Y51" s="735">
        <v>295.88105999999999</v>
      </c>
      <c r="Z51" s="735"/>
      <c r="AA51" s="735"/>
      <c r="AB51" s="735">
        <v>297.71825999999999</v>
      </c>
      <c r="AC51" s="735"/>
    </row>
    <row r="52" spans="2:32" ht="15" customHeight="1">
      <c r="B52" s="22"/>
      <c r="C52" s="22"/>
      <c r="D52" s="22"/>
      <c r="E52" s="22"/>
      <c r="F52" s="22"/>
      <c r="G52" s="22"/>
      <c r="H52" s="22"/>
      <c r="I52" s="22"/>
      <c r="J52" s="22"/>
      <c r="K52" s="377"/>
      <c r="L52" s="740">
        <v>44550</v>
      </c>
      <c r="M52" s="641" t="s">
        <v>632</v>
      </c>
      <c r="S52" s="735">
        <v>298.82058000000001</v>
      </c>
      <c r="T52" s="735"/>
      <c r="U52" s="735">
        <v>379.5</v>
      </c>
      <c r="V52" s="735"/>
      <c r="W52" s="735">
        <v>295.32990000000001</v>
      </c>
      <c r="X52" s="735"/>
      <c r="Y52" s="735">
        <v>295.78919999999999</v>
      </c>
      <c r="Z52" s="735"/>
      <c r="AA52" s="735"/>
      <c r="AB52" s="735">
        <v>297.1671</v>
      </c>
      <c r="AC52" s="735"/>
    </row>
    <row r="53" spans="2:32" ht="15" customHeight="1">
      <c r="B53" s="22"/>
      <c r="C53" s="22"/>
      <c r="D53" s="22"/>
      <c r="E53" s="22"/>
      <c r="F53" s="22"/>
      <c r="G53" s="22"/>
      <c r="H53" s="22"/>
      <c r="I53" s="22"/>
      <c r="J53" s="22"/>
      <c r="K53" s="377"/>
      <c r="L53" s="740">
        <v>44557</v>
      </c>
      <c r="M53" s="641" t="s">
        <v>633</v>
      </c>
      <c r="S53" s="735">
        <v>311.22167999999999</v>
      </c>
      <c r="T53" s="735"/>
      <c r="U53" s="735">
        <v>391.9</v>
      </c>
      <c r="V53" s="735"/>
      <c r="W53" s="735">
        <v>308.19029999999998</v>
      </c>
      <c r="X53" s="735"/>
      <c r="Y53" s="735">
        <v>308.37401999999997</v>
      </c>
      <c r="Z53" s="735"/>
      <c r="AA53" s="735"/>
      <c r="AB53" s="735">
        <v>309.38448</v>
      </c>
      <c r="AC53" s="735"/>
    </row>
    <row r="54" spans="2:32" ht="15" customHeight="1">
      <c r="B54" s="22"/>
      <c r="C54" s="22"/>
      <c r="D54" s="22"/>
      <c r="E54" s="22"/>
      <c r="F54" s="22"/>
      <c r="G54" s="22"/>
      <c r="H54" s="22"/>
      <c r="I54" s="22"/>
      <c r="J54" s="22"/>
      <c r="K54" s="377"/>
      <c r="L54" s="740">
        <v>44564</v>
      </c>
      <c r="M54" s="641" t="s">
        <v>634</v>
      </c>
      <c r="S54" s="735">
        <v>290.82875999999999</v>
      </c>
      <c r="T54" s="735"/>
      <c r="U54" s="735">
        <v>371.9</v>
      </c>
      <c r="V54" s="735"/>
      <c r="W54" s="735">
        <v>289.91016000000002</v>
      </c>
      <c r="X54" s="735"/>
      <c r="Y54" s="735">
        <v>290.82875999999999</v>
      </c>
      <c r="Z54" s="735"/>
      <c r="AA54" s="735"/>
      <c r="AB54" s="735">
        <v>292.66595999999998</v>
      </c>
      <c r="AC54" s="735">
        <v>293.12525999999997</v>
      </c>
    </row>
    <row r="55" spans="2:32" ht="15" customHeight="1">
      <c r="B55" s="22"/>
      <c r="C55" s="22"/>
      <c r="D55" s="22"/>
      <c r="E55" s="22"/>
      <c r="F55" s="22"/>
      <c r="G55" s="22"/>
      <c r="H55" s="22"/>
      <c r="I55" s="22"/>
      <c r="J55" s="22"/>
      <c r="K55" s="377"/>
      <c r="L55" s="740">
        <v>44571</v>
      </c>
      <c r="M55" s="641" t="s">
        <v>647</v>
      </c>
      <c r="S55" s="735">
        <v>285.96017999999998</v>
      </c>
      <c r="T55" s="735"/>
      <c r="U55" s="735">
        <v>370.4</v>
      </c>
      <c r="V55" s="735"/>
      <c r="W55" s="735">
        <v>285.86831999999998</v>
      </c>
      <c r="X55" s="735"/>
      <c r="Y55" s="735">
        <v>286.97064</v>
      </c>
      <c r="Z55" s="735"/>
      <c r="AA55" s="735"/>
      <c r="AB55" s="735">
        <v>289.54271999999997</v>
      </c>
      <c r="AC55" s="735">
        <v>290.55318</v>
      </c>
      <c r="AD55" s="735"/>
      <c r="AE55" s="735"/>
    </row>
    <row r="56" spans="2:32" ht="15" customHeight="1">
      <c r="B56" s="22"/>
      <c r="C56" s="22"/>
      <c r="D56" s="22"/>
      <c r="E56" s="22"/>
      <c r="F56" s="22"/>
      <c r="G56" s="22"/>
      <c r="H56" s="22"/>
      <c r="I56" s="22"/>
      <c r="J56" s="22"/>
      <c r="K56" s="377"/>
      <c r="L56" s="740">
        <v>44579</v>
      </c>
      <c r="M56" s="641" t="s">
        <v>648</v>
      </c>
      <c r="S56" s="735">
        <v>283.93925999999999</v>
      </c>
      <c r="T56" s="735"/>
      <c r="U56" s="735">
        <v>369.3</v>
      </c>
      <c r="V56" s="735"/>
      <c r="W56" s="735">
        <v>285.50088</v>
      </c>
      <c r="X56" s="735"/>
      <c r="Y56" s="735">
        <v>286.87878000000001</v>
      </c>
      <c r="Z56" s="735"/>
      <c r="AA56" s="735"/>
      <c r="AB56" s="735">
        <v>289.54271999999997</v>
      </c>
      <c r="AC56" s="735">
        <v>290.92061999999999</v>
      </c>
      <c r="AD56" s="735"/>
      <c r="AE56" s="735"/>
    </row>
    <row r="57" spans="2:32" ht="15" customHeight="1">
      <c r="B57" s="22"/>
      <c r="C57" s="22"/>
      <c r="D57" s="22"/>
      <c r="E57" s="22"/>
      <c r="F57" s="22"/>
      <c r="G57" s="22"/>
      <c r="H57" s="22"/>
      <c r="I57" s="22"/>
      <c r="J57" s="22"/>
      <c r="K57" s="377"/>
      <c r="L57" s="740">
        <v>44585</v>
      </c>
      <c r="M57" s="641" t="s">
        <v>649</v>
      </c>
      <c r="S57" s="735">
        <v>300.56592000000001</v>
      </c>
      <c r="T57" s="735"/>
      <c r="U57" s="735">
        <v>389.6</v>
      </c>
      <c r="V57" s="735"/>
      <c r="W57" s="735">
        <v>301.30079999999998</v>
      </c>
      <c r="X57" s="735"/>
      <c r="Y57" s="735">
        <v>302.40312</v>
      </c>
      <c r="Z57" s="735"/>
      <c r="AA57" s="735"/>
      <c r="AB57" s="735">
        <v>304.88333999999998</v>
      </c>
      <c r="AC57" s="735">
        <v>305.15891999999997</v>
      </c>
      <c r="AD57" s="735"/>
      <c r="AE57" s="735"/>
    </row>
    <row r="58" spans="2:32" ht="15" customHeight="1">
      <c r="B58" s="22"/>
      <c r="C58" s="22"/>
      <c r="D58" s="22"/>
      <c r="E58" s="22"/>
      <c r="F58" s="22"/>
      <c r="G58" s="22"/>
      <c r="H58" s="22"/>
      <c r="I58" s="22"/>
      <c r="J58" s="22"/>
      <c r="K58" s="377"/>
      <c r="L58" s="740">
        <v>44592</v>
      </c>
      <c r="M58" s="641" t="s">
        <v>650</v>
      </c>
      <c r="S58" s="735">
        <v>287.0625</v>
      </c>
      <c r="T58" s="735"/>
      <c r="U58" s="735">
        <v>380</v>
      </c>
      <c r="V58" s="735"/>
      <c r="W58" s="735">
        <v>288.07295999999997</v>
      </c>
      <c r="X58" s="735"/>
      <c r="Y58" s="735">
        <v>289.45085999999998</v>
      </c>
      <c r="Z58" s="735"/>
      <c r="AA58" s="735"/>
      <c r="AB58" s="735">
        <v>292.20666</v>
      </c>
      <c r="AC58" s="735">
        <v>293.21711999999997</v>
      </c>
      <c r="AD58" s="735"/>
      <c r="AE58" s="735"/>
    </row>
    <row r="59" spans="2:32" ht="15" customHeight="1">
      <c r="B59" s="22"/>
      <c r="C59" s="22"/>
      <c r="D59" s="22"/>
      <c r="E59" s="22"/>
      <c r="F59" s="22"/>
      <c r="G59" s="22"/>
      <c r="H59" s="22"/>
      <c r="I59" s="22"/>
      <c r="J59" s="22"/>
      <c r="K59" s="377"/>
      <c r="L59" s="740">
        <v>44599</v>
      </c>
      <c r="M59" s="641" t="s">
        <v>651</v>
      </c>
      <c r="S59" s="735">
        <v>290.92061999999999</v>
      </c>
      <c r="T59" s="735"/>
      <c r="U59" s="735">
        <v>380.6</v>
      </c>
      <c r="V59" s="735"/>
      <c r="W59" s="735">
        <v>293.21711999999997</v>
      </c>
      <c r="X59" s="735"/>
      <c r="Y59" s="735">
        <v>294.68687999999997</v>
      </c>
      <c r="Z59" s="735"/>
      <c r="AA59" s="735"/>
      <c r="AB59" s="735">
        <v>297.81011999999998</v>
      </c>
      <c r="AC59" s="735">
        <v>299.09616</v>
      </c>
      <c r="AD59" s="735"/>
      <c r="AE59" s="735"/>
    </row>
    <row r="60" spans="2:32" ht="15" customHeight="1">
      <c r="B60" s="22"/>
      <c r="C60" s="22"/>
      <c r="D60" s="22"/>
      <c r="E60" s="22"/>
      <c r="F60" s="22"/>
      <c r="G60" s="22"/>
      <c r="H60" s="22"/>
      <c r="I60" s="22"/>
      <c r="J60" s="22"/>
      <c r="K60" s="377"/>
      <c r="L60" s="740">
        <v>44606</v>
      </c>
      <c r="M60" s="641" t="s">
        <v>653</v>
      </c>
      <c r="S60" s="735">
        <v>304.42403999999999</v>
      </c>
      <c r="T60" s="735"/>
      <c r="U60" s="735">
        <v>395.3</v>
      </c>
      <c r="V60" s="735"/>
      <c r="W60" s="735">
        <v>305.80194</v>
      </c>
      <c r="X60" s="735"/>
      <c r="Y60" s="735">
        <v>306.99612000000002</v>
      </c>
      <c r="Z60" s="735"/>
      <c r="AA60" s="735"/>
      <c r="AB60" s="735">
        <v>309.75191999999998</v>
      </c>
      <c r="AC60" s="735">
        <v>310.48680000000002</v>
      </c>
    </row>
    <row r="61" spans="2:32" ht="15" customHeight="1">
      <c r="B61" s="22"/>
      <c r="C61" s="22"/>
      <c r="D61" s="22"/>
      <c r="E61" s="22"/>
      <c r="F61" s="22"/>
      <c r="G61" s="22"/>
      <c r="H61" s="22"/>
      <c r="I61" s="22"/>
      <c r="J61" s="22"/>
      <c r="K61" s="377"/>
      <c r="L61" s="740">
        <v>44614</v>
      </c>
      <c r="M61" s="641" t="s">
        <v>654</v>
      </c>
      <c r="S61" s="735">
        <v>323.99021999999997</v>
      </c>
      <c r="T61" s="735"/>
      <c r="U61" s="735">
        <v>414</v>
      </c>
      <c r="V61" s="735"/>
      <c r="W61" s="735">
        <v>325.73555999999996</v>
      </c>
      <c r="X61" s="735"/>
      <c r="Y61" s="735">
        <v>326.37858</v>
      </c>
      <c r="Z61" s="735"/>
      <c r="AA61" s="735"/>
      <c r="AB61" s="735">
        <v>328.39949999999999</v>
      </c>
      <c r="AC61" s="735">
        <v>328.30763999999999</v>
      </c>
    </row>
    <row r="62" spans="2:32" ht="15" customHeight="1">
      <c r="B62" s="22"/>
      <c r="C62" s="22"/>
      <c r="D62" s="22"/>
      <c r="E62" s="22"/>
      <c r="F62" s="22"/>
      <c r="G62" s="22"/>
      <c r="H62" s="22"/>
      <c r="I62" s="22"/>
      <c r="J62" s="22"/>
      <c r="K62" s="377"/>
      <c r="L62" s="740">
        <v>44620</v>
      </c>
      <c r="M62" s="641" t="s">
        <v>655</v>
      </c>
      <c r="S62" s="735">
        <v>350.62961999999999</v>
      </c>
      <c r="T62" s="735"/>
      <c r="U62" s="735">
        <v>438.3</v>
      </c>
      <c r="V62" s="735"/>
      <c r="W62" s="735">
        <v>345.66917999999998</v>
      </c>
      <c r="X62" s="735"/>
      <c r="Y62" s="735">
        <v>342.72965999999997</v>
      </c>
      <c r="Z62" s="735"/>
      <c r="AA62" s="735"/>
      <c r="AB62" s="735">
        <v>341.16803999999996</v>
      </c>
      <c r="AC62" s="735">
        <v>336.20760000000001</v>
      </c>
    </row>
    <row r="63" spans="2:32" ht="15" customHeight="1">
      <c r="B63" s="22"/>
      <c r="C63" s="22"/>
      <c r="D63" s="22"/>
      <c r="E63" s="22"/>
      <c r="F63" s="22"/>
      <c r="G63" s="22"/>
      <c r="H63" s="22"/>
      <c r="I63" s="22"/>
      <c r="J63" s="22"/>
      <c r="K63" s="377"/>
      <c r="L63" s="740">
        <v>44627</v>
      </c>
      <c r="M63" s="641" t="s">
        <v>677</v>
      </c>
      <c r="U63" s="735">
        <v>547.9</v>
      </c>
      <c r="V63" s="735">
        <v>0</v>
      </c>
      <c r="W63" s="735">
        <v>453.32909999999998</v>
      </c>
      <c r="X63" s="735"/>
      <c r="Y63" s="735">
        <v>438.08033999999998</v>
      </c>
      <c r="Z63" s="735"/>
      <c r="AA63" s="735"/>
      <c r="AB63" s="735">
        <v>419.70833999999996</v>
      </c>
      <c r="AC63" s="735">
        <v>402.80610000000001</v>
      </c>
      <c r="AD63" s="735">
        <v>306.99612000000002</v>
      </c>
      <c r="AE63" s="735"/>
      <c r="AF63" s="735"/>
    </row>
    <row r="64" spans="2:32" ht="15" customHeight="1">
      <c r="L64" s="740">
        <v>44634</v>
      </c>
      <c r="M64" s="641" t="s">
        <v>678</v>
      </c>
      <c r="U64" s="735">
        <v>496</v>
      </c>
      <c r="V64" s="735">
        <v>0</v>
      </c>
      <c r="W64" s="735">
        <v>398.85611999999998</v>
      </c>
      <c r="X64" s="735"/>
      <c r="Y64" s="735">
        <v>392.33405999999997</v>
      </c>
      <c r="Z64" s="735"/>
      <c r="AA64" s="735"/>
      <c r="AB64" s="735">
        <v>386.63873999999998</v>
      </c>
      <c r="AC64" s="735">
        <v>374.97251999999997</v>
      </c>
      <c r="AD64" s="735">
        <v>294.50315999999998</v>
      </c>
      <c r="AE64" s="735"/>
      <c r="AF64" s="735"/>
    </row>
    <row r="65" spans="12:32" ht="15" customHeight="1">
      <c r="L65" s="740">
        <v>44641</v>
      </c>
      <c r="M65" s="641" t="s">
        <v>679</v>
      </c>
      <c r="U65" s="735">
        <v>409.05257999999998</v>
      </c>
      <c r="V65" s="735">
        <v>0</v>
      </c>
      <c r="W65" s="735">
        <v>405.37817999999999</v>
      </c>
      <c r="X65" s="735"/>
      <c r="Y65" s="735">
        <v>398.76425999999998</v>
      </c>
      <c r="Z65" s="735"/>
      <c r="AA65" s="735"/>
      <c r="AB65" s="735">
        <v>392.05847999999997</v>
      </c>
      <c r="AC65" s="735">
        <v>382.87248</v>
      </c>
      <c r="AD65" s="735">
        <v>310.02749999999997</v>
      </c>
      <c r="AE65" s="735"/>
      <c r="AF65" s="735"/>
    </row>
    <row r="66" spans="12:32" ht="15" customHeight="1">
      <c r="L66" s="740">
        <v>44648</v>
      </c>
      <c r="M66" s="641" t="s">
        <v>680</v>
      </c>
      <c r="U66" s="735">
        <v>393.34451999999999</v>
      </c>
      <c r="V66" s="735">
        <v>0</v>
      </c>
      <c r="W66" s="735">
        <v>392.97708</v>
      </c>
      <c r="X66" s="735"/>
      <c r="Y66" s="735">
        <v>390.95616000000001</v>
      </c>
      <c r="Z66" s="735"/>
      <c r="AA66" s="735"/>
      <c r="AB66" s="735">
        <v>389.02709999999996</v>
      </c>
      <c r="AC66" s="735">
        <v>383.23991999999998</v>
      </c>
      <c r="AD66" s="735">
        <v>323.43905999999998</v>
      </c>
      <c r="AE66" s="735"/>
      <c r="AF66" s="735"/>
    </row>
    <row r="67" spans="12:32" ht="15" customHeight="1">
      <c r="L67" s="740">
        <v>44655</v>
      </c>
      <c r="M67" s="641" t="s">
        <v>681</v>
      </c>
      <c r="U67" s="735">
        <v>381.31085999999999</v>
      </c>
      <c r="V67" s="735">
        <v>0</v>
      </c>
      <c r="W67" s="735">
        <v>381.86201999999997</v>
      </c>
      <c r="X67" s="735"/>
      <c r="Y67" s="735">
        <v>381.49457999999998</v>
      </c>
      <c r="Z67" s="735"/>
      <c r="AA67" s="735"/>
      <c r="AB67" s="735">
        <v>381.40271999999999</v>
      </c>
      <c r="AC67" s="735">
        <v>378.92250000000001</v>
      </c>
      <c r="AD67" s="735">
        <v>332.34947999999997</v>
      </c>
      <c r="AE67" s="735"/>
      <c r="AF67" s="735">
        <v>331.33902</v>
      </c>
    </row>
    <row r="68" spans="12:32" ht="15" customHeight="1">
      <c r="L68" s="740">
        <v>44662</v>
      </c>
      <c r="M68" s="641" t="s">
        <v>682</v>
      </c>
      <c r="U68" s="735">
        <v>419.43275999999997</v>
      </c>
      <c r="V68" s="735">
        <v>0</v>
      </c>
      <c r="W68" s="735">
        <v>420.90251999999998</v>
      </c>
      <c r="X68" s="735"/>
      <c r="Y68" s="735">
        <v>420.35136</v>
      </c>
      <c r="Z68" s="735"/>
      <c r="AA68" s="735"/>
      <c r="AB68" s="735">
        <v>419.61647999999997</v>
      </c>
      <c r="AC68" s="735">
        <v>417.59555999999998</v>
      </c>
      <c r="AD68" s="735">
        <v>364.22489999999999</v>
      </c>
      <c r="AE68" s="735"/>
      <c r="AF68" s="735">
        <v>331.33902</v>
      </c>
    </row>
    <row r="69" spans="12:32" ht="15" customHeight="1">
      <c r="L69" s="740">
        <v>44669</v>
      </c>
      <c r="M69" s="641" t="s">
        <v>683</v>
      </c>
      <c r="U69" s="735">
        <v>435.41640000000001</v>
      </c>
      <c r="V69" s="735">
        <v>0</v>
      </c>
      <c r="W69" s="735">
        <v>436.88615999999996</v>
      </c>
      <c r="X69" s="735"/>
      <c r="Y69" s="735">
        <v>435.23267999999996</v>
      </c>
      <c r="Z69" s="735"/>
      <c r="AA69" s="735"/>
      <c r="AB69" s="735">
        <v>432.84431999999998</v>
      </c>
      <c r="AC69" s="735">
        <v>430.45596</v>
      </c>
      <c r="AD69" s="735">
        <v>383.33177999999998</v>
      </c>
      <c r="AE69" s="735"/>
      <c r="AF69" s="735">
        <v>376.25855999999999</v>
      </c>
    </row>
    <row r="70" spans="12:32" ht="15" customHeight="1">
      <c r="L70" s="740">
        <v>44676</v>
      </c>
      <c r="M70" s="641" t="s">
        <v>684</v>
      </c>
      <c r="U70" s="735">
        <v>420.81065999999998</v>
      </c>
      <c r="V70" s="735">
        <v>0</v>
      </c>
      <c r="W70" s="735">
        <v>423.65832</v>
      </c>
      <c r="X70" s="735"/>
      <c r="Y70" s="735">
        <v>423.47460000000001</v>
      </c>
      <c r="Z70" s="735"/>
      <c r="AA70" s="735"/>
      <c r="AB70" s="735">
        <v>422.37227999999999</v>
      </c>
      <c r="AC70" s="735">
        <v>420.71879999999999</v>
      </c>
      <c r="AD70" s="735">
        <v>385.81200000000001</v>
      </c>
      <c r="AE70" s="735"/>
      <c r="AF70" s="735">
        <v>379.74923999999999</v>
      </c>
    </row>
    <row r="71" spans="12:32" ht="15" customHeight="1">
      <c r="L71" s="740">
        <v>44683</v>
      </c>
      <c r="M71" s="642" t="s">
        <v>705</v>
      </c>
      <c r="U71" s="735">
        <v>399.32</v>
      </c>
      <c r="V71" s="735">
        <v>0</v>
      </c>
      <c r="W71" s="735">
        <v>403.45</v>
      </c>
      <c r="X71" s="735"/>
      <c r="Y71" s="735">
        <v>404.74</v>
      </c>
      <c r="Z71" s="735">
        <v>0</v>
      </c>
      <c r="AA71" s="735"/>
      <c r="AB71" s="735">
        <v>405.93</v>
      </c>
      <c r="AC71" s="735">
        <v>405.38</v>
      </c>
      <c r="AD71" s="735">
        <v>376.63</v>
      </c>
      <c r="AE71" s="735"/>
      <c r="AF71" s="735">
        <v>372.77</v>
      </c>
    </row>
    <row r="72" spans="12:32" ht="15" customHeight="1">
      <c r="L72" s="740">
        <v>44690</v>
      </c>
      <c r="M72" s="643" t="s">
        <v>706</v>
      </c>
      <c r="U72" s="735">
        <v>423.75018</v>
      </c>
      <c r="V72" s="735">
        <v>0</v>
      </c>
      <c r="W72" s="735">
        <v>427.79201999999998</v>
      </c>
      <c r="X72" s="735"/>
      <c r="Y72" s="735">
        <v>428.9862</v>
      </c>
      <c r="Z72" s="735">
        <v>0</v>
      </c>
      <c r="AA72" s="735"/>
      <c r="AB72" s="735">
        <v>430.63968</v>
      </c>
      <c r="AC72" s="735">
        <v>429.90479999999997</v>
      </c>
      <c r="AD72" s="735">
        <v>390.86430000000001</v>
      </c>
      <c r="AE72" s="735"/>
      <c r="AF72" s="735">
        <v>386.08758</v>
      </c>
    </row>
    <row r="73" spans="12:32" ht="15" customHeight="1">
      <c r="L73" s="740">
        <v>44697</v>
      </c>
      <c r="M73" s="643" t="s">
        <v>707</v>
      </c>
      <c r="U73" s="735">
        <v>0</v>
      </c>
      <c r="V73" s="735">
        <v>0</v>
      </c>
      <c r="W73" s="735">
        <v>496.77887999999996</v>
      </c>
      <c r="X73" s="735"/>
      <c r="Y73" s="735">
        <v>497.42189999999999</v>
      </c>
      <c r="Z73" s="735">
        <v>0</v>
      </c>
      <c r="AA73" s="735"/>
      <c r="AB73" s="735">
        <v>497.78933999999998</v>
      </c>
      <c r="AC73" s="735">
        <v>492.82889999999998</v>
      </c>
      <c r="AD73" s="735">
        <v>415.66649999999998</v>
      </c>
      <c r="AE73" s="735"/>
      <c r="AF73" s="735">
        <v>398.12124</v>
      </c>
    </row>
    <row r="74" spans="12:32" ht="15" customHeight="1">
      <c r="L74" s="740">
        <v>44704</v>
      </c>
      <c r="V74" s="735"/>
      <c r="W74" s="735">
        <v>469.03715999999997</v>
      </c>
      <c r="X74" s="735"/>
      <c r="Y74" s="735">
        <v>470.50691999999998</v>
      </c>
      <c r="Z74" s="735"/>
      <c r="AA74" s="735"/>
      <c r="AB74" s="735">
        <v>472.06853999999998</v>
      </c>
      <c r="AC74" s="735">
        <v>471.7011</v>
      </c>
      <c r="AD74" s="735">
        <v>411.80838</v>
      </c>
      <c r="AE74" s="735"/>
      <c r="AF74" s="735">
        <v>398.2131</v>
      </c>
    </row>
    <row r="75" spans="12:32" ht="15" customHeight="1">
      <c r="L75" s="740">
        <v>44712</v>
      </c>
      <c r="V75" s="735"/>
      <c r="W75" s="735">
        <v>428.25131999999996</v>
      </c>
      <c r="X75" s="735"/>
      <c r="Y75" s="735">
        <v>430.63968</v>
      </c>
      <c r="Z75" s="735"/>
      <c r="AA75" s="735"/>
      <c r="AB75" s="735">
        <v>433.94664</v>
      </c>
      <c r="AC75" s="735">
        <v>434.77337999999997</v>
      </c>
      <c r="AD75" s="735">
        <v>398.30495999999999</v>
      </c>
      <c r="AE75" s="735"/>
      <c r="AF75" s="735">
        <v>382.41318000000001</v>
      </c>
    </row>
    <row r="76" spans="12:32" ht="15" customHeight="1">
      <c r="L76" s="740">
        <v>44718</v>
      </c>
      <c r="V76" s="735"/>
      <c r="W76" s="735">
        <v>429.90479999999997</v>
      </c>
      <c r="X76" s="735"/>
      <c r="Y76" s="735">
        <v>432.38502</v>
      </c>
      <c r="Z76" s="735"/>
      <c r="AA76" s="735"/>
      <c r="AB76" s="735">
        <v>435.96755999999999</v>
      </c>
      <c r="AC76" s="735">
        <v>437.89661999999998</v>
      </c>
      <c r="AD76" s="735">
        <v>403.81655999999998</v>
      </c>
      <c r="AE76" s="735"/>
      <c r="AF76" s="735">
        <v>387.64920000000001</v>
      </c>
    </row>
    <row r="77" spans="12:32" ht="15" customHeight="1">
      <c r="L77" s="740">
        <v>44725</v>
      </c>
      <c r="V77" s="735"/>
      <c r="W77" s="735">
        <v>426.87</v>
      </c>
      <c r="X77" s="735"/>
      <c r="Y77" s="735">
        <v>429.45</v>
      </c>
      <c r="Z77" s="735"/>
      <c r="AA77" s="735"/>
      <c r="AB77" s="735">
        <v>432.66</v>
      </c>
      <c r="AC77" s="735">
        <v>434.31</v>
      </c>
      <c r="AD77" s="735">
        <v>405.19</v>
      </c>
      <c r="AE77" s="735"/>
      <c r="AF77" s="735">
        <v>394.81</v>
      </c>
    </row>
    <row r="78" spans="12:32">
      <c r="L78" s="740">
        <v>44733</v>
      </c>
      <c r="W78" s="741">
        <v>382.59690000000001</v>
      </c>
      <c r="X78" s="741"/>
      <c r="Y78" s="741">
        <v>385.16897999999998</v>
      </c>
      <c r="Z78" s="741"/>
      <c r="AA78" s="741"/>
      <c r="AB78" s="741">
        <v>388.93523999999996</v>
      </c>
      <c r="AC78" s="741">
        <v>391.59917999999999</v>
      </c>
      <c r="AD78" s="741">
        <v>368.63418000000001</v>
      </c>
      <c r="AE78" s="741"/>
      <c r="AF78" s="741">
        <v>359.26445999999999</v>
      </c>
    </row>
    <row r="79" spans="12:32">
      <c r="L79" s="740">
        <v>44739</v>
      </c>
      <c r="W79" s="741">
        <v>357.42725999999999</v>
      </c>
      <c r="X79" s="741"/>
      <c r="Y79" s="741">
        <v>359.63189999999997</v>
      </c>
      <c r="Z79" s="741"/>
      <c r="AA79" s="741"/>
      <c r="AB79" s="741">
        <v>363.30629999999996</v>
      </c>
      <c r="AC79" s="741">
        <v>365.87837999999999</v>
      </c>
      <c r="AD79" s="741">
        <v>343.09710000000001</v>
      </c>
      <c r="AE79" s="741"/>
      <c r="AF79" s="741">
        <v>335.10527999999999</v>
      </c>
    </row>
    <row r="80" spans="12:32">
      <c r="L80" s="740">
        <v>44747</v>
      </c>
      <c r="W80" s="741">
        <v>316.09026</v>
      </c>
      <c r="X80" s="741"/>
      <c r="Y80" s="741">
        <v>316.73327999999998</v>
      </c>
      <c r="Z80" s="741"/>
      <c r="AA80" s="741"/>
      <c r="AB80" s="741">
        <v>319.85651999999999</v>
      </c>
      <c r="AC80" s="741">
        <v>322.15301999999997</v>
      </c>
      <c r="AD80" s="741">
        <v>312.69144</v>
      </c>
      <c r="AE80" s="741">
        <v>311.12982</v>
      </c>
      <c r="AF80" s="741">
        <v>306.62867999999997</v>
      </c>
    </row>
    <row r="81" spans="12:32">
      <c r="L81" s="740">
        <v>44753</v>
      </c>
      <c r="W81" s="741">
        <v>338.13666000000001</v>
      </c>
      <c r="X81" s="741"/>
      <c r="Y81" s="741">
        <v>336.29946000000001</v>
      </c>
      <c r="Z81" s="741"/>
      <c r="AA81" s="741"/>
      <c r="AB81" s="741">
        <v>339.23897999999997</v>
      </c>
      <c r="AC81" s="741">
        <v>340.61687999999998</v>
      </c>
      <c r="AD81" s="741">
        <v>328.76693999999998</v>
      </c>
      <c r="AE81" s="741">
        <v>326.74601999999999</v>
      </c>
      <c r="AF81" s="741">
        <v>322.52046000000001</v>
      </c>
    </row>
    <row r="82" spans="12:32">
      <c r="L82" s="740">
        <v>44760</v>
      </c>
      <c r="W82" s="741"/>
      <c r="X82" s="741"/>
      <c r="Y82" s="741">
        <v>321.14256</v>
      </c>
      <c r="Z82" s="741"/>
      <c r="AA82" s="741"/>
      <c r="AB82" s="741">
        <v>324.08207999999996</v>
      </c>
      <c r="AC82" s="741">
        <v>326.19486000000001</v>
      </c>
      <c r="AD82" s="741">
        <v>321.41813999999999</v>
      </c>
      <c r="AE82" s="741">
        <v>321.51</v>
      </c>
      <c r="AF82" s="741">
        <v>319.12164000000001</v>
      </c>
    </row>
    <row r="83" spans="12:32">
      <c r="L83" s="740">
        <v>44767</v>
      </c>
      <c r="Y83" s="741">
        <v>308.55773999999997</v>
      </c>
      <c r="Z83" s="741"/>
      <c r="AA83" s="741"/>
      <c r="AB83" s="741">
        <v>311.12982</v>
      </c>
      <c r="AC83" s="741">
        <v>312.87515999999999</v>
      </c>
      <c r="AD83" s="741">
        <v>308.19029999999998</v>
      </c>
      <c r="AE83" s="741">
        <v>308.92518000000001</v>
      </c>
      <c r="AF83" s="741">
        <v>306.44495999999998</v>
      </c>
    </row>
    <row r="84" spans="12:32">
      <c r="L84" s="740">
        <v>44774</v>
      </c>
      <c r="Y84" s="741">
        <v>318.38675999999998</v>
      </c>
      <c r="Z84" s="741"/>
      <c r="AA84" s="741"/>
      <c r="AB84" s="741">
        <v>321.14256</v>
      </c>
      <c r="AC84" s="741">
        <v>323.16347999999999</v>
      </c>
      <c r="AD84" s="741">
        <v>317.8356</v>
      </c>
      <c r="AE84" s="741">
        <v>318.38675999999998</v>
      </c>
      <c r="AF84" s="741">
        <v>314.89607999999998</v>
      </c>
    </row>
    <row r="85" spans="12:32">
      <c r="L85" s="740">
        <v>44781</v>
      </c>
      <c r="Y85" s="741">
        <v>311.49725999999998</v>
      </c>
      <c r="Z85" s="741"/>
      <c r="AA85" s="741"/>
      <c r="AB85" s="741">
        <v>314.16120000000001</v>
      </c>
      <c r="AC85" s="741">
        <v>316.36583999999999</v>
      </c>
      <c r="AD85" s="741">
        <v>314.80421999999999</v>
      </c>
      <c r="AE85" s="741">
        <v>315.90654000000001</v>
      </c>
      <c r="AF85" s="741">
        <v>312.50772000000001</v>
      </c>
    </row>
    <row r="86" spans="12:32">
      <c r="L86" s="740">
        <v>44788</v>
      </c>
      <c r="Y86" s="741">
        <v>324.35766000000001</v>
      </c>
      <c r="Z86" s="741"/>
      <c r="AA86" s="741"/>
      <c r="AB86" s="741">
        <v>325.18439999999998</v>
      </c>
      <c r="AC86" s="741">
        <v>326.01114000000001</v>
      </c>
      <c r="AD86" s="741">
        <v>322.52046000000001</v>
      </c>
      <c r="AE86" s="741">
        <v>322.79604</v>
      </c>
      <c r="AF86" s="741">
        <v>319.85651999999999</v>
      </c>
    </row>
    <row r="87" spans="12:32">
      <c r="L87" s="740">
        <v>44795</v>
      </c>
      <c r="Y87" s="741">
        <v>317.92746</v>
      </c>
      <c r="Z87" s="741"/>
      <c r="AA87" s="741"/>
      <c r="AB87" s="741">
        <v>318.20303999999999</v>
      </c>
      <c r="AC87" s="741">
        <v>318.47861999999998</v>
      </c>
      <c r="AD87" s="741">
        <v>314.71235999999999</v>
      </c>
      <c r="AE87" s="741">
        <v>316.09026</v>
      </c>
      <c r="AF87" s="741">
        <v>315.26351999999997</v>
      </c>
    </row>
    <row r="102" spans="13:13">
      <c r="M102" s="640"/>
    </row>
    <row r="103" spans="13:13">
      <c r="M103" s="640"/>
    </row>
    <row r="104" spans="13:13">
      <c r="M104" s="640"/>
    </row>
    <row r="105" spans="13:13">
      <c r="M105" s="640"/>
    </row>
    <row r="106" spans="13:13">
      <c r="M106" s="640"/>
    </row>
    <row r="107" spans="13:13">
      <c r="M107" s="640"/>
    </row>
    <row r="108" spans="13:13">
      <c r="M108" s="640"/>
    </row>
    <row r="109" spans="13:13">
      <c r="M109" s="640"/>
    </row>
    <row r="110" spans="13:13">
      <c r="M110" s="640"/>
    </row>
    <row r="123" spans="13:13">
      <c r="M123" s="640"/>
    </row>
    <row r="124" spans="13:13">
      <c r="M124" s="640"/>
    </row>
  </sheetData>
  <phoneticPr fontId="47" type="noConversion"/>
  <pageMargins left="0.70866141732283472" right="0.70866141732283472" top="0.74803149606299213" bottom="0.74803149606299213" header="0.31496062992125984" footer="0.31496062992125984"/>
  <pageSetup paperSize="12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41"/>
  <sheetViews>
    <sheetView topLeftCell="A7" zoomScaleNormal="100" workbookViewId="0">
      <selection activeCell="R23" sqref="R23"/>
    </sheetView>
  </sheetViews>
  <sheetFormatPr baseColWidth="10" defaultColWidth="5.81640625" defaultRowHeight="12.75"/>
  <cols>
    <col min="1" max="1" width="2.7265625" style="61" customWidth="1"/>
    <col min="2" max="2" width="6.08984375" style="61" customWidth="1"/>
    <col min="3" max="3" width="6.1796875" style="61" customWidth="1"/>
    <col min="4" max="4" width="6.26953125" style="61" customWidth="1"/>
    <col min="5" max="5" width="6.1796875" style="61" customWidth="1"/>
    <col min="6" max="13" width="5.453125" style="61" customWidth="1"/>
    <col min="14" max="14" width="6.1796875" style="61" bestFit="1" customWidth="1"/>
    <col min="15" max="15" width="5.453125" style="61" customWidth="1"/>
    <col min="16" max="16" width="6.7265625" style="61" customWidth="1"/>
    <col min="17" max="16384" width="5.81640625" style="61"/>
  </cols>
  <sheetData>
    <row r="1" spans="2:16" ht="12.75" customHeight="1">
      <c r="B1" s="767" t="s">
        <v>297</v>
      </c>
      <c r="C1" s="767"/>
      <c r="D1" s="767"/>
      <c r="E1" s="767"/>
      <c r="F1" s="767"/>
      <c r="G1" s="767"/>
      <c r="H1" s="767"/>
      <c r="I1" s="767"/>
      <c r="J1" s="767"/>
      <c r="K1" s="767"/>
      <c r="L1" s="767"/>
      <c r="M1" s="767"/>
      <c r="N1" s="767"/>
      <c r="O1" s="767"/>
      <c r="P1" s="530"/>
    </row>
    <row r="2" spans="2:16" ht="12.75" customHeight="1">
      <c r="B2" s="17"/>
      <c r="C2" s="17"/>
      <c r="D2" s="17"/>
      <c r="E2" s="17"/>
      <c r="F2" s="17"/>
      <c r="G2" s="17"/>
      <c r="H2" s="17"/>
      <c r="I2" s="17"/>
      <c r="J2" s="17"/>
      <c r="K2" s="17"/>
      <c r="L2" s="17"/>
      <c r="M2" s="17"/>
      <c r="N2" s="17"/>
      <c r="O2" s="17"/>
      <c r="P2" s="530"/>
    </row>
    <row r="3" spans="2:16" ht="16.5" customHeight="1">
      <c r="B3" s="767" t="s">
        <v>298</v>
      </c>
      <c r="C3" s="767"/>
      <c r="D3" s="767"/>
      <c r="E3" s="767"/>
      <c r="F3" s="767"/>
      <c r="G3" s="767"/>
      <c r="H3" s="767"/>
      <c r="I3" s="767"/>
      <c r="J3" s="767"/>
      <c r="K3" s="767"/>
      <c r="L3" s="767"/>
      <c r="M3" s="767"/>
      <c r="N3" s="767"/>
      <c r="O3" s="767"/>
      <c r="P3" s="90"/>
    </row>
    <row r="4" spans="2:16" ht="18" customHeight="1">
      <c r="B4" s="810" t="s">
        <v>180</v>
      </c>
      <c r="C4" s="810"/>
      <c r="D4" s="810"/>
      <c r="E4" s="810"/>
      <c r="F4" s="810"/>
      <c r="G4" s="810"/>
      <c r="H4" s="810"/>
      <c r="I4" s="810"/>
      <c r="J4" s="810"/>
      <c r="K4" s="810"/>
      <c r="L4" s="810"/>
      <c r="M4" s="810"/>
      <c r="N4" s="810"/>
      <c r="O4" s="810"/>
      <c r="P4" s="531"/>
    </row>
    <row r="5" spans="2:16" ht="29.1" customHeight="1">
      <c r="B5" s="876" t="s">
        <v>299</v>
      </c>
      <c r="C5" s="828" t="s">
        <v>195</v>
      </c>
      <c r="D5" s="828" t="s">
        <v>300</v>
      </c>
      <c r="E5" s="828"/>
      <c r="F5" s="828"/>
      <c r="G5" s="828"/>
      <c r="H5" s="828"/>
      <c r="I5" s="828"/>
      <c r="J5" s="828"/>
      <c r="K5" s="828" t="s">
        <v>301</v>
      </c>
      <c r="L5" s="828"/>
      <c r="M5" s="828"/>
      <c r="N5" s="828"/>
      <c r="O5" s="828"/>
      <c r="P5" s="533"/>
    </row>
    <row r="6" spans="2:16" ht="20.25" customHeight="1">
      <c r="B6" s="877"/>
      <c r="C6" s="828"/>
      <c r="D6" s="828" t="s">
        <v>195</v>
      </c>
      <c r="E6" s="880" t="s">
        <v>302</v>
      </c>
      <c r="F6" s="880"/>
      <c r="G6" s="880"/>
      <c r="H6" s="828" t="s">
        <v>303</v>
      </c>
      <c r="I6" s="828" t="s">
        <v>304</v>
      </c>
      <c r="J6" s="828" t="s">
        <v>197</v>
      </c>
      <c r="K6" s="828" t="s">
        <v>195</v>
      </c>
      <c r="L6" s="828" t="s">
        <v>305</v>
      </c>
      <c r="M6" s="828" t="s">
        <v>306</v>
      </c>
      <c r="N6" s="828" t="s">
        <v>307</v>
      </c>
      <c r="O6" s="828" t="s">
        <v>197</v>
      </c>
      <c r="P6" s="533"/>
    </row>
    <row r="7" spans="2:16" ht="12.75" customHeight="1">
      <c r="B7" s="878"/>
      <c r="C7" s="828"/>
      <c r="D7" s="828"/>
      <c r="E7" s="534" t="s">
        <v>308</v>
      </c>
      <c r="F7" s="534" t="s">
        <v>309</v>
      </c>
      <c r="G7" s="534" t="s">
        <v>310</v>
      </c>
      <c r="H7" s="828"/>
      <c r="I7" s="828"/>
      <c r="J7" s="828"/>
      <c r="K7" s="828"/>
      <c r="L7" s="828"/>
      <c r="M7" s="828"/>
      <c r="N7" s="828"/>
      <c r="O7" s="828"/>
      <c r="P7" s="530"/>
    </row>
    <row r="8" spans="2:16" ht="14.25" customHeight="1">
      <c r="B8" s="304">
        <v>2015</v>
      </c>
      <c r="C8" s="535">
        <v>1962342</v>
      </c>
      <c r="D8" s="536">
        <v>1528953</v>
      </c>
      <c r="E8" s="536">
        <v>1337677</v>
      </c>
      <c r="F8" s="536">
        <v>60624</v>
      </c>
      <c r="G8" s="536">
        <v>6483</v>
      </c>
      <c r="H8" s="536">
        <v>50404</v>
      </c>
      <c r="I8" s="536">
        <v>55472</v>
      </c>
      <c r="J8" s="536">
        <v>18293</v>
      </c>
      <c r="K8" s="536">
        <v>433389</v>
      </c>
      <c r="L8" s="536">
        <v>237936</v>
      </c>
      <c r="M8" s="536">
        <v>26712</v>
      </c>
      <c r="N8" s="536">
        <v>163871</v>
      </c>
      <c r="O8" s="536">
        <v>4870</v>
      </c>
      <c r="P8" s="340"/>
    </row>
    <row r="9" spans="2:16" ht="14.25" customHeight="1">
      <c r="B9" s="304">
        <v>2016</v>
      </c>
      <c r="C9" s="535">
        <v>2028168</v>
      </c>
      <c r="D9" s="536">
        <v>1586798</v>
      </c>
      <c r="E9" s="536">
        <v>1383515</v>
      </c>
      <c r="F9" s="536">
        <v>65857</v>
      </c>
      <c r="G9" s="536">
        <v>5868</v>
      </c>
      <c r="H9" s="536">
        <v>64334</v>
      </c>
      <c r="I9" s="536">
        <v>51609</v>
      </c>
      <c r="J9" s="536">
        <v>15615</v>
      </c>
      <c r="K9" s="536">
        <v>441370</v>
      </c>
      <c r="L9" s="536">
        <v>246225</v>
      </c>
      <c r="M9" s="536">
        <v>27606</v>
      </c>
      <c r="N9" s="536">
        <v>163502</v>
      </c>
      <c r="O9" s="536">
        <v>4037</v>
      </c>
      <c r="P9" s="340"/>
    </row>
    <row r="10" spans="2:16" ht="14.25" customHeight="1">
      <c r="B10" s="304">
        <v>2017</v>
      </c>
      <c r="C10" s="536">
        <v>2018526</v>
      </c>
      <c r="D10" s="536">
        <v>1583602</v>
      </c>
      <c r="E10" s="536">
        <v>1388441</v>
      </c>
      <c r="F10" s="536">
        <v>61151</v>
      </c>
      <c r="G10" s="536">
        <v>4852</v>
      </c>
      <c r="H10" s="536">
        <v>58877</v>
      </c>
      <c r="I10" s="536">
        <v>45803</v>
      </c>
      <c r="J10" s="536">
        <v>24478</v>
      </c>
      <c r="K10" s="536">
        <v>434924</v>
      </c>
      <c r="L10" s="536">
        <v>243649</v>
      </c>
      <c r="M10" s="536">
        <v>28787</v>
      </c>
      <c r="N10" s="536">
        <v>159351</v>
      </c>
      <c r="O10" s="536">
        <v>3137</v>
      </c>
      <c r="P10" s="340"/>
    </row>
    <row r="11" spans="2:16" ht="14.25" customHeight="1">
      <c r="B11" s="304">
        <v>2018</v>
      </c>
      <c r="C11" s="536">
        <v>2089336</v>
      </c>
      <c r="D11" s="536">
        <v>1634470</v>
      </c>
      <c r="E11" s="536">
        <v>1443182</v>
      </c>
      <c r="F11" s="536">
        <v>63118</v>
      </c>
      <c r="G11" s="536">
        <v>6393</v>
      </c>
      <c r="H11" s="536">
        <v>64660</v>
      </c>
      <c r="I11" s="536">
        <v>44404</v>
      </c>
      <c r="J11" s="536">
        <v>12713</v>
      </c>
      <c r="K11" s="536">
        <v>454866</v>
      </c>
      <c r="L11" s="536">
        <v>251336</v>
      </c>
      <c r="M11" s="536">
        <v>27950</v>
      </c>
      <c r="N11" s="536">
        <v>171870</v>
      </c>
      <c r="O11" s="536">
        <v>3710</v>
      </c>
      <c r="P11" s="340"/>
    </row>
    <row r="12" spans="2:16" ht="14.25" customHeight="1">
      <c r="B12" s="304">
        <v>2019</v>
      </c>
      <c r="C12" s="536">
        <v>2093498</v>
      </c>
      <c r="D12" s="536">
        <v>1622991</v>
      </c>
      <c r="E12" s="536">
        <v>1431921</v>
      </c>
      <c r="F12" s="536">
        <v>63046</v>
      </c>
      <c r="G12" s="536">
        <v>12346</v>
      </c>
      <c r="H12" s="536">
        <v>70842</v>
      </c>
      <c r="I12" s="536">
        <v>42128</v>
      </c>
      <c r="J12" s="536">
        <v>2708</v>
      </c>
      <c r="K12" s="536">
        <v>470507</v>
      </c>
      <c r="L12" s="536">
        <v>257705</v>
      </c>
      <c r="M12" s="536">
        <v>31063</v>
      </c>
      <c r="N12" s="536">
        <v>177642</v>
      </c>
      <c r="O12" s="536">
        <v>4097</v>
      </c>
      <c r="P12" s="340"/>
    </row>
    <row r="13" spans="2:16" ht="14.25" customHeight="1">
      <c r="B13" s="304">
        <v>2020</v>
      </c>
      <c r="C13" s="536">
        <v>2003727</v>
      </c>
      <c r="D13" s="536">
        <v>1558711</v>
      </c>
      <c r="E13" s="536">
        <v>1365357</v>
      </c>
      <c r="F13" s="536">
        <v>55230</v>
      </c>
      <c r="G13" s="536">
        <v>17318</v>
      </c>
      <c r="H13" s="536">
        <v>67599</v>
      </c>
      <c r="I13" s="536">
        <v>48921</v>
      </c>
      <c r="J13" s="536">
        <v>4286</v>
      </c>
      <c r="K13" s="536">
        <v>445016</v>
      </c>
      <c r="L13" s="536">
        <v>237918</v>
      </c>
      <c r="M13" s="536">
        <v>35211</v>
      </c>
      <c r="N13" s="536">
        <v>169038</v>
      </c>
      <c r="O13" s="536">
        <v>2849</v>
      </c>
      <c r="P13" s="340"/>
    </row>
    <row r="14" spans="2:16" ht="14.25" customHeight="1">
      <c r="B14" s="304">
        <v>2021</v>
      </c>
      <c r="C14" s="536">
        <v>1845158</v>
      </c>
      <c r="D14" s="536">
        <v>1439365</v>
      </c>
      <c r="E14" s="536">
        <v>1266480</v>
      </c>
      <c r="F14" s="536">
        <v>50793</v>
      </c>
      <c r="G14" s="536">
        <v>12584</v>
      </c>
      <c r="H14" s="536">
        <v>64338</v>
      </c>
      <c r="I14" s="536">
        <v>42772</v>
      </c>
      <c r="J14" s="536">
        <v>2398</v>
      </c>
      <c r="K14" s="536">
        <v>405793</v>
      </c>
      <c r="L14" s="536">
        <v>216129</v>
      </c>
      <c r="M14" s="536">
        <v>30355</v>
      </c>
      <c r="N14" s="536">
        <v>157631</v>
      </c>
      <c r="O14" s="536">
        <v>1678</v>
      </c>
      <c r="P14" s="340"/>
    </row>
    <row r="15" spans="2:16">
      <c r="B15" s="530"/>
      <c r="C15" s="537"/>
      <c r="D15" s="537"/>
      <c r="E15" s="537"/>
      <c r="F15" s="537"/>
      <c r="G15" s="537"/>
      <c r="H15" s="537"/>
      <c r="I15" s="537"/>
      <c r="J15" s="537"/>
      <c r="K15" s="537"/>
      <c r="L15" s="537"/>
      <c r="M15" s="537"/>
      <c r="N15" s="537"/>
      <c r="O15" s="537"/>
      <c r="P15" s="340"/>
    </row>
    <row r="16" spans="2:16" s="74" customFormat="1" ht="15" customHeight="1">
      <c r="B16" s="872" t="s">
        <v>656</v>
      </c>
      <c r="C16" s="873"/>
      <c r="D16" s="873"/>
      <c r="E16" s="873"/>
      <c r="F16" s="873"/>
      <c r="G16" s="873"/>
      <c r="H16" s="873"/>
      <c r="I16" s="873"/>
      <c r="J16" s="873"/>
      <c r="K16" s="873"/>
      <c r="L16" s="873"/>
      <c r="M16" s="873"/>
      <c r="N16" s="873"/>
      <c r="O16" s="874"/>
      <c r="P16"/>
    </row>
    <row r="17" spans="1:16" s="74" customFormat="1" ht="15" customHeight="1">
      <c r="B17" s="294" t="s">
        <v>200</v>
      </c>
      <c r="C17" s="536">
        <v>155836</v>
      </c>
      <c r="D17" s="536">
        <v>120831</v>
      </c>
      <c r="E17" s="536">
        <v>109320</v>
      </c>
      <c r="F17" s="536">
        <v>3562</v>
      </c>
      <c r="G17" s="536">
        <v>773</v>
      </c>
      <c r="H17" s="536">
        <v>3487</v>
      </c>
      <c r="I17" s="536">
        <v>3598</v>
      </c>
      <c r="J17" s="536">
        <v>91</v>
      </c>
      <c r="K17" s="536">
        <v>35005</v>
      </c>
      <c r="L17" s="536">
        <v>19394</v>
      </c>
      <c r="M17" s="536">
        <v>2769</v>
      </c>
      <c r="N17" s="536">
        <v>12650</v>
      </c>
      <c r="O17" s="536">
        <v>192</v>
      </c>
      <c r="P17" s="538"/>
    </row>
    <row r="18" spans="1:16" s="74" customFormat="1" ht="15" customHeight="1">
      <c r="A18" s="538"/>
      <c r="B18" s="294" t="s">
        <v>201</v>
      </c>
      <c r="C18" s="536">
        <v>145984</v>
      </c>
      <c r="D18" s="536">
        <v>112173</v>
      </c>
      <c r="E18" s="536">
        <v>102559</v>
      </c>
      <c r="F18" s="536">
        <v>3646</v>
      </c>
      <c r="G18" s="536">
        <v>1197</v>
      </c>
      <c r="H18" s="536">
        <v>3800</v>
      </c>
      <c r="I18" s="536">
        <v>949</v>
      </c>
      <c r="J18" s="536">
        <v>22</v>
      </c>
      <c r="K18" s="536">
        <v>33811</v>
      </c>
      <c r="L18" s="536">
        <v>20067</v>
      </c>
      <c r="M18" s="536">
        <v>2093</v>
      </c>
      <c r="N18" s="536">
        <v>11547</v>
      </c>
      <c r="O18" s="536">
        <v>104</v>
      </c>
      <c r="P18" s="538"/>
    </row>
    <row r="19" spans="1:16" s="74" customFormat="1" ht="15" customHeight="1">
      <c r="A19" s="538"/>
      <c r="B19" s="294" t="s">
        <v>202</v>
      </c>
      <c r="C19" s="536">
        <v>180416</v>
      </c>
      <c r="D19" s="536">
        <v>141523</v>
      </c>
      <c r="E19" s="536">
        <v>125424</v>
      </c>
      <c r="F19" s="536">
        <v>4987</v>
      </c>
      <c r="G19" s="536">
        <v>2066</v>
      </c>
      <c r="H19" s="536">
        <v>5271</v>
      </c>
      <c r="I19" s="536">
        <v>3775</v>
      </c>
      <c r="J19" s="536">
        <v>0</v>
      </c>
      <c r="K19" s="536">
        <v>38893</v>
      </c>
      <c r="L19" s="536">
        <v>21698</v>
      </c>
      <c r="M19" s="536">
        <v>3047</v>
      </c>
      <c r="N19" s="536">
        <v>14045</v>
      </c>
      <c r="O19" s="536">
        <v>103</v>
      </c>
      <c r="P19" s="538"/>
    </row>
    <row r="20" spans="1:16" s="74" customFormat="1" ht="15" customHeight="1">
      <c r="A20" s="538"/>
      <c r="B20" s="294" t="s">
        <v>203</v>
      </c>
      <c r="C20" s="535">
        <v>149367</v>
      </c>
      <c r="D20" s="535">
        <v>117937</v>
      </c>
      <c r="E20" s="535">
        <v>103620</v>
      </c>
      <c r="F20" s="535">
        <v>3751</v>
      </c>
      <c r="G20" s="535">
        <v>1492</v>
      </c>
      <c r="H20" s="535">
        <v>4532</v>
      </c>
      <c r="I20" s="535">
        <v>4180</v>
      </c>
      <c r="J20" s="535">
        <v>362</v>
      </c>
      <c r="K20" s="535">
        <v>31430</v>
      </c>
      <c r="L20" s="535">
        <v>16233</v>
      </c>
      <c r="M20" s="535">
        <v>2452</v>
      </c>
      <c r="N20" s="535">
        <v>12659</v>
      </c>
      <c r="O20" s="535">
        <v>86</v>
      </c>
      <c r="P20" s="538"/>
    </row>
    <row r="21" spans="1:16" s="74" customFormat="1" ht="15" customHeight="1">
      <c r="A21" s="538"/>
      <c r="B21" s="294" t="s">
        <v>204</v>
      </c>
      <c r="C21" s="535">
        <v>166649</v>
      </c>
      <c r="D21" s="535">
        <v>128567</v>
      </c>
      <c r="E21" s="535">
        <v>114780</v>
      </c>
      <c r="F21" s="535">
        <v>4436</v>
      </c>
      <c r="G21" s="535">
        <v>561</v>
      </c>
      <c r="H21" s="535">
        <v>4345</v>
      </c>
      <c r="I21" s="535">
        <v>3859</v>
      </c>
      <c r="J21" s="535">
        <v>586</v>
      </c>
      <c r="K21" s="535">
        <v>38082</v>
      </c>
      <c r="L21" s="535">
        <v>19953</v>
      </c>
      <c r="M21" s="535">
        <v>2344</v>
      </c>
      <c r="N21" s="535">
        <v>15676</v>
      </c>
      <c r="O21" s="535">
        <v>109</v>
      </c>
      <c r="P21" s="538"/>
    </row>
    <row r="22" spans="1:16" s="74" customFormat="1" ht="15" customHeight="1">
      <c r="A22" s="538"/>
      <c r="B22" s="294" t="s">
        <v>205</v>
      </c>
      <c r="C22" s="535">
        <v>164378</v>
      </c>
      <c r="D22" s="535">
        <v>127462</v>
      </c>
      <c r="E22" s="535">
        <v>112814</v>
      </c>
      <c r="F22" s="535">
        <v>3874</v>
      </c>
      <c r="G22" s="535">
        <v>1722</v>
      </c>
      <c r="H22" s="535">
        <v>5194</v>
      </c>
      <c r="I22" s="535">
        <v>3622</v>
      </c>
      <c r="J22" s="535">
        <v>236</v>
      </c>
      <c r="K22" s="535">
        <v>36916</v>
      </c>
      <c r="L22" s="535">
        <v>21164</v>
      </c>
      <c r="M22" s="535">
        <v>2350</v>
      </c>
      <c r="N22" s="535">
        <v>13298</v>
      </c>
      <c r="O22" s="535">
        <v>104</v>
      </c>
      <c r="P22" s="538"/>
    </row>
    <row r="23" spans="1:16" s="74" customFormat="1" ht="15" customHeight="1">
      <c r="A23" s="538"/>
      <c r="B23" s="294" t="s">
        <v>206</v>
      </c>
      <c r="C23" s="536"/>
      <c r="D23" s="536"/>
      <c r="E23" s="536"/>
      <c r="F23" s="536"/>
      <c r="G23" s="536"/>
      <c r="H23" s="536"/>
      <c r="I23" s="536"/>
      <c r="J23" s="536"/>
      <c r="K23" s="536"/>
      <c r="L23" s="536"/>
      <c r="M23" s="536"/>
      <c r="N23" s="536"/>
      <c r="O23" s="536"/>
      <c r="P23" s="538"/>
    </row>
    <row r="24" spans="1:16" s="74" customFormat="1" ht="15" customHeight="1">
      <c r="A24" s="538"/>
      <c r="B24" s="294" t="s">
        <v>207</v>
      </c>
      <c r="C24" s="536"/>
      <c r="D24" s="536"/>
      <c r="E24" s="536"/>
      <c r="F24" s="536"/>
      <c r="G24" s="536"/>
      <c r="H24" s="536"/>
      <c r="I24" s="536"/>
      <c r="J24" s="536"/>
      <c r="K24" s="536"/>
      <c r="L24" s="536"/>
      <c r="M24" s="536"/>
      <c r="N24" s="536"/>
      <c r="O24" s="536"/>
      <c r="P24" s="538"/>
    </row>
    <row r="25" spans="1:16" s="74" customFormat="1" ht="15" customHeight="1">
      <c r="A25" s="538"/>
      <c r="B25" s="294" t="s">
        <v>311</v>
      </c>
      <c r="C25" s="536"/>
      <c r="D25" s="536"/>
      <c r="E25" s="536"/>
      <c r="F25" s="536"/>
      <c r="G25" s="536"/>
      <c r="H25" s="536"/>
      <c r="I25" s="536"/>
      <c r="J25" s="536"/>
      <c r="K25" s="536"/>
      <c r="L25" s="536"/>
      <c r="M25" s="536"/>
      <c r="N25" s="536"/>
      <c r="O25" s="536"/>
      <c r="P25" s="538"/>
    </row>
    <row r="26" spans="1:16" s="74" customFormat="1" ht="15" customHeight="1">
      <c r="A26" s="538"/>
      <c r="B26" s="294" t="s">
        <v>209</v>
      </c>
      <c r="C26" s="536"/>
      <c r="D26" s="536"/>
      <c r="E26" s="536"/>
      <c r="F26" s="536"/>
      <c r="G26" s="536"/>
      <c r="H26" s="536"/>
      <c r="I26" s="536"/>
      <c r="J26" s="536"/>
      <c r="K26" s="536"/>
      <c r="L26" s="536"/>
      <c r="M26" s="536"/>
      <c r="N26" s="536"/>
      <c r="O26" s="536"/>
      <c r="P26" s="538"/>
    </row>
    <row r="27" spans="1:16" s="74" customFormat="1" ht="15" customHeight="1">
      <c r="A27" s="538"/>
      <c r="B27" s="294" t="s">
        <v>312</v>
      </c>
      <c r="C27" s="536"/>
      <c r="D27" s="536"/>
      <c r="E27" s="536"/>
      <c r="F27" s="536"/>
      <c r="G27" s="536"/>
      <c r="H27" s="536"/>
      <c r="I27" s="536"/>
      <c r="J27" s="536"/>
      <c r="K27" s="536"/>
      <c r="L27" s="536"/>
      <c r="M27" s="536"/>
      <c r="N27" s="536"/>
      <c r="O27" s="536"/>
      <c r="P27" s="538"/>
    </row>
    <row r="28" spans="1:16" s="74" customFormat="1" ht="15" customHeight="1">
      <c r="A28" s="538"/>
      <c r="B28" s="294" t="s">
        <v>313</v>
      </c>
      <c r="C28" s="536"/>
      <c r="D28" s="536"/>
      <c r="E28" s="536"/>
      <c r="F28" s="536"/>
      <c r="G28" s="536"/>
      <c r="H28" s="536"/>
      <c r="I28" s="536"/>
      <c r="J28" s="536"/>
      <c r="K28" s="536"/>
      <c r="L28" s="536"/>
      <c r="M28" s="536"/>
      <c r="N28" s="536"/>
      <c r="O28" s="536"/>
      <c r="P28" s="538"/>
    </row>
    <row r="29" spans="1:16" s="74" customFormat="1" ht="15" customHeight="1">
      <c r="A29" s="538"/>
      <c r="B29" s="294" t="s">
        <v>195</v>
      </c>
      <c r="C29" s="536">
        <f>SUM(C17:C28)</f>
        <v>962630</v>
      </c>
      <c r="D29" s="536">
        <f t="shared" ref="D29:O29" si="0">SUM(D17:D28)</f>
        <v>748493</v>
      </c>
      <c r="E29" s="536">
        <f t="shared" si="0"/>
        <v>668517</v>
      </c>
      <c r="F29" s="536">
        <f t="shared" si="0"/>
        <v>24256</v>
      </c>
      <c r="G29" s="536">
        <f t="shared" si="0"/>
        <v>7811</v>
      </c>
      <c r="H29" s="536">
        <f t="shared" si="0"/>
        <v>26629</v>
      </c>
      <c r="I29" s="536">
        <f t="shared" si="0"/>
        <v>19983</v>
      </c>
      <c r="J29" s="536">
        <f t="shared" si="0"/>
        <v>1297</v>
      </c>
      <c r="K29" s="536">
        <f t="shared" si="0"/>
        <v>214137</v>
      </c>
      <c r="L29" s="536">
        <f t="shared" si="0"/>
        <v>118509</v>
      </c>
      <c r="M29" s="536">
        <f t="shared" si="0"/>
        <v>15055</v>
      </c>
      <c r="N29" s="536">
        <f t="shared" si="0"/>
        <v>79875</v>
      </c>
      <c r="O29" s="536">
        <f t="shared" si="0"/>
        <v>698</v>
      </c>
      <c r="P29" s="538"/>
    </row>
    <row r="30" spans="1:16" ht="12.75" customHeight="1">
      <c r="A30" s="538"/>
      <c r="B30" s="855" t="s">
        <v>314</v>
      </c>
      <c r="C30" s="855"/>
      <c r="D30" s="855"/>
      <c r="E30" s="855"/>
      <c r="F30" s="855"/>
      <c r="G30" s="855"/>
      <c r="H30" s="855"/>
      <c r="I30" s="855"/>
      <c r="J30" s="855"/>
      <c r="K30" s="855"/>
      <c r="L30" s="855"/>
      <c r="M30" s="855"/>
      <c r="N30" s="855"/>
      <c r="O30" s="855"/>
      <c r="P30" s="538"/>
    </row>
    <row r="31" spans="1:16">
      <c r="A31" s="340"/>
      <c r="B31" s="875" t="s">
        <v>315</v>
      </c>
      <c r="C31" s="875"/>
      <c r="D31" s="875"/>
      <c r="E31" s="875"/>
      <c r="F31" s="875"/>
      <c r="G31" s="875"/>
      <c r="H31" s="875"/>
      <c r="I31" s="875"/>
      <c r="J31" s="875"/>
      <c r="K31" s="875"/>
      <c r="L31" s="875"/>
      <c r="M31" s="875"/>
      <c r="N31" s="875"/>
      <c r="O31" s="875"/>
      <c r="P31" s="340"/>
    </row>
    <row r="32" spans="1:16" ht="12.75" customHeight="1">
      <c r="A32" s="340"/>
      <c r="B32" s="879" t="s">
        <v>316</v>
      </c>
      <c r="C32" s="879"/>
      <c r="D32" s="879"/>
      <c r="E32" s="879"/>
      <c r="F32" s="340"/>
      <c r="G32" s="340"/>
      <c r="H32" s="340"/>
      <c r="I32" s="340"/>
      <c r="J32" s="340"/>
      <c r="K32" s="340"/>
      <c r="L32" s="340"/>
      <c r="M32" s="340"/>
      <c r="N32" s="340"/>
      <c r="O32" s="340"/>
      <c r="P32" s="340"/>
    </row>
    <row r="33" spans="1:16" ht="12.75" customHeight="1">
      <c r="A33" s="340"/>
      <c r="B33" s="879"/>
      <c r="C33" s="879"/>
      <c r="D33" s="879"/>
      <c r="E33" s="879"/>
      <c r="F33" s="340"/>
      <c r="G33" s="340"/>
      <c r="H33" s="340"/>
      <c r="I33" s="340"/>
      <c r="J33" s="340"/>
      <c r="K33" s="340"/>
      <c r="L33" s="340"/>
      <c r="M33" s="340"/>
      <c r="N33" s="340"/>
      <c r="O33" s="340"/>
      <c r="P33" s="340"/>
    </row>
    <row r="34" spans="1:16" ht="7.5" customHeight="1">
      <c r="A34" s="340"/>
      <c r="B34" s="340"/>
      <c r="C34" s="340"/>
      <c r="D34" s="340"/>
      <c r="E34" s="340"/>
      <c r="F34" s="340"/>
      <c r="G34" s="340"/>
      <c r="H34" s="340"/>
      <c r="I34" s="340"/>
      <c r="J34" s="340"/>
      <c r="K34" s="340"/>
      <c r="L34" s="340"/>
      <c r="M34" s="340"/>
      <c r="N34" s="340"/>
      <c r="O34" s="340"/>
      <c r="P34" s="340"/>
    </row>
    <row r="35" spans="1:16">
      <c r="B35" s="870" t="s">
        <v>317</v>
      </c>
      <c r="C35" s="871"/>
      <c r="D35" s="536"/>
      <c r="E35" s="536"/>
      <c r="F35" s="536"/>
      <c r="G35" s="536"/>
      <c r="H35" s="536"/>
      <c r="I35" s="536"/>
      <c r="J35" s="536"/>
      <c r="K35" s="536"/>
      <c r="L35" s="536"/>
      <c r="M35" s="536"/>
      <c r="N35" s="536"/>
      <c r="O35" s="536"/>
    </row>
    <row r="36" spans="1:16">
      <c r="B36" s="870" t="s">
        <v>318</v>
      </c>
      <c r="C36" s="871"/>
      <c r="D36" s="655">
        <v>-0.85947404855099996</v>
      </c>
      <c r="E36" s="655">
        <v>-1.712841958529</v>
      </c>
      <c r="F36" s="655">
        <v>-12.669071235346999</v>
      </c>
      <c r="G36" s="655">
        <v>206.951871657754</v>
      </c>
      <c r="H36" s="655">
        <v>19.539700805523999</v>
      </c>
      <c r="I36" s="655">
        <v>-6.1414874319769996</v>
      </c>
      <c r="J36" s="655">
        <v>-59.726962457337997</v>
      </c>
      <c r="K36" s="655">
        <v>-3.061813980358</v>
      </c>
      <c r="L36" s="655">
        <v>6.0692627675040001</v>
      </c>
      <c r="M36" s="655">
        <v>0.255972696246</v>
      </c>
      <c r="N36" s="655">
        <v>-15.169686144425</v>
      </c>
      <c r="O36" s="655">
        <v>-4.5871559633030001</v>
      </c>
    </row>
    <row r="37" spans="1:16">
      <c r="B37" s="870" t="s">
        <v>319</v>
      </c>
      <c r="C37" s="871"/>
      <c r="D37" s="655">
        <v>4.3308150051979997</v>
      </c>
      <c r="E37" s="655">
        <v>7.6890768334940001</v>
      </c>
      <c r="F37" s="655">
        <v>-19.207507820646999</v>
      </c>
      <c r="G37" s="655">
        <v>24.332129963899</v>
      </c>
      <c r="H37" s="655">
        <v>-26.011396011395998</v>
      </c>
      <c r="I37" s="655">
        <v>-8.9034205231389993</v>
      </c>
      <c r="J37" s="655">
        <v>0</v>
      </c>
      <c r="K37" s="655">
        <v>7.8028267725729998</v>
      </c>
      <c r="L37" s="655">
        <v>19.888970713193</v>
      </c>
      <c r="M37" s="655">
        <v>-15.345821325648</v>
      </c>
      <c r="N37" s="655">
        <v>-2.8421129538979999</v>
      </c>
      <c r="O37" s="655">
        <v>-18.75</v>
      </c>
    </row>
    <row r="38" spans="1:16">
      <c r="B38" s="869" t="s">
        <v>320</v>
      </c>
      <c r="C38" s="869"/>
      <c r="D38" s="655">
        <v>5.913974690781</v>
      </c>
      <c r="E38" s="655">
        <v>7.3765923375059996</v>
      </c>
      <c r="F38" s="655">
        <v>3.4900588787440001</v>
      </c>
      <c r="G38" s="655">
        <v>12.908355015901</v>
      </c>
      <c r="H38" s="655">
        <v>-18.064615384614999</v>
      </c>
      <c r="I38" s="655">
        <v>-5.0040032030000004E-3</v>
      </c>
      <c r="J38" s="655">
        <v>2.2870662460569999</v>
      </c>
      <c r="K38" s="655">
        <v>4.5060125717409996</v>
      </c>
      <c r="L38" s="655">
        <v>9.7701947925640003</v>
      </c>
      <c r="M38" s="655">
        <v>3.4068273919909999</v>
      </c>
      <c r="N38" s="655">
        <v>-1.999877308141</v>
      </c>
      <c r="O38" s="655">
        <v>-20.591581342434999</v>
      </c>
    </row>
    <row r="41" spans="1:16">
      <c r="H41" s="340" t="s">
        <v>663</v>
      </c>
    </row>
  </sheetData>
  <mergeCells count="26">
    <mergeCell ref="D6:D7"/>
    <mergeCell ref="H6:H7"/>
    <mergeCell ref="O6:O7"/>
    <mergeCell ref="B32:E32"/>
    <mergeCell ref="B33:E33"/>
    <mergeCell ref="E6:G6"/>
    <mergeCell ref="I6:I7"/>
    <mergeCell ref="N6:N7"/>
    <mergeCell ref="J6:J7"/>
    <mergeCell ref="M6:M7"/>
    <mergeCell ref="B38:C38"/>
    <mergeCell ref="B37:C37"/>
    <mergeCell ref="B36:C36"/>
    <mergeCell ref="B35:C35"/>
    <mergeCell ref="B1:O1"/>
    <mergeCell ref="D5:J5"/>
    <mergeCell ref="B3:O3"/>
    <mergeCell ref="B4:O4"/>
    <mergeCell ref="K5:O5"/>
    <mergeCell ref="C5:C7"/>
    <mergeCell ref="L6:L7"/>
    <mergeCell ref="K6:K7"/>
    <mergeCell ref="B16:O16"/>
    <mergeCell ref="B30:O30"/>
    <mergeCell ref="B31:O31"/>
    <mergeCell ref="B5:B7"/>
  </mergeCells>
  <phoneticPr fontId="47" type="noConversion"/>
  <printOptions horizontalCentered="1"/>
  <pageMargins left="0.70866141732283472" right="0.70866141732283472" top="0.74803149606299213" bottom="0.74803149606299213" header="0.31496062992125984" footer="0.31496062992125984"/>
  <pageSetup paperSize="126" scale="83"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L37"/>
  <sheetViews>
    <sheetView zoomScaleNormal="100" workbookViewId="0">
      <pane ySplit="1" topLeftCell="A18" activePane="bottomLeft" state="frozen"/>
      <selection activeCell="M18" sqref="M18"/>
      <selection pane="bottomLeft" activeCell="G43" sqref="G43"/>
    </sheetView>
  </sheetViews>
  <sheetFormatPr baseColWidth="10" defaultColWidth="5.81640625" defaultRowHeight="12.75"/>
  <cols>
    <col min="1" max="1" width="2.7265625" style="61" customWidth="1"/>
    <col min="2" max="2" width="6.81640625" style="61" customWidth="1"/>
    <col min="3" max="3" width="6.453125" style="61" customWidth="1"/>
    <col min="4" max="4" width="7.54296875" style="61" bestFit="1" customWidth="1"/>
    <col min="5" max="5" width="6.81640625" style="61" customWidth="1"/>
    <col min="6" max="6" width="5.36328125" style="61" customWidth="1"/>
    <col min="7" max="7" width="5.453125" style="61" customWidth="1"/>
    <col min="8" max="8" width="8.08984375" style="61" bestFit="1" customWidth="1"/>
    <col min="9" max="9" width="8.6328125" style="61" bestFit="1" customWidth="1"/>
    <col min="10" max="10" width="6.453125" style="61" customWidth="1"/>
    <col min="11" max="11" width="9.90625" style="61" bestFit="1" customWidth="1"/>
    <col min="12" max="16384" width="5.81640625" style="61"/>
  </cols>
  <sheetData>
    <row r="1" spans="2:12" ht="12.75" customHeight="1">
      <c r="B1" s="767" t="s">
        <v>321</v>
      </c>
      <c r="C1" s="767"/>
      <c r="D1" s="767"/>
      <c r="E1" s="767"/>
      <c r="F1" s="767"/>
      <c r="G1" s="767"/>
      <c r="H1" s="767"/>
      <c r="I1" s="767"/>
      <c r="J1" s="767"/>
      <c r="K1" s="767"/>
      <c r="L1" s="340"/>
    </row>
    <row r="2" spans="2:12" ht="12.75" customHeight="1">
      <c r="B2" s="17"/>
      <c r="C2" s="17"/>
      <c r="D2" s="17"/>
      <c r="E2" s="17"/>
      <c r="F2" s="17"/>
      <c r="G2" s="17"/>
      <c r="H2" s="17"/>
      <c r="I2" s="17"/>
      <c r="J2" s="17"/>
      <c r="K2" s="17"/>
      <c r="L2" s="340"/>
    </row>
    <row r="3" spans="2:12" ht="12.75" customHeight="1">
      <c r="B3" s="767" t="s">
        <v>56</v>
      </c>
      <c r="C3" s="767"/>
      <c r="D3" s="767"/>
      <c r="E3" s="767"/>
      <c r="F3" s="767"/>
      <c r="G3" s="767"/>
      <c r="H3" s="767"/>
      <c r="I3" s="767"/>
      <c r="J3" s="767"/>
      <c r="K3" s="767"/>
      <c r="L3" s="340"/>
    </row>
    <row r="4" spans="2:12" ht="16.5" customHeight="1">
      <c r="B4" s="887" t="s">
        <v>180</v>
      </c>
      <c r="C4" s="887"/>
      <c r="D4" s="887"/>
      <c r="E4" s="887"/>
      <c r="F4" s="887"/>
      <c r="G4" s="887"/>
      <c r="H4" s="887"/>
      <c r="I4" s="887"/>
      <c r="J4" s="887"/>
      <c r="K4" s="887"/>
      <c r="L4" s="340"/>
    </row>
    <row r="5" spans="2:12" ht="65.25" customHeight="1">
      <c r="B5" s="602" t="s">
        <v>181</v>
      </c>
      <c r="C5" s="532" t="s">
        <v>195</v>
      </c>
      <c r="D5" s="298" t="s">
        <v>146</v>
      </c>
      <c r="E5" s="298" t="s">
        <v>322</v>
      </c>
      <c r="F5" s="298" t="s">
        <v>323</v>
      </c>
      <c r="G5" s="298" t="s">
        <v>150</v>
      </c>
      <c r="H5" s="298" t="s">
        <v>152</v>
      </c>
      <c r="I5" s="298" t="s">
        <v>324</v>
      </c>
      <c r="J5" s="298" t="s">
        <v>325</v>
      </c>
      <c r="K5" s="298" t="s">
        <v>326</v>
      </c>
      <c r="L5" s="531"/>
    </row>
    <row r="6" spans="2:12" ht="12.75" customHeight="1">
      <c r="B6" s="305">
        <v>2013</v>
      </c>
      <c r="C6" s="536">
        <v>1922480</v>
      </c>
      <c r="D6" s="536">
        <v>137549</v>
      </c>
      <c r="E6" s="536">
        <v>178615</v>
      </c>
      <c r="F6" s="536">
        <v>235036</v>
      </c>
      <c r="G6" s="536"/>
      <c r="H6" s="536">
        <v>173520</v>
      </c>
      <c r="I6" s="536">
        <v>149153</v>
      </c>
      <c r="J6" s="536">
        <v>878174</v>
      </c>
      <c r="K6" s="536">
        <v>170433</v>
      </c>
      <c r="L6" s="531"/>
    </row>
    <row r="7" spans="2:12" ht="12.75" customHeight="1">
      <c r="B7" s="305">
        <v>2014</v>
      </c>
      <c r="C7" s="536">
        <v>1968268</v>
      </c>
      <c r="D7" s="536">
        <v>131770</v>
      </c>
      <c r="E7" s="536">
        <v>179811</v>
      </c>
      <c r="F7" s="536">
        <v>284729</v>
      </c>
      <c r="G7" s="536"/>
      <c r="H7" s="536">
        <v>161087</v>
      </c>
      <c r="I7" s="536">
        <v>152276</v>
      </c>
      <c r="J7" s="536">
        <v>894788</v>
      </c>
      <c r="K7" s="536">
        <v>163807</v>
      </c>
      <c r="L7" s="340"/>
    </row>
    <row r="8" spans="2:12">
      <c r="B8" s="305">
        <v>2015</v>
      </c>
      <c r="C8" s="536">
        <v>1962342</v>
      </c>
      <c r="D8" s="536">
        <v>127735</v>
      </c>
      <c r="E8" s="536">
        <v>181298</v>
      </c>
      <c r="F8" s="536">
        <v>251442</v>
      </c>
      <c r="G8" s="536"/>
      <c r="H8" s="536">
        <v>164014</v>
      </c>
      <c r="I8" s="536">
        <v>150320</v>
      </c>
      <c r="J8" s="536">
        <v>926978</v>
      </c>
      <c r="K8" s="536">
        <v>160555</v>
      </c>
      <c r="L8" s="539"/>
    </row>
    <row r="9" spans="2:12">
      <c r="B9" s="305">
        <v>2016</v>
      </c>
      <c r="C9" s="536">
        <v>2028168</v>
      </c>
      <c r="D9" s="536">
        <v>127138</v>
      </c>
      <c r="E9" s="536">
        <v>187899</v>
      </c>
      <c r="F9" s="536">
        <v>275229</v>
      </c>
      <c r="G9" s="536"/>
      <c r="H9" s="536">
        <v>159667</v>
      </c>
      <c r="I9" s="536">
        <v>140551</v>
      </c>
      <c r="J9" s="536">
        <v>964310</v>
      </c>
      <c r="K9" s="536">
        <v>173374</v>
      </c>
      <c r="L9" s="340"/>
    </row>
    <row r="10" spans="2:12">
      <c r="B10" s="305">
        <v>2017</v>
      </c>
      <c r="C10" s="536">
        <v>2018526</v>
      </c>
      <c r="D10" s="536">
        <v>128706</v>
      </c>
      <c r="E10" s="536">
        <v>192665</v>
      </c>
      <c r="F10" s="536">
        <v>231998</v>
      </c>
      <c r="G10" s="536">
        <v>29436</v>
      </c>
      <c r="H10" s="536">
        <v>157481</v>
      </c>
      <c r="I10" s="536">
        <v>146500</v>
      </c>
      <c r="J10" s="536">
        <v>956918</v>
      </c>
      <c r="K10" s="536">
        <v>174832</v>
      </c>
      <c r="L10" s="340"/>
    </row>
    <row r="11" spans="2:12">
      <c r="B11" s="305">
        <v>2018</v>
      </c>
      <c r="C11" s="536">
        <v>2089336</v>
      </c>
      <c r="D11" s="536">
        <v>136101</v>
      </c>
      <c r="E11" s="536">
        <v>179623</v>
      </c>
      <c r="F11" s="536">
        <v>159076</v>
      </c>
      <c r="G11" s="536">
        <v>122592</v>
      </c>
      <c r="H11" s="536">
        <v>156131</v>
      </c>
      <c r="I11" s="536">
        <v>162196</v>
      </c>
      <c r="J11" s="536">
        <v>1010545</v>
      </c>
      <c r="K11" s="536">
        <v>163072</v>
      </c>
      <c r="L11" s="340"/>
    </row>
    <row r="12" spans="2:12">
      <c r="B12" s="305">
        <v>2019</v>
      </c>
      <c r="C12" s="536">
        <v>2093498</v>
      </c>
      <c r="D12" s="536">
        <v>144552</v>
      </c>
      <c r="E12" s="536">
        <v>178721</v>
      </c>
      <c r="F12" s="536">
        <v>162772</v>
      </c>
      <c r="G12" s="536">
        <v>123547</v>
      </c>
      <c r="H12" s="536">
        <v>142410</v>
      </c>
      <c r="I12" s="536">
        <v>148835</v>
      </c>
      <c r="J12" s="536">
        <v>1038944</v>
      </c>
      <c r="K12" s="536">
        <v>153717</v>
      </c>
      <c r="L12" s="340"/>
    </row>
    <row r="13" spans="2:12">
      <c r="B13" s="305">
        <v>2020</v>
      </c>
      <c r="C13" s="536">
        <v>2003727</v>
      </c>
      <c r="D13" s="536">
        <v>140499</v>
      </c>
      <c r="E13" s="536">
        <v>148168</v>
      </c>
      <c r="F13" s="536">
        <v>142907</v>
      </c>
      <c r="G13" s="536">
        <v>124330</v>
      </c>
      <c r="H13" s="536">
        <v>131982</v>
      </c>
      <c r="I13" s="536">
        <v>145096</v>
      </c>
      <c r="J13" s="536">
        <v>1021541</v>
      </c>
      <c r="K13" s="536">
        <v>149204</v>
      </c>
      <c r="L13" s="340"/>
    </row>
    <row r="14" spans="2:12">
      <c r="B14" s="305">
        <v>2021</v>
      </c>
      <c r="C14" s="536">
        <v>1845158</v>
      </c>
      <c r="D14" s="536">
        <v>135183</v>
      </c>
      <c r="E14" s="536">
        <v>106093</v>
      </c>
      <c r="F14" s="536">
        <v>148830</v>
      </c>
      <c r="G14" s="536">
        <v>109828</v>
      </c>
      <c r="H14" s="536">
        <v>116413</v>
      </c>
      <c r="I14" s="536">
        <v>146612</v>
      </c>
      <c r="J14" s="536">
        <v>941514</v>
      </c>
      <c r="K14" s="536">
        <v>140685</v>
      </c>
      <c r="L14" s="340"/>
    </row>
    <row r="15" spans="2:12">
      <c r="B15" s="884"/>
      <c r="C15" s="885"/>
      <c r="D15" s="885"/>
      <c r="E15" s="885"/>
      <c r="F15" s="885"/>
      <c r="G15" s="885"/>
      <c r="H15" s="885"/>
      <c r="I15" s="885"/>
      <c r="J15" s="885"/>
      <c r="K15" s="886"/>
      <c r="L15" s="340"/>
    </row>
    <row r="16" spans="2:12" s="74" customFormat="1" ht="13.7" customHeight="1">
      <c r="B16" s="872">
        <v>2022</v>
      </c>
      <c r="C16" s="873"/>
      <c r="D16" s="873"/>
      <c r="E16" s="873"/>
      <c r="F16" s="873"/>
      <c r="G16" s="873"/>
      <c r="H16" s="873"/>
      <c r="I16" s="873"/>
      <c r="J16" s="873"/>
      <c r="K16" s="874"/>
      <c r="L16" s="538"/>
    </row>
    <row r="17" spans="2:12" s="74" customFormat="1" ht="13.7" customHeight="1">
      <c r="B17" s="294" t="s">
        <v>200</v>
      </c>
      <c r="C17" s="536">
        <v>155836</v>
      </c>
      <c r="D17" s="536">
        <v>12048</v>
      </c>
      <c r="E17" s="536">
        <v>9714</v>
      </c>
      <c r="F17" s="536">
        <v>14242</v>
      </c>
      <c r="G17" s="536">
        <v>9302</v>
      </c>
      <c r="H17" s="536">
        <v>10154</v>
      </c>
      <c r="I17" s="536">
        <v>12183</v>
      </c>
      <c r="J17" s="536">
        <v>75769</v>
      </c>
      <c r="K17" s="536">
        <v>12424</v>
      </c>
      <c r="L17" s="22"/>
    </row>
    <row r="18" spans="2:12" s="74" customFormat="1" ht="13.7" customHeight="1">
      <c r="B18" s="294" t="s">
        <v>201</v>
      </c>
      <c r="C18" s="536">
        <v>145984</v>
      </c>
      <c r="D18" s="536">
        <v>10573</v>
      </c>
      <c r="E18" s="536">
        <v>7820</v>
      </c>
      <c r="F18" s="536">
        <v>15743</v>
      </c>
      <c r="G18" s="536">
        <v>8899</v>
      </c>
      <c r="H18" s="536">
        <v>10836</v>
      </c>
      <c r="I18" s="536">
        <v>10752</v>
      </c>
      <c r="J18" s="536">
        <v>71694</v>
      </c>
      <c r="K18" s="536">
        <v>9667</v>
      </c>
      <c r="L18" s="22"/>
    </row>
    <row r="19" spans="2:12" s="74" customFormat="1" ht="13.7" customHeight="1">
      <c r="B19" s="294" t="s">
        <v>202</v>
      </c>
      <c r="C19" s="536">
        <v>180416</v>
      </c>
      <c r="D19" s="536">
        <v>12353</v>
      </c>
      <c r="E19" s="536">
        <v>11688</v>
      </c>
      <c r="F19" s="536">
        <v>15766</v>
      </c>
      <c r="G19" s="536">
        <v>10272</v>
      </c>
      <c r="H19" s="536">
        <v>12950</v>
      </c>
      <c r="I19" s="536">
        <v>14811</v>
      </c>
      <c r="J19" s="536">
        <v>89996</v>
      </c>
      <c r="K19" s="536">
        <v>12580</v>
      </c>
      <c r="L19" s="22"/>
    </row>
    <row r="20" spans="2:12" s="74" customFormat="1" ht="13.7" customHeight="1">
      <c r="B20" s="294" t="s">
        <v>203</v>
      </c>
      <c r="C20" s="535">
        <v>149367</v>
      </c>
      <c r="D20" s="535">
        <v>10923</v>
      </c>
      <c r="E20" s="535">
        <v>9069</v>
      </c>
      <c r="F20" s="535">
        <v>11444</v>
      </c>
      <c r="G20" s="535">
        <v>9337</v>
      </c>
      <c r="H20" s="535">
        <v>10889</v>
      </c>
      <c r="I20" s="535">
        <v>12051</v>
      </c>
      <c r="J20" s="535">
        <v>74295</v>
      </c>
      <c r="K20" s="535">
        <v>11359</v>
      </c>
      <c r="L20" s="22"/>
    </row>
    <row r="21" spans="2:12" s="74" customFormat="1" ht="13.7" customHeight="1">
      <c r="B21" s="294" t="s">
        <v>204</v>
      </c>
      <c r="C21" s="535">
        <v>166649</v>
      </c>
      <c r="D21" s="535">
        <v>11617</v>
      </c>
      <c r="E21" s="535">
        <v>10571</v>
      </c>
      <c r="F21" s="535">
        <v>11725</v>
      </c>
      <c r="G21" s="535">
        <v>9292</v>
      </c>
      <c r="H21" s="535">
        <v>9288</v>
      </c>
      <c r="I21" s="535">
        <v>13239</v>
      </c>
      <c r="J21" s="535">
        <v>88352</v>
      </c>
      <c r="K21" s="535">
        <v>12565</v>
      </c>
      <c r="L21" s="22"/>
    </row>
    <row r="22" spans="2:12" s="74" customFormat="1" ht="13.7" customHeight="1">
      <c r="B22" s="294" t="s">
        <v>205</v>
      </c>
      <c r="C22" s="535">
        <v>164378</v>
      </c>
      <c r="D22" s="535">
        <v>10433</v>
      </c>
      <c r="E22" s="535">
        <v>10066</v>
      </c>
      <c r="F22" s="535">
        <v>12424</v>
      </c>
      <c r="G22" s="535">
        <v>8036</v>
      </c>
      <c r="H22" s="535">
        <v>10469</v>
      </c>
      <c r="I22" s="535">
        <v>9673</v>
      </c>
      <c r="J22" s="535">
        <v>92333</v>
      </c>
      <c r="K22" s="535">
        <v>10944</v>
      </c>
      <c r="L22" s="22"/>
    </row>
    <row r="23" spans="2:12" s="74" customFormat="1" ht="13.7" customHeight="1">
      <c r="B23" s="294" t="s">
        <v>206</v>
      </c>
      <c r="C23" s="536"/>
      <c r="D23" s="536"/>
      <c r="E23" s="536"/>
      <c r="F23" s="536"/>
      <c r="G23" s="536"/>
      <c r="H23" s="536"/>
      <c r="I23" s="536"/>
      <c r="J23" s="536"/>
      <c r="K23" s="536"/>
      <c r="L23" s="22"/>
    </row>
    <row r="24" spans="2:12" s="74" customFormat="1" ht="13.7" customHeight="1">
      <c r="B24" s="294" t="s">
        <v>207</v>
      </c>
      <c r="C24" s="536"/>
      <c r="D24" s="536"/>
      <c r="E24" s="536"/>
      <c r="F24" s="536"/>
      <c r="G24" s="536"/>
      <c r="H24" s="536"/>
      <c r="I24" s="536"/>
      <c r="J24" s="536"/>
      <c r="K24" s="536"/>
      <c r="L24" s="22"/>
    </row>
    <row r="25" spans="2:12" s="74" customFormat="1" ht="13.7" customHeight="1">
      <c r="B25" s="294" t="s">
        <v>208</v>
      </c>
      <c r="C25" s="536"/>
      <c r="D25" s="536"/>
      <c r="E25" s="536"/>
      <c r="F25" s="536"/>
      <c r="G25" s="536"/>
      <c r="H25" s="536"/>
      <c r="I25" s="536"/>
      <c r="J25" s="536"/>
      <c r="K25" s="536"/>
      <c r="L25" s="22"/>
    </row>
    <row r="26" spans="2:12" s="74" customFormat="1" ht="13.7" customHeight="1">
      <c r="B26" s="294" t="s">
        <v>209</v>
      </c>
      <c r="C26" s="536"/>
      <c r="D26" s="536"/>
      <c r="E26" s="536"/>
      <c r="F26" s="536"/>
      <c r="G26" s="536"/>
      <c r="H26" s="536"/>
      <c r="I26" s="536"/>
      <c r="J26" s="536"/>
      <c r="K26" s="536"/>
      <c r="L26" s="22"/>
    </row>
    <row r="27" spans="2:12" s="74" customFormat="1" ht="13.7" customHeight="1">
      <c r="B27" s="294" t="s">
        <v>193</v>
      </c>
      <c r="C27" s="536"/>
      <c r="D27" s="536"/>
      <c r="E27" s="536"/>
      <c r="F27" s="536"/>
      <c r="G27" s="536"/>
      <c r="H27" s="536"/>
      <c r="I27" s="536"/>
      <c r="J27" s="536"/>
      <c r="K27" s="536"/>
      <c r="L27" s="22"/>
    </row>
    <row r="28" spans="2:12" s="74" customFormat="1" ht="13.7" customHeight="1">
      <c r="B28" s="294" t="s">
        <v>194</v>
      </c>
      <c r="C28" s="540"/>
      <c r="D28" s="540"/>
      <c r="E28" s="568"/>
      <c r="F28" s="540"/>
      <c r="G28" s="540"/>
      <c r="H28" s="540"/>
      <c r="I28" s="540"/>
      <c r="J28" s="540"/>
      <c r="K28" s="540"/>
      <c r="L28" s="22"/>
    </row>
    <row r="29" spans="2:12" s="74" customFormat="1" ht="13.7" customHeight="1">
      <c r="B29" s="294" t="s">
        <v>195</v>
      </c>
      <c r="C29" s="540">
        <f>SUM(C17:C26)</f>
        <v>962630</v>
      </c>
      <c r="D29" s="540">
        <f t="shared" ref="D29:K29" si="0">SUM(D17:D26)</f>
        <v>67947</v>
      </c>
      <c r="E29" s="540">
        <f t="shared" si="0"/>
        <v>58928</v>
      </c>
      <c r="F29" s="540">
        <f t="shared" si="0"/>
        <v>81344</v>
      </c>
      <c r="G29" s="540">
        <f t="shared" si="0"/>
        <v>55138</v>
      </c>
      <c r="H29" s="540">
        <f t="shared" si="0"/>
        <v>64586</v>
      </c>
      <c r="I29" s="540">
        <f t="shared" si="0"/>
        <v>72709</v>
      </c>
      <c r="J29" s="540">
        <f t="shared" si="0"/>
        <v>492439</v>
      </c>
      <c r="K29" s="540">
        <f t="shared" si="0"/>
        <v>69539</v>
      </c>
      <c r="L29" s="22"/>
    </row>
    <row r="30" spans="2:12" ht="12.95" customHeight="1">
      <c r="B30" s="875" t="s">
        <v>314</v>
      </c>
      <c r="C30" s="875"/>
      <c r="D30" s="487"/>
      <c r="E30" s="487"/>
      <c r="F30" s="487"/>
      <c r="G30" s="487"/>
      <c r="H30" s="487"/>
      <c r="I30" s="487"/>
      <c r="J30" s="487"/>
      <c r="K30" s="487"/>
      <c r="L30" s="487"/>
    </row>
    <row r="31" spans="2:12" ht="12.75" customHeight="1">
      <c r="B31" s="875" t="s">
        <v>315</v>
      </c>
      <c r="C31" s="875"/>
      <c r="D31" s="875"/>
      <c r="E31" s="875"/>
      <c r="F31" s="875"/>
      <c r="G31" s="875"/>
      <c r="H31" s="875"/>
      <c r="I31" s="875"/>
      <c r="J31" s="875"/>
      <c r="K31" s="487"/>
      <c r="L31" s="487"/>
    </row>
    <row r="32" spans="2:12">
      <c r="B32" s="879" t="s">
        <v>327</v>
      </c>
      <c r="C32" s="879"/>
      <c r="D32" s="340"/>
      <c r="E32" s="340"/>
      <c r="F32" s="340"/>
      <c r="G32" s="340"/>
      <c r="H32" s="340"/>
      <c r="I32" s="340"/>
      <c r="J32" s="340"/>
      <c r="K32" s="340"/>
      <c r="L32" s="340"/>
    </row>
    <row r="33" spans="2:12">
      <c r="B33" s="340"/>
      <c r="C33" s="76"/>
      <c r="D33" s="76"/>
      <c r="E33" s="76"/>
      <c r="F33" s="76"/>
      <c r="G33" s="76"/>
      <c r="H33" s="76"/>
      <c r="I33" s="76"/>
      <c r="J33" s="76"/>
      <c r="K33" s="340"/>
      <c r="L33" s="340"/>
    </row>
    <row r="34" spans="2:12">
      <c r="B34" s="882" t="s">
        <v>317</v>
      </c>
      <c r="C34" s="883"/>
      <c r="D34" s="536"/>
      <c r="E34" s="536"/>
      <c r="F34" s="536"/>
      <c r="G34" s="536"/>
      <c r="H34" s="536"/>
      <c r="I34" s="536"/>
      <c r="J34" s="536"/>
      <c r="K34" s="536"/>
      <c r="L34" s="340"/>
    </row>
    <row r="35" spans="2:12">
      <c r="B35" s="882" t="s">
        <v>318</v>
      </c>
      <c r="C35" s="883"/>
      <c r="D35" s="655">
        <v>-10.191960058535001</v>
      </c>
      <c r="E35" s="655">
        <v>-4.7772206981360004</v>
      </c>
      <c r="F35" s="655">
        <v>5.9616204690829999</v>
      </c>
      <c r="G35" s="655">
        <v>-13.5170038743</v>
      </c>
      <c r="H35" s="655">
        <v>12.71533161068</v>
      </c>
      <c r="I35" s="655">
        <v>-26.935569151749</v>
      </c>
      <c r="J35" s="655">
        <v>4.505840275263</v>
      </c>
      <c r="K35" s="655">
        <v>-12.900915240748001</v>
      </c>
      <c r="L35" s="76"/>
    </row>
    <row r="36" spans="2:12">
      <c r="B36" s="881" t="s">
        <v>319</v>
      </c>
      <c r="C36" s="881"/>
      <c r="D36" s="655">
        <v>-0.59075750357300005</v>
      </c>
      <c r="E36" s="655">
        <v>42.436677515211997</v>
      </c>
      <c r="F36" s="655">
        <v>15.561343130872</v>
      </c>
      <c r="G36" s="655">
        <v>-19.768370607028999</v>
      </c>
      <c r="H36" s="655">
        <v>1.3161714894030001</v>
      </c>
      <c r="I36" s="655">
        <v>-22.491987179487001</v>
      </c>
      <c r="J36" s="655">
        <v>9.7177826629429997</v>
      </c>
      <c r="K36" s="655">
        <v>-1.565029681597</v>
      </c>
      <c r="L36" s="76"/>
    </row>
    <row r="37" spans="2:12">
      <c r="B37" s="881" t="s">
        <v>320</v>
      </c>
      <c r="C37" s="881"/>
      <c r="D37" s="655">
        <v>0.58771280532900005</v>
      </c>
      <c r="E37" s="655">
        <v>21.141353507112999</v>
      </c>
      <c r="F37" s="655">
        <v>3.1002053283989999</v>
      </c>
      <c r="G37" s="655">
        <v>0.91511402320699997</v>
      </c>
      <c r="H37" s="655">
        <v>14.117605484486999</v>
      </c>
      <c r="I37" s="655">
        <v>2.473433492122</v>
      </c>
      <c r="J37" s="655">
        <v>5.6713375249459999</v>
      </c>
      <c r="K37" s="655">
        <v>1.7946803683049999</v>
      </c>
      <c r="L37" s="76"/>
    </row>
  </sheetData>
  <mergeCells count="12">
    <mergeCell ref="B31:J31"/>
    <mergeCell ref="B15:K15"/>
    <mergeCell ref="B1:K1"/>
    <mergeCell ref="B3:K3"/>
    <mergeCell ref="B4:K4"/>
    <mergeCell ref="B30:C30"/>
    <mergeCell ref="B16:K16"/>
    <mergeCell ref="B37:C37"/>
    <mergeCell ref="B36:C36"/>
    <mergeCell ref="B35:C35"/>
    <mergeCell ref="B34:C34"/>
    <mergeCell ref="B32:C32"/>
  </mergeCells>
  <phoneticPr fontId="47" type="noConversion"/>
  <pageMargins left="0.70866141732283472" right="0.70866141732283472" top="0.74803149606299213" bottom="0.74803149606299213" header="0.31496062992125984" footer="0.31496062992125984"/>
  <pageSetup paperSize="126" scale="93" orientation="landscape" r:id="rId1"/>
  <headerFooter>
    <oddFooter>&amp;C&amp;"Arial,Normal"&amp;11 23</oddFooter>
  </headerFooter>
  <ignoredErrors>
    <ignoredError sqref="C29:K29"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pageSetUpPr fitToPage="1"/>
  </sheetPr>
  <dimension ref="B1:V32"/>
  <sheetViews>
    <sheetView topLeftCell="A6" zoomScaleNormal="100" workbookViewId="0">
      <selection activeCell="V20" sqref="V20"/>
    </sheetView>
  </sheetViews>
  <sheetFormatPr baseColWidth="10" defaultColWidth="10.90625" defaultRowHeight="12.75"/>
  <cols>
    <col min="1" max="1" width="2.6328125" style="341" customWidth="1"/>
    <col min="2" max="2" width="7.36328125" style="341" customWidth="1"/>
    <col min="3" max="3" width="7.26953125" style="341" customWidth="1"/>
    <col min="4" max="4" width="7.26953125" style="341" hidden="1" customWidth="1"/>
    <col min="5" max="5" width="7.6328125" style="341" customWidth="1"/>
    <col min="6" max="6" width="7.26953125" style="341" hidden="1" customWidth="1"/>
    <col min="7" max="7" width="7.6328125" style="341" customWidth="1"/>
    <col min="8" max="8" width="7.26953125" style="341" hidden="1" customWidth="1"/>
    <col min="9" max="9" width="7.6328125" style="341" customWidth="1"/>
    <col min="10" max="10" width="7.26953125" style="341" hidden="1" customWidth="1"/>
    <col min="11" max="11" width="7.6328125" style="341" customWidth="1"/>
    <col min="12" max="12" width="7.26953125" style="341" hidden="1" customWidth="1"/>
    <col min="13" max="13" width="7.6328125" style="341" customWidth="1"/>
    <col min="14" max="14" width="7.26953125" style="341" hidden="1" customWidth="1"/>
    <col min="15" max="15" width="7.6328125" style="341" customWidth="1"/>
    <col min="16" max="16" width="7.26953125" style="341" hidden="1" customWidth="1"/>
    <col min="17" max="17" width="7.6328125" style="341" customWidth="1"/>
    <col min="18" max="18" width="7.26953125" style="341" hidden="1" customWidth="1"/>
    <col min="19" max="19" width="8.6328125" style="341" customWidth="1"/>
    <col min="20" max="20" width="4.90625" style="341" bestFit="1" customWidth="1"/>
    <col min="21" max="16384" width="10.90625" style="341"/>
  </cols>
  <sheetData>
    <row r="1" spans="2:19" s="340" customFormat="1" ht="12.75" customHeight="1">
      <c r="B1" s="767" t="s">
        <v>328</v>
      </c>
      <c r="C1" s="767"/>
      <c r="D1" s="767"/>
      <c r="E1" s="767"/>
      <c r="F1" s="767"/>
      <c r="G1" s="767"/>
      <c r="H1" s="767"/>
      <c r="I1" s="767"/>
      <c r="J1" s="767"/>
      <c r="K1" s="767"/>
      <c r="L1" s="767"/>
      <c r="M1" s="767"/>
      <c r="N1" s="767"/>
      <c r="O1" s="767"/>
      <c r="P1" s="767"/>
      <c r="Q1" s="767"/>
      <c r="R1" s="767"/>
      <c r="S1" s="767"/>
    </row>
    <row r="2" spans="2:19" s="340" customFormat="1" ht="12.75" customHeight="1">
      <c r="B2" s="17"/>
      <c r="C2" s="17"/>
      <c r="D2" s="17"/>
      <c r="E2" s="17"/>
      <c r="F2" s="17"/>
      <c r="G2" s="17"/>
      <c r="H2" s="17"/>
      <c r="I2" s="17"/>
      <c r="J2" s="17"/>
      <c r="K2" s="17"/>
      <c r="L2" s="17"/>
      <c r="M2" s="17"/>
      <c r="N2" s="17"/>
      <c r="O2" s="17"/>
      <c r="P2" s="17"/>
      <c r="Q2" s="17"/>
      <c r="R2" s="17"/>
      <c r="S2" s="17"/>
    </row>
    <row r="3" spans="2:19" s="340" customFormat="1" ht="14.25" customHeight="1">
      <c r="B3" s="767" t="s">
        <v>58</v>
      </c>
      <c r="C3" s="767"/>
      <c r="D3" s="767"/>
      <c r="E3" s="767"/>
      <c r="F3" s="767"/>
      <c r="G3" s="767"/>
      <c r="H3" s="767"/>
      <c r="I3" s="767"/>
      <c r="J3" s="767"/>
      <c r="K3" s="767"/>
      <c r="L3" s="767"/>
      <c r="M3" s="767"/>
      <c r="N3" s="767"/>
      <c r="O3" s="767"/>
      <c r="P3" s="767"/>
      <c r="Q3" s="767"/>
      <c r="R3" s="767"/>
      <c r="S3" s="767"/>
    </row>
    <row r="4" spans="2:19" ht="14.25" customHeight="1">
      <c r="B4" s="767" t="s">
        <v>180</v>
      </c>
      <c r="C4" s="767"/>
      <c r="D4" s="767"/>
      <c r="E4" s="767"/>
      <c r="F4" s="767"/>
      <c r="G4" s="767"/>
      <c r="H4" s="767"/>
      <c r="I4" s="767"/>
      <c r="J4" s="767"/>
      <c r="K4" s="767"/>
      <c r="L4" s="767"/>
      <c r="M4" s="767"/>
      <c r="N4" s="767"/>
      <c r="O4" s="767"/>
      <c r="P4" s="767"/>
      <c r="Q4" s="767"/>
      <c r="R4" s="767"/>
      <c r="S4" s="767"/>
    </row>
    <row r="5" spans="2:19">
      <c r="B5" s="891" t="s">
        <v>181</v>
      </c>
      <c r="C5" s="891" t="s">
        <v>198</v>
      </c>
      <c r="D5" s="892" t="s">
        <v>329</v>
      </c>
      <c r="E5" s="893"/>
      <c r="F5" s="893"/>
      <c r="G5" s="893"/>
      <c r="H5" s="893"/>
      <c r="I5" s="893"/>
      <c r="J5" s="893"/>
      <c r="K5" s="893"/>
      <c r="L5" s="893"/>
      <c r="M5" s="893"/>
      <c r="N5" s="893"/>
      <c r="O5" s="893"/>
      <c r="P5" s="893"/>
      <c r="Q5" s="893"/>
      <c r="R5" s="893"/>
      <c r="S5" s="894"/>
    </row>
    <row r="6" spans="2:19" ht="63" customHeight="1">
      <c r="B6" s="891"/>
      <c r="C6" s="891"/>
      <c r="D6" s="895" t="s">
        <v>330</v>
      </c>
      <c r="E6" s="896"/>
      <c r="F6" s="892" t="s">
        <v>146</v>
      </c>
      <c r="G6" s="894"/>
      <c r="H6" s="892" t="s">
        <v>148</v>
      </c>
      <c r="I6" s="894"/>
      <c r="J6" s="892" t="s">
        <v>331</v>
      </c>
      <c r="K6" s="894"/>
      <c r="L6" s="892" t="s">
        <v>150</v>
      </c>
      <c r="M6" s="894"/>
      <c r="N6" s="892" t="s">
        <v>332</v>
      </c>
      <c r="O6" s="894"/>
      <c r="P6" s="895" t="s">
        <v>333</v>
      </c>
      <c r="Q6" s="896"/>
      <c r="R6" s="892" t="s">
        <v>147</v>
      </c>
      <c r="S6" s="894"/>
    </row>
    <row r="7" spans="2:19">
      <c r="B7" s="891"/>
      <c r="C7" s="891"/>
      <c r="D7" s="342" t="s">
        <v>334</v>
      </c>
      <c r="E7" s="342" t="s">
        <v>335</v>
      </c>
      <c r="F7" s="342" t="s">
        <v>334</v>
      </c>
      <c r="G7" s="342" t="s">
        <v>335</v>
      </c>
      <c r="H7" s="342" t="s">
        <v>334</v>
      </c>
      <c r="I7" s="342" t="s">
        <v>335</v>
      </c>
      <c r="J7" s="342" t="s">
        <v>334</v>
      </c>
      <c r="K7" s="342" t="s">
        <v>335</v>
      </c>
      <c r="L7" s="342" t="s">
        <v>334</v>
      </c>
      <c r="M7" s="342" t="s">
        <v>335</v>
      </c>
      <c r="N7" s="342" t="s">
        <v>334</v>
      </c>
      <c r="O7" s="342" t="s">
        <v>335</v>
      </c>
      <c r="P7" s="342" t="s">
        <v>334</v>
      </c>
      <c r="Q7" s="342" t="s">
        <v>335</v>
      </c>
      <c r="R7" s="342" t="s">
        <v>334</v>
      </c>
      <c r="S7" s="414" t="s">
        <v>335</v>
      </c>
    </row>
    <row r="8" spans="2:19">
      <c r="B8" s="888">
        <v>2021</v>
      </c>
      <c r="C8" s="462" t="s">
        <v>200</v>
      </c>
      <c r="D8" s="463">
        <v>5969</v>
      </c>
      <c r="E8" s="464">
        <v>6042</v>
      </c>
      <c r="F8" s="464">
        <v>2487</v>
      </c>
      <c r="G8" s="464">
        <v>2808</v>
      </c>
      <c r="H8" s="464">
        <v>5730</v>
      </c>
      <c r="I8" s="464">
        <v>6308</v>
      </c>
      <c r="J8" s="464">
        <v>3038</v>
      </c>
      <c r="K8" s="464">
        <v>3256</v>
      </c>
      <c r="L8" s="464">
        <v>5277</v>
      </c>
      <c r="M8" s="464">
        <v>6033</v>
      </c>
      <c r="N8" s="464">
        <v>2436</v>
      </c>
      <c r="O8" s="464">
        <v>2305</v>
      </c>
      <c r="P8" s="464">
        <v>7144</v>
      </c>
      <c r="Q8" s="464">
        <v>7702</v>
      </c>
      <c r="R8" s="464">
        <v>19954</v>
      </c>
      <c r="S8" s="464">
        <v>22624</v>
      </c>
    </row>
    <row r="9" spans="2:19">
      <c r="B9" s="889"/>
      <c r="C9" s="462" t="s">
        <v>201</v>
      </c>
      <c r="D9" s="463">
        <v>6681</v>
      </c>
      <c r="E9" s="464">
        <v>7348</v>
      </c>
      <c r="F9" s="464">
        <v>2808</v>
      </c>
      <c r="G9" s="464">
        <v>2254</v>
      </c>
      <c r="H9" s="464">
        <v>6308</v>
      </c>
      <c r="I9" s="464">
        <v>6628</v>
      </c>
      <c r="J9" s="464">
        <v>3256</v>
      </c>
      <c r="K9" s="464">
        <v>3757</v>
      </c>
      <c r="L9" s="464">
        <v>6033</v>
      </c>
      <c r="M9" s="464">
        <v>6356</v>
      </c>
      <c r="N9" s="464">
        <v>2305</v>
      </c>
      <c r="O9" s="464">
        <v>2561</v>
      </c>
      <c r="P9" s="464">
        <v>7702</v>
      </c>
      <c r="Q9" s="464">
        <v>7320</v>
      </c>
      <c r="R9" s="464">
        <v>22624</v>
      </c>
      <c r="S9" s="464">
        <v>25894</v>
      </c>
    </row>
    <row r="10" spans="2:19">
      <c r="B10" s="889"/>
      <c r="C10" s="462" t="s">
        <v>202</v>
      </c>
      <c r="D10" s="463">
        <v>6680</v>
      </c>
      <c r="E10" s="464">
        <v>6696</v>
      </c>
      <c r="F10" s="464">
        <v>2254</v>
      </c>
      <c r="G10" s="464">
        <v>2726</v>
      </c>
      <c r="H10" s="464">
        <v>6628</v>
      </c>
      <c r="I10" s="464">
        <v>7455</v>
      </c>
      <c r="J10" s="464">
        <v>3757</v>
      </c>
      <c r="K10" s="464">
        <v>2499</v>
      </c>
      <c r="L10" s="464">
        <v>6356</v>
      </c>
      <c r="M10" s="464">
        <v>5963</v>
      </c>
      <c r="N10" s="464">
        <v>2561</v>
      </c>
      <c r="O10" s="464">
        <v>2681</v>
      </c>
      <c r="P10" s="464">
        <v>7320</v>
      </c>
      <c r="Q10" s="464">
        <v>6927</v>
      </c>
      <c r="R10" s="464">
        <v>25894</v>
      </c>
      <c r="S10" s="464">
        <v>18383</v>
      </c>
    </row>
    <row r="11" spans="2:19">
      <c r="B11" s="889"/>
      <c r="C11" s="462" t="s">
        <v>203</v>
      </c>
      <c r="D11" s="463">
        <v>6695</v>
      </c>
      <c r="E11" s="464">
        <v>6541</v>
      </c>
      <c r="F11" s="464">
        <v>2726</v>
      </c>
      <c r="G11" s="464">
        <v>2847</v>
      </c>
      <c r="H11" s="464">
        <v>7455</v>
      </c>
      <c r="I11" s="464">
        <v>5686</v>
      </c>
      <c r="J11" s="464">
        <v>2499</v>
      </c>
      <c r="K11" s="464">
        <v>2979</v>
      </c>
      <c r="L11" s="464">
        <v>5963</v>
      </c>
      <c r="M11" s="464">
        <v>6131</v>
      </c>
      <c r="N11" s="464">
        <v>2681</v>
      </c>
      <c r="O11" s="464">
        <v>2435</v>
      </c>
      <c r="P11" s="464">
        <v>6927</v>
      </c>
      <c r="Q11" s="464">
        <v>7796</v>
      </c>
      <c r="R11" s="464">
        <v>18383</v>
      </c>
      <c r="S11" s="464">
        <v>22037</v>
      </c>
    </row>
    <row r="12" spans="2:19">
      <c r="B12" s="889"/>
      <c r="C12" s="462" t="s">
        <v>204</v>
      </c>
      <c r="D12" s="463">
        <v>6428</v>
      </c>
      <c r="E12" s="464">
        <v>6088</v>
      </c>
      <c r="F12" s="464">
        <v>2847</v>
      </c>
      <c r="G12" s="464">
        <v>2837</v>
      </c>
      <c r="H12" s="464">
        <v>5686</v>
      </c>
      <c r="I12" s="464">
        <v>4523</v>
      </c>
      <c r="J12" s="464">
        <v>2979</v>
      </c>
      <c r="K12" s="464">
        <v>3328</v>
      </c>
      <c r="L12" s="464">
        <v>6131</v>
      </c>
      <c r="M12" s="464">
        <v>5662</v>
      </c>
      <c r="N12" s="464">
        <v>2435</v>
      </c>
      <c r="O12" s="464">
        <v>1954</v>
      </c>
      <c r="P12" s="464">
        <v>7796</v>
      </c>
      <c r="Q12" s="464">
        <v>7697</v>
      </c>
      <c r="R12" s="464">
        <v>22037</v>
      </c>
      <c r="S12" s="464">
        <v>19475</v>
      </c>
    </row>
    <row r="13" spans="2:19">
      <c r="B13" s="889"/>
      <c r="C13" s="462" t="s">
        <v>205</v>
      </c>
      <c r="D13" s="463">
        <v>7082</v>
      </c>
      <c r="E13" s="464">
        <v>5573</v>
      </c>
      <c r="F13" s="464">
        <v>2837</v>
      </c>
      <c r="G13" s="464">
        <v>2591</v>
      </c>
      <c r="H13" s="464">
        <v>4523</v>
      </c>
      <c r="I13" s="464">
        <v>4387</v>
      </c>
      <c r="J13" s="464">
        <v>3328</v>
      </c>
      <c r="K13" s="464">
        <v>2813</v>
      </c>
      <c r="L13" s="464">
        <v>5662</v>
      </c>
      <c r="M13" s="464">
        <v>5454</v>
      </c>
      <c r="N13" s="464">
        <v>1954</v>
      </c>
      <c r="O13" s="464">
        <v>2174</v>
      </c>
      <c r="P13" s="464">
        <v>7697</v>
      </c>
      <c r="Q13" s="464">
        <v>7666</v>
      </c>
      <c r="R13" s="464">
        <v>19475</v>
      </c>
      <c r="S13" s="464">
        <v>21650</v>
      </c>
    </row>
    <row r="14" spans="2:19">
      <c r="B14" s="889"/>
      <c r="C14" s="462" t="s">
        <v>206</v>
      </c>
      <c r="D14" s="463">
        <v>7349</v>
      </c>
      <c r="E14" s="464">
        <v>6002</v>
      </c>
      <c r="F14" s="464">
        <v>2591</v>
      </c>
      <c r="G14" s="464">
        <v>2867</v>
      </c>
      <c r="H14" s="464">
        <v>4387</v>
      </c>
      <c r="I14" s="464">
        <v>4333</v>
      </c>
      <c r="J14" s="464">
        <v>2813</v>
      </c>
      <c r="K14" s="464">
        <v>2316</v>
      </c>
      <c r="L14" s="464">
        <v>5454</v>
      </c>
      <c r="M14" s="464">
        <v>5101</v>
      </c>
      <c r="N14" s="464">
        <v>2174</v>
      </c>
      <c r="O14" s="464">
        <v>2070</v>
      </c>
      <c r="P14" s="464">
        <v>7666</v>
      </c>
      <c r="Q14" s="464">
        <v>7483</v>
      </c>
      <c r="R14" s="464">
        <v>21650</v>
      </c>
      <c r="S14" s="464">
        <v>23402</v>
      </c>
    </row>
    <row r="15" spans="2:19">
      <c r="B15" s="889"/>
      <c r="C15" s="462" t="s">
        <v>207</v>
      </c>
      <c r="D15" s="463">
        <v>6661</v>
      </c>
      <c r="E15" s="464">
        <v>6418</v>
      </c>
      <c r="F15" s="464">
        <v>2867</v>
      </c>
      <c r="G15" s="464">
        <v>2892</v>
      </c>
      <c r="H15" s="464">
        <v>4333</v>
      </c>
      <c r="I15" s="464">
        <v>4771</v>
      </c>
      <c r="J15" s="464">
        <v>2316</v>
      </c>
      <c r="K15" s="464">
        <v>2678</v>
      </c>
      <c r="L15" s="464">
        <v>5101</v>
      </c>
      <c r="M15" s="464">
        <v>5009</v>
      </c>
      <c r="N15" s="464">
        <v>2070</v>
      </c>
      <c r="O15" s="464">
        <v>1992</v>
      </c>
      <c r="P15" s="464">
        <v>7483</v>
      </c>
      <c r="Q15" s="464">
        <v>8067</v>
      </c>
      <c r="R15" s="464">
        <v>23402</v>
      </c>
      <c r="S15" s="464">
        <v>22535</v>
      </c>
    </row>
    <row r="16" spans="2:19">
      <c r="B16" s="889"/>
      <c r="C16" s="462" t="s">
        <v>208</v>
      </c>
      <c r="D16" s="463">
        <v>6591</v>
      </c>
      <c r="E16" s="464">
        <v>5225</v>
      </c>
      <c r="F16" s="464">
        <v>2892</v>
      </c>
      <c r="G16" s="464">
        <v>3192</v>
      </c>
      <c r="H16" s="464">
        <v>4771</v>
      </c>
      <c r="I16" s="464">
        <v>4573</v>
      </c>
      <c r="J16" s="464">
        <v>2678</v>
      </c>
      <c r="K16" s="464">
        <v>2372</v>
      </c>
      <c r="L16" s="464">
        <v>5009</v>
      </c>
      <c r="M16" s="464">
        <v>4029</v>
      </c>
      <c r="N16" s="464">
        <v>1992</v>
      </c>
      <c r="O16" s="464">
        <v>2358</v>
      </c>
      <c r="P16" s="464">
        <v>8067</v>
      </c>
      <c r="Q16" s="464">
        <v>7177</v>
      </c>
      <c r="R16" s="464">
        <v>22535</v>
      </c>
      <c r="S16" s="464">
        <v>24649</v>
      </c>
    </row>
    <row r="17" spans="2:22">
      <c r="B17" s="889"/>
      <c r="C17" s="462" t="s">
        <v>209</v>
      </c>
      <c r="D17" s="463">
        <v>5786</v>
      </c>
      <c r="E17" s="464">
        <v>5181</v>
      </c>
      <c r="F17" s="464">
        <v>3192</v>
      </c>
      <c r="G17" s="464">
        <v>3030</v>
      </c>
      <c r="H17" s="464">
        <v>4573</v>
      </c>
      <c r="I17" s="464">
        <v>4316</v>
      </c>
      <c r="J17" s="464">
        <v>2372</v>
      </c>
      <c r="K17" s="464">
        <v>2088</v>
      </c>
      <c r="L17" s="464">
        <v>4029</v>
      </c>
      <c r="M17" s="464">
        <v>3861</v>
      </c>
      <c r="N17" s="464">
        <v>2358</v>
      </c>
      <c r="O17" s="464">
        <v>1983</v>
      </c>
      <c r="P17" s="464">
        <v>7177</v>
      </c>
      <c r="Q17" s="464">
        <v>7240</v>
      </c>
      <c r="R17" s="464">
        <v>24649</v>
      </c>
      <c r="S17" s="464">
        <v>21741</v>
      </c>
    </row>
    <row r="18" spans="2:22">
      <c r="B18" s="889"/>
      <c r="C18" s="462" t="s">
        <v>193</v>
      </c>
      <c r="D18" s="463">
        <v>4462</v>
      </c>
      <c r="E18" s="464">
        <v>5329</v>
      </c>
      <c r="F18" s="464">
        <v>3030</v>
      </c>
      <c r="G18" s="464">
        <v>3489</v>
      </c>
      <c r="H18" s="464">
        <v>4316</v>
      </c>
      <c r="I18" s="464">
        <v>3982</v>
      </c>
      <c r="J18" s="464">
        <v>2088</v>
      </c>
      <c r="K18" s="464">
        <v>1560</v>
      </c>
      <c r="L18" s="464">
        <v>3861</v>
      </c>
      <c r="M18" s="464">
        <v>2752</v>
      </c>
      <c r="N18" s="464">
        <v>1983</v>
      </c>
      <c r="O18" s="464">
        <v>2201</v>
      </c>
      <c r="P18" s="464">
        <v>7240</v>
      </c>
      <c r="Q18" s="464">
        <v>7324</v>
      </c>
      <c r="R18" s="464">
        <v>21741</v>
      </c>
      <c r="S18" s="464">
        <v>19376</v>
      </c>
    </row>
    <row r="19" spans="2:22">
      <c r="B19" s="890"/>
      <c r="C19" s="462" t="s">
        <v>194</v>
      </c>
      <c r="D19" s="463">
        <v>5208</v>
      </c>
      <c r="E19" s="464">
        <v>4940</v>
      </c>
      <c r="F19" s="464">
        <v>3489</v>
      </c>
      <c r="G19" s="464">
        <v>2905</v>
      </c>
      <c r="H19" s="464">
        <v>3982</v>
      </c>
      <c r="I19" s="464">
        <v>4714</v>
      </c>
      <c r="J19" s="464">
        <v>1560</v>
      </c>
      <c r="K19" s="464">
        <v>1470</v>
      </c>
      <c r="L19" s="464">
        <v>2752</v>
      </c>
      <c r="M19" s="464">
        <v>2373</v>
      </c>
      <c r="N19" s="464">
        <v>2201</v>
      </c>
      <c r="O19" s="464">
        <v>1879</v>
      </c>
      <c r="P19" s="464">
        <v>7324</v>
      </c>
      <c r="Q19" s="464">
        <v>7233</v>
      </c>
      <c r="R19" s="464">
        <v>19376</v>
      </c>
      <c r="S19" s="464">
        <v>18572</v>
      </c>
    </row>
    <row r="20" spans="2:22">
      <c r="B20" s="888">
        <v>2022</v>
      </c>
      <c r="C20" s="462" t="s">
        <v>200</v>
      </c>
      <c r="D20" s="463">
        <v>5653</v>
      </c>
      <c r="E20" s="464">
        <v>6052</v>
      </c>
      <c r="F20" s="464">
        <v>2905</v>
      </c>
      <c r="G20" s="464">
        <v>3375</v>
      </c>
      <c r="H20" s="464">
        <v>4714</v>
      </c>
      <c r="I20" s="464">
        <v>5316</v>
      </c>
      <c r="J20" s="464">
        <v>1470</v>
      </c>
      <c r="K20" s="464">
        <v>1935</v>
      </c>
      <c r="L20" s="464">
        <v>2373</v>
      </c>
      <c r="M20" s="464">
        <v>2611</v>
      </c>
      <c r="N20" s="464">
        <v>1879</v>
      </c>
      <c r="O20" s="464">
        <v>1945</v>
      </c>
      <c r="P20" s="464">
        <v>7233</v>
      </c>
      <c r="Q20" s="464">
        <v>7465</v>
      </c>
      <c r="R20" s="464">
        <v>18572</v>
      </c>
      <c r="S20" s="464">
        <v>23801</v>
      </c>
    </row>
    <row r="21" spans="2:22">
      <c r="B21" s="889"/>
      <c r="C21" s="462" t="s">
        <v>201</v>
      </c>
      <c r="D21" s="463">
        <v>6052</v>
      </c>
      <c r="E21" s="464">
        <v>5427</v>
      </c>
      <c r="F21" s="464">
        <v>3375</v>
      </c>
      <c r="G21" s="464">
        <v>3579</v>
      </c>
      <c r="H21" s="464">
        <v>5316</v>
      </c>
      <c r="I21" s="464">
        <v>3322</v>
      </c>
      <c r="J21" s="464">
        <v>1935</v>
      </c>
      <c r="K21" s="464">
        <v>1658</v>
      </c>
      <c r="L21" s="464">
        <v>2611</v>
      </c>
      <c r="M21" s="464">
        <v>2910</v>
      </c>
      <c r="N21" s="464">
        <v>1945</v>
      </c>
      <c r="O21" s="464">
        <v>1910</v>
      </c>
      <c r="P21" s="464">
        <v>7465</v>
      </c>
      <c r="Q21" s="464">
        <v>7688</v>
      </c>
      <c r="R21" s="464">
        <v>23801</v>
      </c>
      <c r="S21" s="464">
        <v>28226</v>
      </c>
    </row>
    <row r="22" spans="2:22">
      <c r="B22" s="889"/>
      <c r="C22" s="462" t="s">
        <v>202</v>
      </c>
      <c r="D22" s="463">
        <v>5427</v>
      </c>
      <c r="E22" s="464">
        <v>4497</v>
      </c>
      <c r="F22" s="464">
        <v>3579</v>
      </c>
      <c r="G22" s="464">
        <v>3282</v>
      </c>
      <c r="H22" s="464">
        <v>3322</v>
      </c>
      <c r="I22" s="464">
        <v>2761</v>
      </c>
      <c r="J22" s="464">
        <v>1658</v>
      </c>
      <c r="K22" s="464">
        <v>1587</v>
      </c>
      <c r="L22" s="464">
        <v>2910</v>
      </c>
      <c r="M22" s="464">
        <v>2351</v>
      </c>
      <c r="N22" s="464">
        <v>1910</v>
      </c>
      <c r="O22" s="464">
        <v>1745</v>
      </c>
      <c r="P22" s="464">
        <v>7688</v>
      </c>
      <c r="Q22" s="464">
        <v>7632</v>
      </c>
      <c r="R22" s="464">
        <v>28226</v>
      </c>
      <c r="S22" s="464">
        <v>28338</v>
      </c>
    </row>
    <row r="23" spans="2:22" ht="18">
      <c r="B23" s="889"/>
      <c r="C23" s="462" t="s">
        <v>203</v>
      </c>
      <c r="D23" s="463">
        <v>4497</v>
      </c>
      <c r="E23" s="464">
        <v>4892</v>
      </c>
      <c r="F23" s="464">
        <v>3282</v>
      </c>
      <c r="G23" s="464">
        <v>2858</v>
      </c>
      <c r="H23" s="464">
        <v>2761</v>
      </c>
      <c r="I23" s="464">
        <v>3177</v>
      </c>
      <c r="J23" s="464">
        <v>1587</v>
      </c>
      <c r="K23" s="464">
        <v>1665</v>
      </c>
      <c r="L23" s="464">
        <v>2351</v>
      </c>
      <c r="M23" s="464">
        <v>2636</v>
      </c>
      <c r="N23" s="464">
        <v>1745</v>
      </c>
      <c r="O23" s="464">
        <v>1712</v>
      </c>
      <c r="P23" s="464">
        <v>7632</v>
      </c>
      <c r="Q23" s="464">
        <v>7789</v>
      </c>
      <c r="R23" s="464">
        <v>28338</v>
      </c>
      <c r="S23" s="464">
        <v>25880</v>
      </c>
      <c r="U23" s="246"/>
      <c r="V23" s="246"/>
    </row>
    <row r="24" spans="2:22" ht="18">
      <c r="B24" s="889"/>
      <c r="C24" s="462" t="s">
        <v>204</v>
      </c>
      <c r="D24" s="463">
        <v>4892</v>
      </c>
      <c r="E24" s="464">
        <v>4797</v>
      </c>
      <c r="F24" s="464">
        <v>2858</v>
      </c>
      <c r="G24" s="464">
        <v>3405</v>
      </c>
      <c r="H24" s="464">
        <v>3177</v>
      </c>
      <c r="I24" s="464">
        <v>2736</v>
      </c>
      <c r="J24" s="464">
        <v>1665</v>
      </c>
      <c r="K24" s="464">
        <v>1343</v>
      </c>
      <c r="L24" s="464">
        <v>2636</v>
      </c>
      <c r="M24" s="464">
        <v>2638</v>
      </c>
      <c r="N24" s="464">
        <v>1712</v>
      </c>
      <c r="O24" s="464">
        <v>1914</v>
      </c>
      <c r="P24" s="464">
        <v>7789</v>
      </c>
      <c r="Q24" s="464">
        <v>8373</v>
      </c>
      <c r="R24" s="464">
        <v>25880</v>
      </c>
      <c r="S24" s="464">
        <v>26384</v>
      </c>
      <c r="U24" s="246"/>
    </row>
    <row r="25" spans="2:22">
      <c r="B25" s="889"/>
      <c r="C25" s="462" t="s">
        <v>205</v>
      </c>
      <c r="D25" s="463">
        <v>4797</v>
      </c>
      <c r="E25" s="464">
        <v>4481</v>
      </c>
      <c r="F25" s="464">
        <v>3405</v>
      </c>
      <c r="G25" s="464">
        <v>3207</v>
      </c>
      <c r="H25" s="464">
        <v>2736</v>
      </c>
      <c r="I25" s="464">
        <v>3344</v>
      </c>
      <c r="J25" s="464">
        <v>1343</v>
      </c>
      <c r="K25" s="464">
        <v>1445</v>
      </c>
      <c r="L25" s="464">
        <v>2638</v>
      </c>
      <c r="M25" s="464">
        <v>2214</v>
      </c>
      <c r="N25" s="464">
        <v>1914</v>
      </c>
      <c r="O25" s="464">
        <v>1962</v>
      </c>
      <c r="P25" s="464">
        <v>8373</v>
      </c>
      <c r="Q25" s="464">
        <v>6926</v>
      </c>
      <c r="R25" s="464">
        <v>26384</v>
      </c>
      <c r="S25" s="464">
        <v>27976</v>
      </c>
    </row>
    <row r="26" spans="2:22">
      <c r="B26" s="889"/>
      <c r="C26" s="462" t="s">
        <v>206</v>
      </c>
      <c r="D26" s="463"/>
      <c r="E26" s="464"/>
      <c r="F26" s="464"/>
      <c r="G26" s="464"/>
      <c r="H26" s="464"/>
      <c r="I26" s="464"/>
      <c r="J26" s="464"/>
      <c r="K26" s="464"/>
      <c r="L26" s="464"/>
      <c r="M26" s="464"/>
      <c r="N26" s="464"/>
      <c r="O26" s="464"/>
      <c r="P26" s="464"/>
      <c r="Q26" s="464"/>
      <c r="R26" s="464"/>
      <c r="S26" s="464"/>
    </row>
    <row r="27" spans="2:22">
      <c r="B27" s="889"/>
      <c r="C27" s="462" t="s">
        <v>207</v>
      </c>
      <c r="D27" s="463"/>
      <c r="E27" s="464"/>
      <c r="F27" s="464"/>
      <c r="G27" s="464"/>
      <c r="H27" s="464"/>
      <c r="I27" s="464"/>
      <c r="J27" s="464"/>
      <c r="K27" s="464"/>
      <c r="L27" s="464"/>
      <c r="M27" s="464"/>
      <c r="N27" s="464"/>
      <c r="O27" s="464"/>
      <c r="P27" s="464"/>
      <c r="Q27" s="464"/>
      <c r="R27" s="464"/>
      <c r="S27" s="464"/>
    </row>
    <row r="28" spans="2:22">
      <c r="B28" s="889"/>
      <c r="C28" s="462" t="s">
        <v>208</v>
      </c>
      <c r="D28" s="463"/>
      <c r="E28" s="464"/>
      <c r="F28" s="464"/>
      <c r="G28" s="464"/>
      <c r="H28" s="464"/>
      <c r="I28" s="464"/>
      <c r="J28" s="464"/>
      <c r="K28" s="464"/>
      <c r="L28" s="464"/>
      <c r="M28" s="464"/>
      <c r="N28" s="464"/>
      <c r="O28" s="464"/>
      <c r="P28" s="464"/>
      <c r="Q28" s="464"/>
      <c r="R28" s="464"/>
      <c r="S28" s="464"/>
    </row>
    <row r="29" spans="2:22" ht="15" customHeight="1">
      <c r="B29" s="889"/>
      <c r="C29" s="462" t="s">
        <v>209</v>
      </c>
      <c r="D29" s="463"/>
      <c r="E29" s="464"/>
      <c r="F29" s="464"/>
      <c r="G29" s="464"/>
      <c r="H29" s="464"/>
      <c r="I29" s="464"/>
      <c r="J29" s="464"/>
      <c r="K29" s="464"/>
      <c r="L29" s="464"/>
      <c r="M29" s="464"/>
      <c r="N29" s="464"/>
      <c r="O29" s="464"/>
      <c r="P29" s="464"/>
      <c r="Q29" s="464"/>
      <c r="R29" s="464"/>
      <c r="S29" s="464"/>
    </row>
    <row r="30" spans="2:22">
      <c r="B30" s="889"/>
      <c r="C30" s="462" t="s">
        <v>193</v>
      </c>
      <c r="D30" s="463"/>
      <c r="E30" s="464"/>
      <c r="F30" s="464"/>
      <c r="G30" s="464"/>
      <c r="H30" s="464"/>
      <c r="I30" s="464"/>
      <c r="J30" s="464"/>
      <c r="K30" s="464"/>
      <c r="L30" s="464"/>
      <c r="M30" s="464"/>
      <c r="N30" s="464"/>
      <c r="O30" s="464"/>
      <c r="P30" s="464"/>
      <c r="Q30" s="464"/>
      <c r="R30" s="464"/>
      <c r="S30" s="464"/>
    </row>
    <row r="31" spans="2:22">
      <c r="B31" s="890"/>
      <c r="C31" s="462" t="s">
        <v>194</v>
      </c>
      <c r="D31" s="463"/>
      <c r="E31" s="464"/>
      <c r="F31" s="464"/>
      <c r="G31" s="464"/>
      <c r="H31" s="464"/>
      <c r="I31" s="464"/>
      <c r="J31" s="464"/>
      <c r="K31" s="464"/>
      <c r="L31" s="464"/>
      <c r="M31" s="464"/>
      <c r="N31" s="464"/>
      <c r="O31" s="464"/>
      <c r="P31" s="464"/>
      <c r="Q31" s="464"/>
      <c r="R31" s="464"/>
      <c r="S31" s="464"/>
    </row>
    <row r="32" spans="2:22" ht="18">
      <c r="B32" s="341" t="s">
        <v>336</v>
      </c>
      <c r="E32" s="11"/>
      <c r="F32" s="11"/>
      <c r="G32" s="11"/>
      <c r="H32" s="11"/>
      <c r="I32" s="11"/>
      <c r="J32" s="11"/>
      <c r="K32" s="11"/>
      <c r="L32" s="11"/>
      <c r="M32" s="11"/>
      <c r="N32" s="11"/>
      <c r="O32" s="11"/>
      <c r="P32" s="11"/>
      <c r="Q32" s="11"/>
      <c r="R32" s="11"/>
      <c r="S32" s="11"/>
    </row>
  </sheetData>
  <mergeCells count="16">
    <mergeCell ref="B20:B31"/>
    <mergeCell ref="B1:S1"/>
    <mergeCell ref="B3:S3"/>
    <mergeCell ref="B8:B19"/>
    <mergeCell ref="B5:B7"/>
    <mergeCell ref="C5:C7"/>
    <mergeCell ref="D5:S5"/>
    <mergeCell ref="D6:E6"/>
    <mergeCell ref="F6:G6"/>
    <mergeCell ref="H6:I6"/>
    <mergeCell ref="J6:K6"/>
    <mergeCell ref="L6:M6"/>
    <mergeCell ref="N6:O6"/>
    <mergeCell ref="B4:S4"/>
    <mergeCell ref="P6:Q6"/>
    <mergeCell ref="R6:S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pageSetUpPr fitToPage="1"/>
  </sheetPr>
  <dimension ref="B1:T34"/>
  <sheetViews>
    <sheetView zoomScale="106" zoomScaleNormal="106" workbookViewId="0">
      <selection activeCell="V14" sqref="V14"/>
    </sheetView>
  </sheetViews>
  <sheetFormatPr baseColWidth="10" defaultColWidth="10.90625" defaultRowHeight="12.75"/>
  <cols>
    <col min="1" max="1" width="2.453125" style="341" customWidth="1"/>
    <col min="2" max="2" width="6.453125" style="341" customWidth="1"/>
    <col min="3" max="3" width="8.36328125" style="341" customWidth="1"/>
    <col min="4" max="4" width="8.1796875" style="341" hidden="1" customWidth="1"/>
    <col min="5" max="5" width="8.453125" style="341" customWidth="1"/>
    <col min="6" max="6" width="8.453125" style="341" hidden="1" customWidth="1"/>
    <col min="7" max="7" width="8.453125" style="341" customWidth="1"/>
    <col min="8" max="8" width="8.453125" style="341" hidden="1" customWidth="1"/>
    <col min="9" max="9" width="8.453125" style="341" customWidth="1"/>
    <col min="10" max="10" width="8.453125" style="341" hidden="1" customWidth="1"/>
    <col min="11" max="11" width="8.453125" style="341" customWidth="1"/>
    <col min="12" max="12" width="8.453125" style="341" hidden="1" customWidth="1"/>
    <col min="13" max="13" width="8.453125" style="341" customWidth="1"/>
    <col min="14" max="14" width="8.453125" style="341" hidden="1" customWidth="1"/>
    <col min="15" max="15" width="8.453125" style="341" customWidth="1"/>
    <col min="16" max="16" width="8.453125" style="341" hidden="1" customWidth="1"/>
    <col min="17" max="17" width="8.453125" style="341" customWidth="1"/>
    <col min="18" max="18" width="8.453125" style="341" hidden="1" customWidth="1"/>
    <col min="19" max="19" width="9.36328125" style="341" customWidth="1"/>
    <col min="20" max="20" width="2.453125" style="341" customWidth="1"/>
    <col min="21" max="16384" width="10.90625" style="341"/>
  </cols>
  <sheetData>
    <row r="1" spans="2:20" s="340" customFormat="1" ht="12.75" customHeight="1">
      <c r="B1" s="767" t="s">
        <v>337</v>
      </c>
      <c r="C1" s="767"/>
      <c r="D1" s="767"/>
      <c r="E1" s="767"/>
      <c r="F1" s="767"/>
      <c r="G1" s="767"/>
      <c r="H1" s="767"/>
      <c r="I1" s="767"/>
      <c r="J1" s="767"/>
      <c r="K1" s="767"/>
      <c r="L1" s="767"/>
      <c r="M1" s="767"/>
      <c r="N1" s="767"/>
      <c r="O1" s="767"/>
      <c r="P1" s="767"/>
      <c r="Q1" s="767"/>
      <c r="R1" s="767"/>
      <c r="S1" s="767"/>
      <c r="T1" s="15"/>
    </row>
    <row r="2" spans="2:20" s="340" customFormat="1" ht="12.75" customHeight="1">
      <c r="B2" s="17"/>
      <c r="C2" s="17"/>
      <c r="D2" s="17"/>
      <c r="E2" s="17"/>
      <c r="F2" s="17"/>
      <c r="G2" s="17"/>
      <c r="H2" s="17"/>
      <c r="I2" s="17"/>
      <c r="J2" s="17"/>
      <c r="K2" s="17"/>
      <c r="L2" s="17"/>
      <c r="M2" s="17"/>
      <c r="N2" s="17"/>
      <c r="O2" s="17"/>
      <c r="P2" s="17"/>
      <c r="Q2" s="17"/>
      <c r="R2" s="17"/>
      <c r="S2" s="17"/>
      <c r="T2" s="15"/>
    </row>
    <row r="3" spans="2:20" s="340" customFormat="1" ht="12.75" customHeight="1">
      <c r="B3" s="767" t="s">
        <v>60</v>
      </c>
      <c r="C3" s="767"/>
      <c r="D3" s="767"/>
      <c r="E3" s="767"/>
      <c r="F3" s="767"/>
      <c r="G3" s="767"/>
      <c r="H3" s="767"/>
      <c r="I3" s="767"/>
      <c r="J3" s="767"/>
      <c r="K3" s="767"/>
      <c r="L3" s="767"/>
      <c r="M3" s="767"/>
      <c r="N3" s="767"/>
      <c r="O3" s="767"/>
      <c r="P3" s="767"/>
      <c r="Q3" s="767"/>
      <c r="R3" s="767"/>
      <c r="S3" s="767"/>
      <c r="T3" s="15"/>
    </row>
    <row r="4" spans="2:20" s="340" customFormat="1" ht="12.75" customHeight="1">
      <c r="B4" s="767" t="s">
        <v>180</v>
      </c>
      <c r="C4" s="767"/>
      <c r="D4" s="767"/>
      <c r="E4" s="767"/>
      <c r="F4" s="767"/>
      <c r="G4" s="767"/>
      <c r="H4" s="767"/>
      <c r="I4" s="767"/>
      <c r="J4" s="767"/>
      <c r="K4" s="767"/>
      <c r="L4" s="767"/>
      <c r="M4" s="767"/>
      <c r="N4" s="767"/>
      <c r="O4" s="767"/>
      <c r="P4" s="767"/>
      <c r="Q4" s="767"/>
      <c r="R4" s="767"/>
      <c r="S4" s="767"/>
      <c r="T4" s="17"/>
    </row>
    <row r="5" spans="2:20">
      <c r="B5" s="897" t="s">
        <v>181</v>
      </c>
      <c r="C5" s="897" t="s">
        <v>198</v>
      </c>
      <c r="D5" s="892" t="s">
        <v>329</v>
      </c>
      <c r="E5" s="893"/>
      <c r="F5" s="893"/>
      <c r="G5" s="893"/>
      <c r="H5" s="893"/>
      <c r="I5" s="893"/>
      <c r="J5" s="893"/>
      <c r="K5" s="893"/>
      <c r="L5" s="893"/>
      <c r="M5" s="893"/>
      <c r="N5" s="893"/>
      <c r="O5" s="893"/>
      <c r="P5" s="893"/>
      <c r="Q5" s="893"/>
      <c r="R5" s="893"/>
      <c r="S5" s="894"/>
    </row>
    <row r="6" spans="2:20" ht="66.75" customHeight="1">
      <c r="B6" s="898"/>
      <c r="C6" s="898"/>
      <c r="D6" s="895" t="s">
        <v>330</v>
      </c>
      <c r="E6" s="896"/>
      <c r="F6" s="892" t="s">
        <v>146</v>
      </c>
      <c r="G6" s="894"/>
      <c r="H6" s="892" t="s">
        <v>148</v>
      </c>
      <c r="I6" s="894"/>
      <c r="J6" s="892" t="s">
        <v>331</v>
      </c>
      <c r="K6" s="894"/>
      <c r="L6" s="892" t="s">
        <v>150</v>
      </c>
      <c r="M6" s="894"/>
      <c r="N6" s="892" t="s">
        <v>332</v>
      </c>
      <c r="O6" s="894"/>
      <c r="P6" s="895" t="s">
        <v>333</v>
      </c>
      <c r="Q6" s="896"/>
      <c r="R6" s="900" t="s">
        <v>147</v>
      </c>
      <c r="S6" s="900"/>
    </row>
    <row r="7" spans="2:20">
      <c r="B7" s="899"/>
      <c r="C7" s="899"/>
      <c r="D7" s="343" t="s">
        <v>334</v>
      </c>
      <c r="E7" s="343" t="s">
        <v>335</v>
      </c>
      <c r="F7" s="343" t="s">
        <v>334</v>
      </c>
      <c r="G7" s="343" t="s">
        <v>335</v>
      </c>
      <c r="H7" s="343" t="s">
        <v>334</v>
      </c>
      <c r="I7" s="343" t="s">
        <v>335</v>
      </c>
      <c r="J7" s="343" t="s">
        <v>334</v>
      </c>
      <c r="K7" s="343" t="s">
        <v>335</v>
      </c>
      <c r="L7" s="343" t="s">
        <v>334</v>
      </c>
      <c r="M7" s="343" t="s">
        <v>335</v>
      </c>
      <c r="N7" s="343" t="s">
        <v>334</v>
      </c>
      <c r="O7" s="343" t="s">
        <v>335</v>
      </c>
      <c r="P7" s="343" t="s">
        <v>334</v>
      </c>
      <c r="Q7" s="343" t="s">
        <v>335</v>
      </c>
      <c r="R7" s="343" t="s">
        <v>334</v>
      </c>
      <c r="S7" s="343" t="s">
        <v>335</v>
      </c>
    </row>
    <row r="8" spans="2:20">
      <c r="B8" s="888">
        <v>2021</v>
      </c>
      <c r="C8" s="462" t="s">
        <v>200</v>
      </c>
      <c r="D8" s="463">
        <v>38305</v>
      </c>
      <c r="E8" s="306">
        <v>61100</v>
      </c>
      <c r="F8" s="306">
        <v>32167</v>
      </c>
      <c r="G8" s="306">
        <v>38903</v>
      </c>
      <c r="H8" s="306">
        <v>41737</v>
      </c>
      <c r="I8" s="306">
        <v>43085</v>
      </c>
      <c r="J8" s="306">
        <v>16102</v>
      </c>
      <c r="K8" s="306">
        <v>29929</v>
      </c>
      <c r="L8" s="306">
        <v>9802</v>
      </c>
      <c r="M8" s="306">
        <v>42085</v>
      </c>
      <c r="N8" s="306">
        <v>119206</v>
      </c>
      <c r="O8" s="306">
        <v>122112</v>
      </c>
      <c r="P8" s="306">
        <v>84160</v>
      </c>
      <c r="Q8" s="306">
        <v>77069</v>
      </c>
      <c r="R8" s="306">
        <v>272031</v>
      </c>
      <c r="S8" s="306">
        <v>304287</v>
      </c>
    </row>
    <row r="9" spans="2:20">
      <c r="B9" s="889"/>
      <c r="C9" s="462" t="s">
        <v>201</v>
      </c>
      <c r="D9" s="463">
        <v>63043</v>
      </c>
      <c r="E9" s="306">
        <v>55310</v>
      </c>
      <c r="F9" s="306">
        <v>38903</v>
      </c>
      <c r="G9" s="306">
        <v>39903</v>
      </c>
      <c r="H9" s="306">
        <v>43085</v>
      </c>
      <c r="I9" s="306">
        <v>44551</v>
      </c>
      <c r="J9" s="306">
        <v>29929</v>
      </c>
      <c r="K9" s="306">
        <v>27971</v>
      </c>
      <c r="L9" s="306">
        <v>42085</v>
      </c>
      <c r="M9" s="306">
        <v>45271</v>
      </c>
      <c r="N9" s="306">
        <v>122112</v>
      </c>
      <c r="O9" s="306">
        <v>144521</v>
      </c>
      <c r="P9" s="306">
        <v>77069</v>
      </c>
      <c r="Q9" s="306">
        <v>107249</v>
      </c>
      <c r="R9" s="306">
        <v>304287</v>
      </c>
      <c r="S9" s="306">
        <v>331274</v>
      </c>
    </row>
    <row r="10" spans="2:20">
      <c r="B10" s="889"/>
      <c r="C10" s="462" t="s">
        <v>202</v>
      </c>
      <c r="D10" s="463">
        <v>69207</v>
      </c>
      <c r="E10" s="306">
        <v>47721</v>
      </c>
      <c r="F10" s="306">
        <v>39903</v>
      </c>
      <c r="G10" s="306">
        <v>33721</v>
      </c>
      <c r="H10" s="306">
        <v>44551</v>
      </c>
      <c r="I10" s="306">
        <v>36290</v>
      </c>
      <c r="J10" s="306">
        <v>27971</v>
      </c>
      <c r="K10" s="306">
        <v>24817</v>
      </c>
      <c r="L10" s="306">
        <v>45271</v>
      </c>
      <c r="M10" s="306">
        <v>44130</v>
      </c>
      <c r="N10" s="306">
        <v>144521</v>
      </c>
      <c r="O10" s="306">
        <v>160099</v>
      </c>
      <c r="P10" s="306">
        <v>107249</v>
      </c>
      <c r="Q10" s="306">
        <v>123149</v>
      </c>
      <c r="R10" s="306">
        <v>331274</v>
      </c>
      <c r="S10" s="306">
        <v>353356</v>
      </c>
    </row>
    <row r="11" spans="2:20">
      <c r="B11" s="889"/>
      <c r="C11" s="462" t="s">
        <v>203</v>
      </c>
      <c r="D11" s="463">
        <v>61024</v>
      </c>
      <c r="E11" s="306">
        <v>43033</v>
      </c>
      <c r="F11" s="306">
        <v>33721</v>
      </c>
      <c r="G11" s="306">
        <v>36793</v>
      </c>
      <c r="H11" s="306">
        <v>36290</v>
      </c>
      <c r="I11" s="306">
        <v>40641</v>
      </c>
      <c r="J11" s="306">
        <v>24817</v>
      </c>
      <c r="K11" s="306">
        <v>29927</v>
      </c>
      <c r="L11" s="306">
        <v>44130</v>
      </c>
      <c r="M11" s="306">
        <v>37641</v>
      </c>
      <c r="N11" s="306">
        <v>160099</v>
      </c>
      <c r="O11" s="306">
        <v>158127</v>
      </c>
      <c r="P11" s="306">
        <v>123149</v>
      </c>
      <c r="Q11" s="306">
        <v>131396</v>
      </c>
      <c r="R11" s="306">
        <v>353356</v>
      </c>
      <c r="S11" s="306">
        <v>320914</v>
      </c>
    </row>
    <row r="12" spans="2:20">
      <c r="B12" s="889"/>
      <c r="C12" s="462" t="s">
        <v>204</v>
      </c>
      <c r="D12" s="463">
        <v>51521</v>
      </c>
      <c r="E12" s="306">
        <v>56326</v>
      </c>
      <c r="F12" s="306">
        <v>36793</v>
      </c>
      <c r="G12" s="306">
        <v>32807</v>
      </c>
      <c r="H12" s="306">
        <v>40641</v>
      </c>
      <c r="I12" s="306">
        <v>36534</v>
      </c>
      <c r="J12" s="306">
        <v>29927</v>
      </c>
      <c r="K12" s="306">
        <v>23355</v>
      </c>
      <c r="L12" s="306">
        <v>37641</v>
      </c>
      <c r="M12" s="306">
        <v>31095</v>
      </c>
      <c r="N12" s="306">
        <v>158127</v>
      </c>
      <c r="O12" s="306">
        <v>158927</v>
      </c>
      <c r="P12" s="306">
        <v>131396</v>
      </c>
      <c r="Q12" s="306">
        <v>136412</v>
      </c>
      <c r="R12" s="306">
        <v>320914</v>
      </c>
      <c r="S12" s="306">
        <v>332822</v>
      </c>
    </row>
    <row r="13" spans="2:20">
      <c r="B13" s="889"/>
      <c r="C13" s="462" t="s">
        <v>205</v>
      </c>
      <c r="D13" s="463">
        <v>52914</v>
      </c>
      <c r="E13" s="306">
        <v>47921</v>
      </c>
      <c r="F13" s="306">
        <v>32807</v>
      </c>
      <c r="G13" s="306">
        <v>29329</v>
      </c>
      <c r="H13" s="306">
        <v>36534</v>
      </c>
      <c r="I13" s="306">
        <v>35758</v>
      </c>
      <c r="J13" s="306">
        <v>23355</v>
      </c>
      <c r="K13" s="306">
        <v>18603</v>
      </c>
      <c r="L13" s="306">
        <v>31095</v>
      </c>
      <c r="M13" s="306">
        <v>26678</v>
      </c>
      <c r="N13" s="306">
        <v>158927</v>
      </c>
      <c r="O13" s="306">
        <v>156067</v>
      </c>
      <c r="P13" s="306">
        <v>136412</v>
      </c>
      <c r="Q13" s="306">
        <v>127737</v>
      </c>
      <c r="R13" s="306">
        <v>332822</v>
      </c>
      <c r="S13" s="306">
        <v>291032</v>
      </c>
    </row>
    <row r="14" spans="2:20">
      <c r="B14" s="889"/>
      <c r="C14" s="462" t="s">
        <v>206</v>
      </c>
      <c r="D14" s="463">
        <v>51398</v>
      </c>
      <c r="E14" s="306">
        <v>40408</v>
      </c>
      <c r="F14" s="306">
        <v>29329</v>
      </c>
      <c r="G14" s="306">
        <v>29108</v>
      </c>
      <c r="H14" s="306">
        <v>35758</v>
      </c>
      <c r="I14" s="306">
        <v>28515</v>
      </c>
      <c r="J14" s="306">
        <v>18603</v>
      </c>
      <c r="K14" s="306">
        <v>20355</v>
      </c>
      <c r="L14" s="306">
        <v>26678</v>
      </c>
      <c r="M14" s="306">
        <v>24896</v>
      </c>
      <c r="N14" s="306">
        <v>156067</v>
      </c>
      <c r="O14" s="306">
        <v>152807</v>
      </c>
      <c r="P14" s="306">
        <v>127737</v>
      </c>
      <c r="Q14" s="306">
        <v>116982</v>
      </c>
      <c r="R14" s="306">
        <v>291032</v>
      </c>
      <c r="S14" s="306">
        <v>268699</v>
      </c>
    </row>
    <row r="15" spans="2:20">
      <c r="B15" s="889"/>
      <c r="C15" s="462" t="s">
        <v>207</v>
      </c>
      <c r="D15" s="463">
        <v>40756</v>
      </c>
      <c r="E15" s="306">
        <v>39087</v>
      </c>
      <c r="F15" s="306">
        <v>29108</v>
      </c>
      <c r="G15" s="306">
        <v>29994</v>
      </c>
      <c r="H15" s="306">
        <v>28515</v>
      </c>
      <c r="I15" s="306">
        <v>29993</v>
      </c>
      <c r="J15" s="306">
        <v>20355</v>
      </c>
      <c r="K15" s="306">
        <v>14117</v>
      </c>
      <c r="L15" s="306">
        <v>24896</v>
      </c>
      <c r="M15" s="306">
        <v>18576</v>
      </c>
      <c r="N15" s="306">
        <v>152807</v>
      </c>
      <c r="O15" s="306">
        <v>148101</v>
      </c>
      <c r="P15" s="306">
        <v>116982</v>
      </c>
      <c r="Q15" s="306">
        <v>108177</v>
      </c>
      <c r="R15" s="306">
        <v>268699</v>
      </c>
      <c r="S15" s="306">
        <v>263326</v>
      </c>
    </row>
    <row r="16" spans="2:20">
      <c r="B16" s="889"/>
      <c r="C16" s="462" t="s">
        <v>208</v>
      </c>
      <c r="D16" s="463">
        <v>29789</v>
      </c>
      <c r="E16" s="306">
        <v>41603</v>
      </c>
      <c r="F16" s="306">
        <v>29994</v>
      </c>
      <c r="G16" s="306">
        <v>22611</v>
      </c>
      <c r="H16" s="306">
        <v>29993</v>
      </c>
      <c r="I16" s="306">
        <v>22193</v>
      </c>
      <c r="J16" s="306">
        <v>14117</v>
      </c>
      <c r="K16" s="306">
        <v>10367</v>
      </c>
      <c r="L16" s="306">
        <v>18576</v>
      </c>
      <c r="M16" s="306">
        <v>13352</v>
      </c>
      <c r="N16" s="306">
        <v>148101</v>
      </c>
      <c r="O16" s="306">
        <v>143445</v>
      </c>
      <c r="P16" s="306">
        <v>108177</v>
      </c>
      <c r="Q16" s="306">
        <v>100549</v>
      </c>
      <c r="R16" s="306">
        <v>263326</v>
      </c>
      <c r="S16" s="306">
        <v>256617</v>
      </c>
    </row>
    <row r="17" spans="2:20">
      <c r="B17" s="889"/>
      <c r="C17" s="462" t="s">
        <v>209</v>
      </c>
      <c r="D17" s="463">
        <v>32479</v>
      </c>
      <c r="E17" s="306">
        <v>31425</v>
      </c>
      <c r="F17" s="306">
        <v>22611</v>
      </c>
      <c r="G17" s="306">
        <v>24625</v>
      </c>
      <c r="H17" s="306">
        <v>22193</v>
      </c>
      <c r="I17" s="306">
        <v>28125</v>
      </c>
      <c r="J17" s="306">
        <v>10367</v>
      </c>
      <c r="K17" s="306">
        <v>14362</v>
      </c>
      <c r="L17" s="306">
        <v>13352</v>
      </c>
      <c r="M17" s="306">
        <v>11054</v>
      </c>
      <c r="N17" s="306">
        <v>143445</v>
      </c>
      <c r="O17" s="306">
        <v>138618</v>
      </c>
      <c r="P17" s="306">
        <v>100549</v>
      </c>
      <c r="Q17" s="306">
        <v>91119</v>
      </c>
      <c r="R17" s="306">
        <v>256617</v>
      </c>
      <c r="S17" s="306">
        <v>226280</v>
      </c>
    </row>
    <row r="18" spans="2:20">
      <c r="B18" s="889"/>
      <c r="C18" s="462" t="s">
        <v>193</v>
      </c>
      <c r="D18" s="463">
        <v>27891</v>
      </c>
      <c r="E18" s="306">
        <v>22325</v>
      </c>
      <c r="F18" s="306">
        <v>24625</v>
      </c>
      <c r="G18" s="306">
        <v>20766</v>
      </c>
      <c r="H18" s="306">
        <v>28125</v>
      </c>
      <c r="I18" s="306">
        <v>21523</v>
      </c>
      <c r="J18" s="306">
        <v>14362</v>
      </c>
      <c r="K18" s="306">
        <v>9701</v>
      </c>
      <c r="L18" s="306">
        <v>11054</v>
      </c>
      <c r="M18" s="306">
        <v>8103</v>
      </c>
      <c r="N18" s="306">
        <v>138618</v>
      </c>
      <c r="O18" s="306">
        <v>131102</v>
      </c>
      <c r="P18" s="306">
        <v>91119</v>
      </c>
      <c r="Q18" s="306">
        <v>78020</v>
      </c>
      <c r="R18" s="306">
        <v>226280</v>
      </c>
      <c r="S18" s="306">
        <v>200910</v>
      </c>
    </row>
    <row r="19" spans="2:20">
      <c r="B19" s="890"/>
      <c r="C19" s="463" t="s">
        <v>194</v>
      </c>
      <c r="D19" s="463">
        <v>18264</v>
      </c>
      <c r="E19" s="306">
        <v>23089</v>
      </c>
      <c r="F19" s="306">
        <v>20766</v>
      </c>
      <c r="G19" s="306">
        <v>21452</v>
      </c>
      <c r="H19" s="306">
        <v>21523</v>
      </c>
      <c r="I19" s="306">
        <v>29233</v>
      </c>
      <c r="J19" s="306">
        <v>9701</v>
      </c>
      <c r="K19" s="306">
        <v>11386</v>
      </c>
      <c r="L19" s="306">
        <v>8103</v>
      </c>
      <c r="M19" s="306">
        <v>6086</v>
      </c>
      <c r="N19" s="306">
        <v>131102</v>
      </c>
      <c r="O19" s="306">
        <v>124165</v>
      </c>
      <c r="P19" s="306">
        <v>78020</v>
      </c>
      <c r="Q19" s="306">
        <v>71608</v>
      </c>
      <c r="R19" s="306">
        <v>200910</v>
      </c>
      <c r="S19" s="306">
        <v>231251</v>
      </c>
    </row>
    <row r="20" spans="2:20">
      <c r="B20" s="888">
        <v>2022</v>
      </c>
      <c r="C20" s="462" t="s">
        <v>200</v>
      </c>
      <c r="D20" s="463">
        <v>40225</v>
      </c>
      <c r="E20" s="464">
        <v>51878</v>
      </c>
      <c r="F20" s="464">
        <v>21452</v>
      </c>
      <c r="G20" s="464">
        <v>31981</v>
      </c>
      <c r="H20" s="464">
        <v>29233</v>
      </c>
      <c r="I20" s="464">
        <v>32849</v>
      </c>
      <c r="J20" s="464">
        <v>11386</v>
      </c>
      <c r="K20" s="464">
        <v>27691</v>
      </c>
      <c r="L20" s="464">
        <v>6086</v>
      </c>
      <c r="M20" s="464">
        <v>38437</v>
      </c>
      <c r="N20" s="464">
        <v>124165</v>
      </c>
      <c r="O20" s="464">
        <v>129577</v>
      </c>
      <c r="P20" s="464">
        <v>71608</v>
      </c>
      <c r="Q20" s="464">
        <v>68852</v>
      </c>
      <c r="R20" s="464">
        <v>231251</v>
      </c>
      <c r="S20" s="464">
        <v>306068</v>
      </c>
    </row>
    <row r="21" spans="2:20">
      <c r="B21" s="889"/>
      <c r="C21" s="462" t="s">
        <v>201</v>
      </c>
      <c r="D21" s="463">
        <v>51878</v>
      </c>
      <c r="E21" s="464">
        <v>48629</v>
      </c>
      <c r="F21" s="464">
        <v>31981</v>
      </c>
      <c r="G21" s="464">
        <v>32412</v>
      </c>
      <c r="H21" s="464">
        <v>32849</v>
      </c>
      <c r="I21" s="464">
        <v>26365</v>
      </c>
      <c r="J21" s="464">
        <v>27691</v>
      </c>
      <c r="K21" s="464">
        <v>48510</v>
      </c>
      <c r="L21" s="464">
        <v>38437</v>
      </c>
      <c r="M21" s="464">
        <v>42463</v>
      </c>
      <c r="N21" s="464">
        <v>129577</v>
      </c>
      <c r="O21" s="464">
        <v>170230</v>
      </c>
      <c r="P21" s="464">
        <v>68852</v>
      </c>
      <c r="Q21" s="464">
        <v>126367</v>
      </c>
      <c r="R21" s="464">
        <v>306068</v>
      </c>
      <c r="S21" s="464">
        <v>313775</v>
      </c>
    </row>
    <row r="22" spans="2:20">
      <c r="B22" s="889"/>
      <c r="C22" s="462" t="s">
        <v>202</v>
      </c>
      <c r="D22" s="463">
        <v>48629</v>
      </c>
      <c r="E22" s="464">
        <v>54025</v>
      </c>
      <c r="F22" s="464">
        <v>32412</v>
      </c>
      <c r="G22" s="464">
        <v>34832</v>
      </c>
      <c r="H22" s="464">
        <v>26365</v>
      </c>
      <c r="I22" s="464">
        <v>27867</v>
      </c>
      <c r="J22" s="464">
        <v>48510</v>
      </c>
      <c r="K22" s="464">
        <v>46859</v>
      </c>
      <c r="L22" s="464">
        <v>42463</v>
      </c>
      <c r="M22" s="464">
        <v>37813</v>
      </c>
      <c r="N22" s="464">
        <v>170230</v>
      </c>
      <c r="O22" s="464">
        <v>173213</v>
      </c>
      <c r="P22" s="464">
        <v>126367</v>
      </c>
      <c r="Q22" s="464">
        <v>141311</v>
      </c>
      <c r="R22" s="464">
        <v>313775</v>
      </c>
      <c r="S22" s="464">
        <v>298493</v>
      </c>
    </row>
    <row r="23" spans="2:20">
      <c r="B23" s="889"/>
      <c r="C23" s="462" t="s">
        <v>203</v>
      </c>
      <c r="D23" s="463">
        <v>54025</v>
      </c>
      <c r="E23" s="464">
        <v>47699</v>
      </c>
      <c r="F23" s="464">
        <v>34832</v>
      </c>
      <c r="G23" s="464">
        <v>31726</v>
      </c>
      <c r="H23" s="464">
        <v>27867</v>
      </c>
      <c r="I23" s="464">
        <v>26168</v>
      </c>
      <c r="J23" s="464">
        <v>46859</v>
      </c>
      <c r="K23" s="464">
        <v>40232</v>
      </c>
      <c r="L23" s="464">
        <v>37813</v>
      </c>
      <c r="M23" s="464">
        <v>31813</v>
      </c>
      <c r="N23" s="464">
        <v>173213</v>
      </c>
      <c r="O23" s="464">
        <v>170690</v>
      </c>
      <c r="P23" s="464">
        <v>141311</v>
      </c>
      <c r="Q23" s="464">
        <v>158660</v>
      </c>
      <c r="R23" s="464">
        <v>298493</v>
      </c>
      <c r="S23" s="464">
        <v>333944</v>
      </c>
    </row>
    <row r="24" spans="2:20" ht="13.7" customHeight="1">
      <c r="B24" s="889"/>
      <c r="C24" s="462" t="s">
        <v>204</v>
      </c>
      <c r="D24" s="463">
        <v>47699</v>
      </c>
      <c r="E24" s="464">
        <v>38242</v>
      </c>
      <c r="F24" s="464">
        <v>31726</v>
      </c>
      <c r="G24" s="464">
        <v>35604</v>
      </c>
      <c r="H24" s="464">
        <v>26168</v>
      </c>
      <c r="I24" s="464">
        <v>20249</v>
      </c>
      <c r="J24" s="464">
        <v>40232</v>
      </c>
      <c r="K24" s="464">
        <v>40065</v>
      </c>
      <c r="L24" s="464">
        <v>31813</v>
      </c>
      <c r="M24" s="464">
        <v>26172</v>
      </c>
      <c r="N24" s="464">
        <v>170690</v>
      </c>
      <c r="O24" s="464">
        <v>169759</v>
      </c>
      <c r="P24" s="464">
        <v>158660</v>
      </c>
      <c r="Q24" s="464">
        <v>152362</v>
      </c>
      <c r="R24" s="464">
        <v>333944</v>
      </c>
      <c r="S24" s="464">
        <v>301991</v>
      </c>
    </row>
    <row r="25" spans="2:20">
      <c r="B25" s="889"/>
      <c r="C25" s="462" t="s">
        <v>205</v>
      </c>
      <c r="D25" s="463">
        <v>38242</v>
      </c>
      <c r="E25" s="464">
        <v>36258</v>
      </c>
      <c r="F25" s="464">
        <v>35604</v>
      </c>
      <c r="G25" s="464">
        <v>33524</v>
      </c>
      <c r="H25" s="464">
        <v>20249</v>
      </c>
      <c r="I25" s="464">
        <v>19169</v>
      </c>
      <c r="J25" s="464">
        <v>40065</v>
      </c>
      <c r="K25" s="464">
        <v>33274</v>
      </c>
      <c r="L25" s="464">
        <v>26172</v>
      </c>
      <c r="M25" s="464">
        <v>25466</v>
      </c>
      <c r="N25" s="464">
        <v>169759</v>
      </c>
      <c r="O25" s="464">
        <v>168175</v>
      </c>
      <c r="P25" s="464">
        <v>152362</v>
      </c>
      <c r="Q25" s="464">
        <v>150032</v>
      </c>
      <c r="R25" s="464">
        <v>301991</v>
      </c>
      <c r="S25" s="464">
        <v>262791</v>
      </c>
    </row>
    <row r="26" spans="2:20">
      <c r="B26" s="889"/>
      <c r="C26" s="462" t="s">
        <v>206</v>
      </c>
      <c r="D26" s="463"/>
      <c r="E26" s="464"/>
      <c r="F26" s="464"/>
      <c r="G26" s="464"/>
      <c r="H26" s="464"/>
      <c r="I26" s="464"/>
      <c r="J26" s="464"/>
      <c r="K26" s="464"/>
      <c r="L26" s="464"/>
      <c r="M26" s="464"/>
      <c r="N26" s="464"/>
      <c r="O26" s="464"/>
      <c r="P26" s="464"/>
      <c r="Q26" s="464"/>
      <c r="R26" s="464"/>
      <c r="S26" s="464"/>
    </row>
    <row r="27" spans="2:20">
      <c r="B27" s="889"/>
      <c r="C27" s="462" t="s">
        <v>207</v>
      </c>
      <c r="D27" s="463"/>
      <c r="E27" s="464"/>
      <c r="F27" s="464"/>
      <c r="G27" s="464"/>
      <c r="H27" s="464"/>
      <c r="I27" s="464"/>
      <c r="J27" s="464"/>
      <c r="K27" s="464"/>
      <c r="L27" s="464"/>
      <c r="M27" s="464"/>
      <c r="N27" s="464"/>
      <c r="O27" s="464"/>
      <c r="P27" s="464"/>
      <c r="Q27" s="464"/>
      <c r="R27" s="464"/>
      <c r="S27" s="464"/>
    </row>
    <row r="28" spans="2:20">
      <c r="B28" s="889"/>
      <c r="C28" s="462" t="s">
        <v>208</v>
      </c>
      <c r="D28" s="463"/>
      <c r="E28" s="464"/>
      <c r="F28" s="464"/>
      <c r="G28" s="464"/>
      <c r="H28" s="464"/>
      <c r="I28" s="464"/>
      <c r="J28" s="464"/>
      <c r="K28" s="464"/>
      <c r="L28" s="464"/>
      <c r="M28" s="464"/>
      <c r="N28" s="464"/>
      <c r="O28" s="464"/>
      <c r="P28" s="464"/>
      <c r="Q28" s="464"/>
      <c r="R28" s="464"/>
      <c r="S28" s="464"/>
    </row>
    <row r="29" spans="2:20" ht="14.25">
      <c r="B29" s="889"/>
      <c r="C29" s="462" t="s">
        <v>209</v>
      </c>
      <c r="D29" s="463"/>
      <c r="E29" s="464"/>
      <c r="F29" s="464"/>
      <c r="G29" s="464"/>
      <c r="H29" s="464"/>
      <c r="I29" s="464"/>
      <c r="J29" s="464"/>
      <c r="K29" s="464"/>
      <c r="L29" s="464"/>
      <c r="M29" s="464"/>
      <c r="N29" s="464"/>
      <c r="O29" s="464"/>
      <c r="P29" s="464"/>
      <c r="Q29" s="464"/>
      <c r="R29" s="464"/>
      <c r="S29" s="464"/>
      <c r="T29" s="435"/>
    </row>
    <row r="30" spans="2:20" ht="14.25">
      <c r="B30" s="889"/>
      <c r="C30" s="462" t="s">
        <v>193</v>
      </c>
      <c r="D30" s="463"/>
      <c r="E30" s="464"/>
      <c r="F30" s="464"/>
      <c r="G30" s="464"/>
      <c r="H30" s="464"/>
      <c r="I30" s="464"/>
      <c r="J30" s="464"/>
      <c r="K30" s="464"/>
      <c r="L30" s="464"/>
      <c r="M30" s="464"/>
      <c r="N30" s="464"/>
      <c r="O30" s="464"/>
      <c r="P30" s="464"/>
      <c r="Q30" s="464"/>
      <c r="R30" s="464"/>
      <c r="S30" s="464"/>
      <c r="T30" s="438"/>
    </row>
    <row r="31" spans="2:20">
      <c r="B31" s="890"/>
      <c r="C31" s="462" t="s">
        <v>194</v>
      </c>
      <c r="D31" s="463"/>
      <c r="E31" s="464"/>
      <c r="F31" s="464"/>
      <c r="G31" s="464"/>
      <c r="H31" s="464"/>
      <c r="I31" s="464"/>
      <c r="J31" s="464"/>
      <c r="K31" s="464"/>
      <c r="L31" s="464"/>
      <c r="M31" s="464"/>
      <c r="N31" s="464"/>
      <c r="O31" s="464"/>
      <c r="P31" s="464"/>
      <c r="Q31" s="464"/>
      <c r="R31" s="464"/>
      <c r="S31" s="464"/>
    </row>
    <row r="32" spans="2:20">
      <c r="B32" s="341" t="s">
        <v>336</v>
      </c>
    </row>
    <row r="34" spans="5:20" ht="18">
      <c r="E34" s="484"/>
      <c r="F34" s="484"/>
      <c r="G34" s="484"/>
      <c r="H34" s="484"/>
      <c r="I34" s="484"/>
      <c r="J34" s="484"/>
      <c r="K34" s="484"/>
      <c r="L34" s="484"/>
      <c r="M34" s="484"/>
      <c r="N34" s="484"/>
      <c r="O34" s="484"/>
      <c r="P34" s="484"/>
      <c r="Q34" s="484"/>
      <c r="R34" s="484"/>
      <c r="S34" s="484"/>
      <c r="T34" s="484"/>
    </row>
  </sheetData>
  <mergeCells count="16">
    <mergeCell ref="B8:B19"/>
    <mergeCell ref="C5:C7"/>
    <mergeCell ref="D5:S5"/>
    <mergeCell ref="B20:B31"/>
    <mergeCell ref="B1:S1"/>
    <mergeCell ref="B3:S3"/>
    <mergeCell ref="B4:S4"/>
    <mergeCell ref="J6:K6"/>
    <mergeCell ref="H6:I6"/>
    <mergeCell ref="F6:G6"/>
    <mergeCell ref="D6:E6"/>
    <mergeCell ref="R6:S6"/>
    <mergeCell ref="P6:Q6"/>
    <mergeCell ref="N6:O6"/>
    <mergeCell ref="L6:M6"/>
    <mergeCell ref="B5:B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pageSetUpPr fitToPage="1"/>
  </sheetPr>
  <dimension ref="B1:N32"/>
  <sheetViews>
    <sheetView zoomScale="90" zoomScaleNormal="90" workbookViewId="0">
      <selection activeCell="O19" sqref="O19"/>
    </sheetView>
  </sheetViews>
  <sheetFormatPr baseColWidth="10" defaultColWidth="10.90625" defaultRowHeight="14.25"/>
  <cols>
    <col min="1" max="1" width="1.453125" style="297" customWidth="1"/>
    <col min="2" max="2" width="5.26953125" style="297" customWidth="1"/>
    <col min="3" max="3" width="7.26953125" style="297" customWidth="1"/>
    <col min="4" max="11" width="9.26953125" style="297" customWidth="1"/>
    <col min="12" max="12" width="2.08984375" style="297" customWidth="1"/>
    <col min="13" max="16384" width="10.90625" style="297"/>
  </cols>
  <sheetData>
    <row r="1" spans="2:12" ht="15">
      <c r="B1" s="767" t="s">
        <v>338</v>
      </c>
      <c r="C1" s="767"/>
      <c r="D1" s="767"/>
      <c r="E1" s="767"/>
      <c r="F1" s="767"/>
      <c r="G1" s="767"/>
      <c r="H1" s="767"/>
      <c r="I1" s="767"/>
      <c r="J1" s="767"/>
      <c r="K1" s="767"/>
      <c r="L1" s="344"/>
    </row>
    <row r="2" spans="2:12" ht="15">
      <c r="B2" s="17"/>
      <c r="C2" s="17"/>
      <c r="D2" s="17"/>
      <c r="E2" s="17"/>
      <c r="F2" s="17"/>
      <c r="G2" s="17"/>
      <c r="H2" s="17"/>
      <c r="I2" s="17"/>
      <c r="J2" s="17"/>
      <c r="K2" s="17"/>
      <c r="L2" s="344"/>
    </row>
    <row r="3" spans="2:12" ht="15">
      <c r="B3" s="767" t="s">
        <v>62</v>
      </c>
      <c r="C3" s="767"/>
      <c r="D3" s="767"/>
      <c r="E3" s="767"/>
      <c r="F3" s="767"/>
      <c r="G3" s="767"/>
      <c r="H3" s="767"/>
      <c r="I3" s="767"/>
      <c r="J3" s="767"/>
      <c r="K3" s="767"/>
      <c r="L3" s="344"/>
    </row>
    <row r="4" spans="2:12" ht="15">
      <c r="B4" s="767" t="s">
        <v>180</v>
      </c>
      <c r="C4" s="767"/>
      <c r="D4" s="767"/>
      <c r="E4" s="767"/>
      <c r="F4" s="767"/>
      <c r="G4" s="767"/>
      <c r="H4" s="767"/>
      <c r="I4" s="767"/>
      <c r="J4" s="767"/>
      <c r="K4" s="767"/>
      <c r="L4" s="344"/>
    </row>
    <row r="5" spans="2:12">
      <c r="B5" s="901" t="s">
        <v>181</v>
      </c>
      <c r="C5" s="901" t="s">
        <v>198</v>
      </c>
      <c r="D5" s="892" t="s">
        <v>329</v>
      </c>
      <c r="E5" s="893"/>
      <c r="F5" s="893"/>
      <c r="G5" s="893"/>
      <c r="H5" s="893"/>
      <c r="I5" s="893"/>
      <c r="J5" s="893"/>
      <c r="K5" s="894"/>
    </row>
    <row r="6" spans="2:12" ht="54" customHeight="1">
      <c r="B6" s="901"/>
      <c r="C6" s="901"/>
      <c r="D6" s="353" t="s">
        <v>330</v>
      </c>
      <c r="E6" s="346" t="s">
        <v>146</v>
      </c>
      <c r="F6" s="346" t="s">
        <v>148</v>
      </c>
      <c r="G6" s="346" t="s">
        <v>323</v>
      </c>
      <c r="H6" s="346" t="s">
        <v>332</v>
      </c>
      <c r="I6" s="346" t="s">
        <v>150</v>
      </c>
      <c r="J6" s="353" t="s">
        <v>333</v>
      </c>
      <c r="K6" s="343" t="s">
        <v>147</v>
      </c>
      <c r="L6" s="345"/>
    </row>
    <row r="7" spans="2:12">
      <c r="B7" s="888">
        <v>2021</v>
      </c>
      <c r="C7" s="462" t="s">
        <v>200</v>
      </c>
      <c r="D7" s="464">
        <v>27605</v>
      </c>
      <c r="E7" s="464">
        <v>15095</v>
      </c>
      <c r="F7" s="464">
        <v>9146</v>
      </c>
      <c r="G7" s="464">
        <v>24407</v>
      </c>
      <c r="H7" s="464">
        <v>11052</v>
      </c>
      <c r="I7" s="464">
        <v>41088</v>
      </c>
      <c r="J7" s="464">
        <v>3918</v>
      </c>
      <c r="K7" s="464">
        <v>66414</v>
      </c>
    </row>
    <row r="8" spans="2:12">
      <c r="B8" s="889"/>
      <c r="C8" s="462" t="s">
        <v>201</v>
      </c>
      <c r="D8" s="464">
        <v>5948</v>
      </c>
      <c r="E8" s="464">
        <v>3833</v>
      </c>
      <c r="F8" s="464">
        <v>2569</v>
      </c>
      <c r="G8" s="464">
        <v>14880</v>
      </c>
      <c r="H8" s="464">
        <v>32391</v>
      </c>
      <c r="I8" s="464">
        <v>11084</v>
      </c>
      <c r="J8" s="464">
        <v>38995</v>
      </c>
      <c r="K8" s="464">
        <v>46744</v>
      </c>
    </row>
    <row r="9" spans="2:12">
      <c r="B9" s="889"/>
      <c r="C9" s="462" t="s">
        <v>202</v>
      </c>
      <c r="D9" s="464">
        <v>3192</v>
      </c>
      <c r="E9" s="464">
        <v>1882</v>
      </c>
      <c r="F9" s="464">
        <v>430</v>
      </c>
      <c r="G9" s="464">
        <v>9144</v>
      </c>
      <c r="H9" s="464">
        <v>24928</v>
      </c>
      <c r="I9" s="464">
        <v>8023</v>
      </c>
      <c r="J9" s="464">
        <v>28937</v>
      </c>
      <c r="K9" s="464">
        <v>25587</v>
      </c>
    </row>
    <row r="10" spans="2:12">
      <c r="B10" s="889"/>
      <c r="C10" s="462" t="s">
        <v>203</v>
      </c>
      <c r="D10" s="464">
        <v>3676</v>
      </c>
      <c r="E10" s="464">
        <v>1174</v>
      </c>
      <c r="F10" s="464">
        <v>898</v>
      </c>
      <c r="G10" s="464">
        <v>6588</v>
      </c>
      <c r="H10" s="464">
        <v>6558</v>
      </c>
      <c r="I10" s="464">
        <v>4436</v>
      </c>
      <c r="J10" s="464">
        <v>20874</v>
      </c>
      <c r="K10" s="464">
        <v>22468</v>
      </c>
    </row>
    <row r="11" spans="2:12">
      <c r="B11" s="889"/>
      <c r="C11" s="462" t="s">
        <v>204</v>
      </c>
      <c r="D11" s="464">
        <v>4380</v>
      </c>
      <c r="E11" s="464">
        <v>3887</v>
      </c>
      <c r="F11" s="464">
        <v>67</v>
      </c>
      <c r="G11" s="464">
        <v>2882</v>
      </c>
      <c r="H11" s="464">
        <v>9371</v>
      </c>
      <c r="I11" s="464">
        <v>3033</v>
      </c>
      <c r="J11" s="464">
        <v>17552</v>
      </c>
      <c r="K11" s="464">
        <v>17746</v>
      </c>
    </row>
    <row r="12" spans="2:12">
      <c r="B12" s="889"/>
      <c r="C12" s="462" t="s">
        <v>205</v>
      </c>
      <c r="D12" s="464">
        <v>3113</v>
      </c>
      <c r="E12" s="464">
        <v>1264</v>
      </c>
      <c r="F12" s="464">
        <v>846</v>
      </c>
      <c r="G12" s="464">
        <v>3856</v>
      </c>
      <c r="H12" s="464">
        <v>7544</v>
      </c>
      <c r="I12" s="464">
        <v>5088</v>
      </c>
      <c r="J12" s="464">
        <v>3592</v>
      </c>
      <c r="K12" s="464">
        <v>13942</v>
      </c>
    </row>
    <row r="13" spans="2:12">
      <c r="B13" s="889"/>
      <c r="C13" s="462" t="s">
        <v>206</v>
      </c>
      <c r="D13" s="464">
        <v>5515</v>
      </c>
      <c r="E13" s="464">
        <v>2772</v>
      </c>
      <c r="F13" s="464">
        <v>965</v>
      </c>
      <c r="G13" s="464">
        <v>2689</v>
      </c>
      <c r="H13" s="464">
        <v>6594</v>
      </c>
      <c r="I13" s="464">
        <v>5638</v>
      </c>
      <c r="J13" s="464">
        <v>1914</v>
      </c>
      <c r="K13" s="464">
        <v>23640</v>
      </c>
    </row>
    <row r="14" spans="2:12">
      <c r="B14" s="889"/>
      <c r="C14" s="462" t="s">
        <v>207</v>
      </c>
      <c r="D14" s="464">
        <v>4309</v>
      </c>
      <c r="E14" s="464">
        <v>2063</v>
      </c>
      <c r="F14" s="464">
        <v>1259</v>
      </c>
      <c r="G14" s="464">
        <v>1715</v>
      </c>
      <c r="H14" s="464">
        <v>5072</v>
      </c>
      <c r="I14" s="464">
        <v>3902</v>
      </c>
      <c r="J14" s="464">
        <v>5640</v>
      </c>
      <c r="K14" s="464">
        <v>25303</v>
      </c>
    </row>
    <row r="15" spans="2:12">
      <c r="B15" s="889"/>
      <c r="C15" s="462" t="s">
        <v>208</v>
      </c>
      <c r="D15" s="464">
        <v>1304</v>
      </c>
      <c r="E15" s="464">
        <v>2761</v>
      </c>
      <c r="F15" s="464">
        <v>1306</v>
      </c>
      <c r="G15" s="464">
        <v>1668</v>
      </c>
      <c r="H15" s="464">
        <v>4047</v>
      </c>
      <c r="I15" s="464">
        <v>4213</v>
      </c>
      <c r="J15" s="464">
        <v>4446</v>
      </c>
      <c r="K15" s="464">
        <v>17067</v>
      </c>
    </row>
    <row r="16" spans="2:12">
      <c r="B16" s="889"/>
      <c r="C16" s="462" t="s">
        <v>209</v>
      </c>
      <c r="D16" s="464">
        <v>2645</v>
      </c>
      <c r="E16" s="464">
        <v>2227</v>
      </c>
      <c r="F16" s="464">
        <v>920</v>
      </c>
      <c r="G16" s="464">
        <v>3105</v>
      </c>
      <c r="H16" s="464">
        <v>5416</v>
      </c>
      <c r="I16" s="464">
        <v>6410</v>
      </c>
      <c r="J16" s="464">
        <v>2892</v>
      </c>
      <c r="K16" s="464">
        <v>20034</v>
      </c>
    </row>
    <row r="17" spans="2:14">
      <c r="B17" s="889"/>
      <c r="C17" s="462" t="s">
        <v>193</v>
      </c>
      <c r="D17" s="464">
        <v>1831</v>
      </c>
      <c r="E17" s="464">
        <v>1177</v>
      </c>
      <c r="F17" s="464">
        <v>18</v>
      </c>
      <c r="G17" s="464">
        <v>1953</v>
      </c>
      <c r="H17" s="464">
        <v>2447</v>
      </c>
      <c r="I17" s="464">
        <v>4366</v>
      </c>
      <c r="J17" s="464">
        <v>0</v>
      </c>
      <c r="K17" s="464">
        <v>22172</v>
      </c>
    </row>
    <row r="18" spans="2:14">
      <c r="B18" s="890"/>
      <c r="C18" s="462" t="s">
        <v>194</v>
      </c>
      <c r="D18" s="464">
        <v>10647</v>
      </c>
      <c r="E18" s="464">
        <v>1381</v>
      </c>
      <c r="F18" s="464">
        <v>9879</v>
      </c>
      <c r="G18" s="464">
        <v>5554</v>
      </c>
      <c r="H18" s="464">
        <v>2203</v>
      </c>
      <c r="I18" s="464">
        <v>4307</v>
      </c>
      <c r="J18" s="464">
        <v>2644</v>
      </c>
      <c r="K18" s="464">
        <v>39571</v>
      </c>
    </row>
    <row r="19" spans="2:14">
      <c r="B19" s="888">
        <v>2022</v>
      </c>
      <c r="C19" s="462" t="s">
        <v>200</v>
      </c>
      <c r="D19" s="464">
        <v>33633</v>
      </c>
      <c r="E19" s="464">
        <v>13317</v>
      </c>
      <c r="F19" s="464">
        <v>6795</v>
      </c>
      <c r="G19" s="464">
        <v>29747</v>
      </c>
      <c r="H19" s="464">
        <v>15369</v>
      </c>
      <c r="I19" s="464">
        <v>41453</v>
      </c>
      <c r="J19" s="464">
        <v>7857</v>
      </c>
      <c r="K19" s="464">
        <v>70937</v>
      </c>
      <c r="L19" s="25"/>
      <c r="N19" s="297" t="s">
        <v>663</v>
      </c>
    </row>
    <row r="20" spans="2:14">
      <c r="B20" s="889"/>
      <c r="C20" s="462" t="s">
        <v>201</v>
      </c>
      <c r="D20" s="464">
        <v>6523</v>
      </c>
      <c r="E20" s="464">
        <v>6966</v>
      </c>
      <c r="F20" s="464">
        <v>1355</v>
      </c>
      <c r="G20" s="464">
        <v>19625</v>
      </c>
      <c r="H20" s="464">
        <v>51344</v>
      </c>
      <c r="I20" s="464">
        <v>12074</v>
      </c>
      <c r="J20" s="464">
        <v>68766</v>
      </c>
      <c r="K20" s="464">
        <v>33688</v>
      </c>
      <c r="L20" s="25"/>
    </row>
    <row r="21" spans="2:14">
      <c r="B21" s="889"/>
      <c r="C21" s="462" t="s">
        <v>202</v>
      </c>
      <c r="D21" s="464">
        <v>2958</v>
      </c>
      <c r="E21" s="464">
        <v>1340</v>
      </c>
      <c r="F21" s="464">
        <v>1096</v>
      </c>
      <c r="G21" s="464">
        <v>5459</v>
      </c>
      <c r="H21" s="464">
        <v>17485</v>
      </c>
      <c r="I21" s="464">
        <v>4154</v>
      </c>
      <c r="J21" s="464">
        <v>30143</v>
      </c>
      <c r="K21" s="464">
        <v>26559</v>
      </c>
      <c r="L21" s="25"/>
    </row>
    <row r="22" spans="2:14">
      <c r="B22" s="889"/>
      <c r="C22" s="462" t="s">
        <v>203</v>
      </c>
      <c r="D22" s="464">
        <v>4665</v>
      </c>
      <c r="E22" s="464">
        <v>788</v>
      </c>
      <c r="F22" s="464">
        <v>167</v>
      </c>
      <c r="G22" s="464">
        <v>2558</v>
      </c>
      <c r="H22" s="464">
        <v>8201</v>
      </c>
      <c r="I22" s="464">
        <v>2653</v>
      </c>
      <c r="J22" s="464">
        <v>27894</v>
      </c>
      <c r="K22" s="464">
        <v>22455</v>
      </c>
      <c r="L22" s="25"/>
    </row>
    <row r="23" spans="2:14">
      <c r="B23" s="889"/>
      <c r="C23" s="462" t="s">
        <v>204</v>
      </c>
      <c r="D23" s="464">
        <v>1662</v>
      </c>
      <c r="E23" s="464">
        <v>827</v>
      </c>
      <c r="F23" s="464">
        <v>669</v>
      </c>
      <c r="G23" s="464">
        <v>3672</v>
      </c>
      <c r="H23" s="464">
        <v>9213</v>
      </c>
      <c r="I23" s="464">
        <v>3072</v>
      </c>
      <c r="J23" s="464">
        <v>2882</v>
      </c>
      <c r="K23" s="464">
        <v>18179</v>
      </c>
      <c r="L23" s="25"/>
    </row>
    <row r="24" spans="2:14">
      <c r="B24" s="889"/>
      <c r="C24" s="462" t="s">
        <v>205</v>
      </c>
      <c r="D24" s="464">
        <v>5728</v>
      </c>
      <c r="E24" s="464">
        <v>838</v>
      </c>
      <c r="F24" s="464">
        <v>1306</v>
      </c>
      <c r="G24" s="464">
        <v>3994</v>
      </c>
      <c r="H24" s="464">
        <v>5078</v>
      </c>
      <c r="I24" s="464">
        <v>3612</v>
      </c>
      <c r="J24" s="464">
        <v>7079</v>
      </c>
      <c r="K24" s="464">
        <v>18202</v>
      </c>
      <c r="L24" s="25"/>
    </row>
    <row r="25" spans="2:14">
      <c r="B25" s="889"/>
      <c r="C25" s="462" t="s">
        <v>206</v>
      </c>
      <c r="D25" s="464"/>
      <c r="E25" s="464"/>
      <c r="F25" s="464"/>
      <c r="G25" s="464"/>
      <c r="H25" s="464"/>
      <c r="I25" s="464"/>
      <c r="J25" s="464"/>
      <c r="K25" s="464"/>
      <c r="L25" s="25"/>
    </row>
    <row r="26" spans="2:14">
      <c r="B26" s="889"/>
      <c r="C26" s="462" t="s">
        <v>207</v>
      </c>
      <c r="D26" s="464"/>
      <c r="E26" s="464"/>
      <c r="F26" s="464"/>
      <c r="G26" s="464"/>
      <c r="H26" s="464"/>
      <c r="I26" s="464"/>
      <c r="J26" s="464"/>
      <c r="K26" s="464"/>
      <c r="L26" s="25"/>
    </row>
    <row r="27" spans="2:14">
      <c r="B27" s="889"/>
      <c r="C27" s="462" t="s">
        <v>208</v>
      </c>
      <c r="D27" s="464"/>
      <c r="E27" s="464"/>
      <c r="F27" s="464"/>
      <c r="G27" s="464"/>
      <c r="H27" s="464"/>
      <c r="I27" s="464"/>
      <c r="J27" s="464"/>
      <c r="K27" s="464"/>
      <c r="L27" s="25"/>
    </row>
    <row r="28" spans="2:14">
      <c r="B28" s="889"/>
      <c r="C28" s="462" t="s">
        <v>209</v>
      </c>
      <c r="D28" s="464"/>
      <c r="E28" s="464"/>
      <c r="F28" s="464"/>
      <c r="G28" s="464"/>
      <c r="H28" s="464"/>
      <c r="I28" s="464"/>
      <c r="J28" s="464"/>
      <c r="K28" s="464"/>
      <c r="L28" s="25"/>
    </row>
    <row r="29" spans="2:14">
      <c r="B29" s="889"/>
      <c r="C29" s="462" t="s">
        <v>193</v>
      </c>
      <c r="D29" s="464"/>
      <c r="E29" s="464"/>
      <c r="F29" s="464"/>
      <c r="G29" s="464"/>
      <c r="H29" s="464"/>
      <c r="I29" s="464"/>
      <c r="J29" s="464"/>
      <c r="K29" s="464"/>
      <c r="L29" s="25"/>
    </row>
    <row r="30" spans="2:14">
      <c r="B30" s="890"/>
      <c r="C30" s="462" t="s">
        <v>194</v>
      </c>
      <c r="D30" s="464"/>
      <c r="E30" s="464"/>
      <c r="F30" s="464"/>
      <c r="G30" s="464"/>
      <c r="H30" s="464"/>
      <c r="I30" s="464"/>
      <c r="J30" s="464"/>
      <c r="K30" s="464"/>
      <c r="L30" s="25"/>
    </row>
    <row r="31" spans="2:14">
      <c r="B31" s="341" t="s">
        <v>336</v>
      </c>
      <c r="C31" s="341"/>
    </row>
    <row r="32" spans="2:14">
      <c r="C32" s="341"/>
    </row>
  </sheetData>
  <mergeCells count="8">
    <mergeCell ref="B7:B18"/>
    <mergeCell ref="B19:B30"/>
    <mergeCell ref="B1:K1"/>
    <mergeCell ref="D5:K5"/>
    <mergeCell ref="B3:K3"/>
    <mergeCell ref="B4:K4"/>
    <mergeCell ref="B5:B6"/>
    <mergeCell ref="C5:C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pageSetUpPr fitToPage="1"/>
  </sheetPr>
  <dimension ref="A1:L31"/>
  <sheetViews>
    <sheetView topLeftCell="A6" zoomScaleNormal="100" workbookViewId="0">
      <selection activeCell="L16" sqref="L16"/>
    </sheetView>
  </sheetViews>
  <sheetFormatPr baseColWidth="10" defaultColWidth="10.90625" defaultRowHeight="14.25" customHeight="1"/>
  <cols>
    <col min="1" max="1" width="6.453125" customWidth="1"/>
    <col min="2" max="10" width="8.453125" customWidth="1"/>
  </cols>
  <sheetData>
    <row r="1" spans="1:12" ht="14.25" customHeight="1">
      <c r="A1" s="767" t="s">
        <v>339</v>
      </c>
      <c r="B1" s="767"/>
      <c r="C1" s="767"/>
      <c r="D1" s="767"/>
      <c r="E1" s="767"/>
      <c r="F1" s="767"/>
      <c r="G1" s="767"/>
      <c r="H1" s="767"/>
      <c r="I1" s="767"/>
      <c r="J1" s="767"/>
    </row>
    <row r="2" spans="1:12" ht="14.25" customHeight="1">
      <c r="A2" s="17"/>
      <c r="B2" s="17"/>
      <c r="C2" s="17"/>
      <c r="D2" s="17"/>
      <c r="E2" s="17"/>
      <c r="F2" s="17"/>
      <c r="G2" s="17"/>
      <c r="H2" s="17"/>
      <c r="I2" s="17"/>
      <c r="J2" s="17"/>
    </row>
    <row r="3" spans="1:12" ht="14.25" customHeight="1">
      <c r="A3" s="767" t="s">
        <v>65</v>
      </c>
      <c r="B3" s="767"/>
      <c r="C3" s="767"/>
      <c r="D3" s="767"/>
      <c r="E3" s="767"/>
      <c r="F3" s="767"/>
      <c r="G3" s="767"/>
      <c r="H3" s="767"/>
      <c r="I3" s="767"/>
      <c r="J3" s="767"/>
    </row>
    <row r="4" spans="1:12" ht="14.25" customHeight="1">
      <c r="A4" s="767" t="s">
        <v>180</v>
      </c>
      <c r="B4" s="767"/>
      <c r="C4" s="767"/>
      <c r="D4" s="767"/>
      <c r="E4" s="767"/>
      <c r="F4" s="767"/>
      <c r="G4" s="767"/>
      <c r="H4" s="767"/>
      <c r="I4" s="767"/>
      <c r="J4" s="767"/>
    </row>
    <row r="5" spans="1:12" ht="14.25" customHeight="1">
      <c r="A5" s="901" t="s">
        <v>181</v>
      </c>
      <c r="B5" s="901" t="s">
        <v>198</v>
      </c>
      <c r="C5" s="892" t="s">
        <v>329</v>
      </c>
      <c r="D5" s="893"/>
      <c r="E5" s="893"/>
      <c r="F5" s="893"/>
      <c r="G5" s="893"/>
      <c r="H5" s="893"/>
      <c r="I5" s="893"/>
      <c r="J5" s="894"/>
    </row>
    <row r="6" spans="1:12" ht="56.25" customHeight="1">
      <c r="A6" s="901"/>
      <c r="B6" s="901"/>
      <c r="C6" s="353" t="s">
        <v>330</v>
      </c>
      <c r="D6" s="346" t="s">
        <v>146</v>
      </c>
      <c r="E6" s="346" t="s">
        <v>148</v>
      </c>
      <c r="F6" s="346" t="s">
        <v>323</v>
      </c>
      <c r="G6" s="346" t="s">
        <v>332</v>
      </c>
      <c r="H6" s="346" t="s">
        <v>150</v>
      </c>
      <c r="I6" s="353" t="s">
        <v>333</v>
      </c>
      <c r="J6" s="343" t="s">
        <v>147</v>
      </c>
    </row>
    <row r="7" spans="1:12" ht="14.25" customHeight="1">
      <c r="A7" s="888">
        <v>2021</v>
      </c>
      <c r="B7" s="462" t="s">
        <v>200</v>
      </c>
      <c r="C7" s="464">
        <v>9616</v>
      </c>
      <c r="D7" s="464">
        <v>5047</v>
      </c>
      <c r="E7" s="464">
        <v>583</v>
      </c>
      <c r="F7" s="464">
        <v>2029</v>
      </c>
      <c r="G7" s="464">
        <v>0</v>
      </c>
      <c r="H7" s="464">
        <v>0</v>
      </c>
      <c r="I7" s="464">
        <v>1000</v>
      </c>
      <c r="J7" s="464">
        <v>34648</v>
      </c>
    </row>
    <row r="8" spans="1:12" ht="14.25" customHeight="1">
      <c r="A8" s="889"/>
      <c r="B8" s="462" t="s">
        <v>201</v>
      </c>
      <c r="C8" s="464">
        <v>27</v>
      </c>
      <c r="D8" s="464">
        <v>6693</v>
      </c>
      <c r="E8" s="464">
        <v>6721</v>
      </c>
      <c r="F8" s="464">
        <v>0</v>
      </c>
      <c r="G8" s="464">
        <v>0</v>
      </c>
      <c r="H8" s="464">
        <v>0</v>
      </c>
      <c r="I8" s="464">
        <v>732</v>
      </c>
      <c r="J8" s="464">
        <v>44949</v>
      </c>
    </row>
    <row r="9" spans="1:12" ht="14.25" customHeight="1">
      <c r="A9" s="889"/>
      <c r="B9" s="462" t="s">
        <v>202</v>
      </c>
      <c r="C9" s="464">
        <v>0</v>
      </c>
      <c r="D9" s="464">
        <v>4080</v>
      </c>
      <c r="E9" s="464">
        <v>279</v>
      </c>
      <c r="F9" s="464">
        <v>988</v>
      </c>
      <c r="G9" s="464">
        <v>0</v>
      </c>
      <c r="H9" s="464">
        <v>0</v>
      </c>
      <c r="I9" s="464">
        <v>581</v>
      </c>
      <c r="J9" s="464">
        <v>66420</v>
      </c>
    </row>
    <row r="10" spans="1:12" ht="14.25" customHeight="1">
      <c r="A10" s="889"/>
      <c r="B10" s="462" t="s">
        <v>203</v>
      </c>
      <c r="C10" s="464">
        <v>885</v>
      </c>
      <c r="D10" s="464">
        <v>13124</v>
      </c>
      <c r="E10" s="464">
        <v>11929</v>
      </c>
      <c r="F10" s="464">
        <v>13618</v>
      </c>
      <c r="G10" s="464">
        <v>0</v>
      </c>
      <c r="H10" s="464">
        <v>0</v>
      </c>
      <c r="I10" s="464">
        <v>591</v>
      </c>
      <c r="J10" s="464">
        <v>19444</v>
      </c>
    </row>
    <row r="11" spans="1:12" ht="14.25" customHeight="1">
      <c r="A11" s="889"/>
      <c r="B11" s="462" t="s">
        <v>204</v>
      </c>
      <c r="C11" s="464">
        <v>13066</v>
      </c>
      <c r="D11" s="464">
        <v>5242</v>
      </c>
      <c r="E11" s="464">
        <v>4442</v>
      </c>
      <c r="F11" s="464">
        <v>3064</v>
      </c>
      <c r="G11" s="464">
        <v>0</v>
      </c>
      <c r="H11" s="464">
        <v>536</v>
      </c>
      <c r="I11" s="464">
        <v>313</v>
      </c>
      <c r="J11" s="464">
        <v>63013</v>
      </c>
    </row>
    <row r="12" spans="1:12" ht="14.25" customHeight="1">
      <c r="A12" s="889"/>
      <c r="B12" s="462" t="s">
        <v>205</v>
      </c>
      <c r="C12" s="464">
        <v>27</v>
      </c>
      <c r="D12" s="464">
        <v>5839</v>
      </c>
      <c r="E12" s="464">
        <v>5522</v>
      </c>
      <c r="F12" s="464">
        <v>2472</v>
      </c>
      <c r="G12" s="464">
        <v>0</v>
      </c>
      <c r="H12" s="464">
        <v>417</v>
      </c>
      <c r="I12" s="464">
        <v>659</v>
      </c>
      <c r="J12" s="464">
        <v>18233</v>
      </c>
    </row>
    <row r="13" spans="1:12" ht="14.25" customHeight="1">
      <c r="A13" s="889"/>
      <c r="B13" s="462" t="s">
        <v>206</v>
      </c>
      <c r="C13" s="464">
        <v>339</v>
      </c>
      <c r="D13" s="464">
        <v>9705</v>
      </c>
      <c r="E13" s="464">
        <v>1613</v>
      </c>
      <c r="F13" s="464">
        <v>10498</v>
      </c>
      <c r="G13" s="464">
        <v>0</v>
      </c>
      <c r="H13" s="464">
        <v>2014</v>
      </c>
      <c r="I13" s="464">
        <v>0</v>
      </c>
      <c r="J13" s="464">
        <v>34071</v>
      </c>
      <c r="L13" t="s">
        <v>663</v>
      </c>
    </row>
    <row r="14" spans="1:12" ht="14.25" customHeight="1">
      <c r="A14" s="889"/>
      <c r="B14" s="462" t="s">
        <v>207</v>
      </c>
      <c r="C14" s="464">
        <v>7483</v>
      </c>
      <c r="D14" s="464">
        <v>10511</v>
      </c>
      <c r="E14" s="464">
        <v>9772</v>
      </c>
      <c r="F14" s="464">
        <v>4229</v>
      </c>
      <c r="G14" s="464">
        <v>0</v>
      </c>
      <c r="H14" s="464">
        <v>27</v>
      </c>
      <c r="I14" s="464">
        <v>403</v>
      </c>
      <c r="J14" s="464">
        <v>44531</v>
      </c>
    </row>
    <row r="15" spans="1:12" ht="14.25" customHeight="1">
      <c r="A15" s="889"/>
      <c r="B15" s="462" t="s">
        <v>208</v>
      </c>
      <c r="C15" s="464">
        <v>11976</v>
      </c>
      <c r="D15" s="464">
        <v>1637</v>
      </c>
      <c r="E15" s="464">
        <v>0</v>
      </c>
      <c r="F15" s="464">
        <v>5023</v>
      </c>
      <c r="G15" s="464">
        <v>0</v>
      </c>
      <c r="H15" s="464">
        <v>0</v>
      </c>
      <c r="I15" s="464">
        <v>434</v>
      </c>
      <c r="J15" s="464">
        <v>50570</v>
      </c>
    </row>
    <row r="16" spans="1:12" ht="14.25" customHeight="1">
      <c r="A16" s="889"/>
      <c r="B16" s="462" t="s">
        <v>209</v>
      </c>
      <c r="C16" s="464">
        <v>0</v>
      </c>
      <c r="D16" s="464">
        <v>10329</v>
      </c>
      <c r="E16" s="464">
        <v>14451</v>
      </c>
      <c r="F16" s="464">
        <v>12241</v>
      </c>
      <c r="G16" s="464">
        <v>0</v>
      </c>
      <c r="H16" s="464">
        <v>0</v>
      </c>
      <c r="I16" s="464">
        <v>534</v>
      </c>
      <c r="J16" s="464">
        <v>14120</v>
      </c>
    </row>
    <row r="17" spans="1:10" ht="14.25" customHeight="1">
      <c r="A17" s="889"/>
      <c r="B17" s="462" t="s">
        <v>193</v>
      </c>
      <c r="C17" s="464">
        <v>2020</v>
      </c>
      <c r="D17" s="464">
        <v>5995</v>
      </c>
      <c r="E17" s="464">
        <v>3305</v>
      </c>
      <c r="F17" s="464">
        <v>0</v>
      </c>
      <c r="G17" s="464">
        <v>545</v>
      </c>
      <c r="H17" s="464">
        <v>1489</v>
      </c>
      <c r="I17" s="464">
        <v>552</v>
      </c>
      <c r="J17" s="464">
        <v>17529</v>
      </c>
    </row>
    <row r="18" spans="1:10" ht="14.25" customHeight="1">
      <c r="A18" s="890"/>
      <c r="B18" s="462" t="s">
        <v>194</v>
      </c>
      <c r="C18" s="464">
        <v>1905</v>
      </c>
      <c r="D18" s="464">
        <v>11713</v>
      </c>
      <c r="E18" s="464">
        <v>7590</v>
      </c>
      <c r="F18" s="464">
        <v>5298</v>
      </c>
      <c r="G18" s="464">
        <v>0</v>
      </c>
      <c r="H18" s="464">
        <v>1886</v>
      </c>
      <c r="I18" s="464">
        <v>2083</v>
      </c>
      <c r="J18" s="464">
        <v>61404</v>
      </c>
    </row>
    <row r="19" spans="1:10" ht="14.25" customHeight="1">
      <c r="A19" s="888">
        <v>2022</v>
      </c>
      <c r="B19" s="462" t="s">
        <v>200</v>
      </c>
      <c r="C19" s="464">
        <v>8113</v>
      </c>
      <c r="D19" s="464">
        <v>9337</v>
      </c>
      <c r="E19" s="464">
        <v>6545</v>
      </c>
      <c r="F19" s="464">
        <v>1243</v>
      </c>
      <c r="G19" s="464">
        <v>0</v>
      </c>
      <c r="H19" s="464">
        <v>0</v>
      </c>
      <c r="I19" s="464">
        <v>1602</v>
      </c>
      <c r="J19" s="464">
        <v>70953</v>
      </c>
    </row>
    <row r="20" spans="1:10" ht="14.25" customHeight="1">
      <c r="A20" s="889"/>
      <c r="B20" s="462" t="s">
        <v>201</v>
      </c>
      <c r="C20" s="464">
        <v>55</v>
      </c>
      <c r="D20" s="464">
        <v>4038</v>
      </c>
      <c r="E20" s="464">
        <v>0</v>
      </c>
      <c r="F20" s="464">
        <v>8646</v>
      </c>
      <c r="G20" s="464">
        <v>0</v>
      </c>
      <c r="H20" s="464">
        <v>609</v>
      </c>
      <c r="I20" s="464">
        <v>233</v>
      </c>
      <c r="J20" s="464">
        <v>39822</v>
      </c>
    </row>
    <row r="21" spans="1:10" ht="14.25" customHeight="1">
      <c r="A21" s="889"/>
      <c r="B21" s="462" t="s">
        <v>202</v>
      </c>
      <c r="C21" s="464">
        <v>15457</v>
      </c>
      <c r="D21" s="464">
        <v>13435</v>
      </c>
      <c r="E21" s="464">
        <v>12103</v>
      </c>
      <c r="F21" s="464">
        <v>6574</v>
      </c>
      <c r="G21" s="464">
        <v>0</v>
      </c>
      <c r="H21" s="464">
        <v>1134</v>
      </c>
      <c r="I21" s="464">
        <v>58</v>
      </c>
      <c r="J21" s="464">
        <v>35609</v>
      </c>
    </row>
    <row r="22" spans="1:10" ht="14.25" customHeight="1">
      <c r="A22" s="889"/>
      <c r="B22" s="462" t="s">
        <v>203</v>
      </c>
      <c r="C22" s="464">
        <v>679</v>
      </c>
      <c r="D22" s="464">
        <v>7030</v>
      </c>
      <c r="E22" s="464">
        <v>7210</v>
      </c>
      <c r="F22" s="464">
        <v>2456</v>
      </c>
      <c r="G22" s="464">
        <v>0</v>
      </c>
      <c r="H22" s="464">
        <v>510</v>
      </c>
      <c r="I22" s="464">
        <v>1882</v>
      </c>
      <c r="J22" s="464">
        <v>83609</v>
      </c>
    </row>
    <row r="23" spans="1:10" ht="14.25" customHeight="1">
      <c r="A23" s="889"/>
      <c r="B23" s="462" t="s">
        <v>204</v>
      </c>
      <c r="C23" s="464">
        <v>1792</v>
      </c>
      <c r="D23" s="464">
        <v>14700</v>
      </c>
      <c r="E23" s="464">
        <v>4079</v>
      </c>
      <c r="F23" s="464">
        <v>7997</v>
      </c>
      <c r="G23" s="464">
        <v>0</v>
      </c>
      <c r="H23" s="464">
        <v>367</v>
      </c>
      <c r="I23" s="464">
        <v>4462</v>
      </c>
      <c r="J23" s="464">
        <v>31351</v>
      </c>
    </row>
    <row r="24" spans="1:10" ht="14.25" customHeight="1">
      <c r="A24" s="889"/>
      <c r="B24" s="462" t="s">
        <v>205</v>
      </c>
      <c r="C24" s="464">
        <v>3425</v>
      </c>
      <c r="D24" s="464">
        <v>7915</v>
      </c>
      <c r="E24" s="464">
        <v>11280</v>
      </c>
      <c r="F24" s="464">
        <v>1516</v>
      </c>
      <c r="G24" s="464">
        <v>2782</v>
      </c>
      <c r="H24" s="464">
        <v>3506</v>
      </c>
      <c r="I24" s="464">
        <v>294</v>
      </c>
      <c r="J24" s="464">
        <v>25670</v>
      </c>
    </row>
    <row r="25" spans="1:10" ht="14.25" customHeight="1">
      <c r="A25" s="889"/>
      <c r="B25" s="462" t="s">
        <v>206</v>
      </c>
      <c r="C25" s="464"/>
      <c r="D25" s="464"/>
      <c r="E25" s="464"/>
      <c r="F25" s="464"/>
      <c r="G25" s="464"/>
      <c r="H25" s="464"/>
      <c r="I25" s="464"/>
      <c r="J25" s="464"/>
    </row>
    <row r="26" spans="1:10" ht="14.25" customHeight="1">
      <c r="A26" s="889"/>
      <c r="B26" s="462" t="s">
        <v>207</v>
      </c>
      <c r="C26" s="464"/>
      <c r="D26" s="464"/>
      <c r="E26" s="464"/>
      <c r="F26" s="464"/>
      <c r="G26" s="464"/>
      <c r="H26" s="464"/>
      <c r="I26" s="464"/>
      <c r="J26" s="464"/>
    </row>
    <row r="27" spans="1:10" ht="14.25" customHeight="1">
      <c r="A27" s="889"/>
      <c r="B27" s="462" t="s">
        <v>208</v>
      </c>
      <c r="C27" s="464"/>
      <c r="D27" s="464"/>
      <c r="E27" s="464"/>
      <c r="F27" s="464"/>
      <c r="G27" s="464"/>
      <c r="H27" s="464"/>
      <c r="I27" s="464"/>
      <c r="J27" s="464"/>
    </row>
    <row r="28" spans="1:10" ht="14.25" customHeight="1">
      <c r="A28" s="889"/>
      <c r="B28" s="462" t="s">
        <v>209</v>
      </c>
      <c r="C28" s="464"/>
      <c r="D28" s="464"/>
      <c r="E28" s="464"/>
      <c r="F28" s="464"/>
      <c r="G28" s="464"/>
      <c r="H28" s="464"/>
      <c r="I28" s="464"/>
      <c r="J28" s="464"/>
    </row>
    <row r="29" spans="1:10" ht="14.25" customHeight="1">
      <c r="A29" s="889"/>
      <c r="B29" s="462" t="s">
        <v>193</v>
      </c>
      <c r="C29" s="464"/>
      <c r="D29" s="464"/>
      <c r="E29" s="464"/>
      <c r="F29" s="464"/>
      <c r="G29" s="464"/>
      <c r="H29" s="464"/>
      <c r="I29" s="464"/>
      <c r="J29" s="464"/>
    </row>
    <row r="30" spans="1:10" ht="14.25" customHeight="1">
      <c r="A30" s="890"/>
      <c r="B30" s="462" t="s">
        <v>194</v>
      </c>
      <c r="C30" s="306"/>
      <c r="D30" s="306"/>
      <c r="E30" s="306"/>
      <c r="F30" s="306"/>
      <c r="G30" s="306"/>
      <c r="H30" s="306"/>
      <c r="I30" s="306"/>
      <c r="J30" s="306"/>
    </row>
    <row r="31" spans="1:10" ht="14.25" customHeight="1">
      <c r="A31" s="341" t="s">
        <v>336</v>
      </c>
      <c r="B31" s="341"/>
      <c r="C31" s="297"/>
      <c r="D31" s="297"/>
      <c r="E31" s="297"/>
      <c r="F31" s="297"/>
      <c r="G31" s="297"/>
      <c r="H31" s="297"/>
      <c r="I31" s="297"/>
      <c r="J31" s="297"/>
    </row>
  </sheetData>
  <mergeCells count="8">
    <mergeCell ref="A7:A18"/>
    <mergeCell ref="A19:A30"/>
    <mergeCell ref="A1:J1"/>
    <mergeCell ref="A3:J3"/>
    <mergeCell ref="A4:J4"/>
    <mergeCell ref="A5:A6"/>
    <mergeCell ref="B5:B6"/>
    <mergeCell ref="C5:J5"/>
  </mergeCells>
  <pageMargins left="0.70866141732283472" right="0.70866141732283472" top="0.74803149606299213" bottom="0.74803149606299213" header="0.31496062992125984" footer="0.31496062992125984"/>
  <pageSetup paperSize="12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pageSetUpPr fitToPage="1"/>
  </sheetPr>
  <dimension ref="A1:F31"/>
  <sheetViews>
    <sheetView topLeftCell="A4" workbookViewId="0">
      <selection activeCell="F24" sqref="F24"/>
    </sheetView>
  </sheetViews>
  <sheetFormatPr baseColWidth="10" defaultColWidth="10.90625" defaultRowHeight="18"/>
  <cols>
    <col min="1" max="5" width="10" customWidth="1"/>
  </cols>
  <sheetData>
    <row r="1" spans="1:6" ht="14.25" customHeight="1">
      <c r="A1" s="767" t="s">
        <v>340</v>
      </c>
      <c r="B1" s="767"/>
      <c r="C1" s="767"/>
      <c r="D1" s="767"/>
      <c r="E1" s="767"/>
      <c r="F1" s="767"/>
    </row>
    <row r="2" spans="1:6" ht="14.25" customHeight="1">
      <c r="A2" s="17"/>
      <c r="B2" s="17"/>
      <c r="C2" s="17"/>
      <c r="D2" s="17"/>
      <c r="E2" s="17"/>
      <c r="F2" s="17"/>
    </row>
    <row r="3" spans="1:6" ht="14.25" customHeight="1">
      <c r="A3" s="767" t="s">
        <v>68</v>
      </c>
      <c r="B3" s="767"/>
      <c r="C3" s="767"/>
      <c r="D3" s="767"/>
      <c r="E3" s="767"/>
      <c r="F3" s="767"/>
    </row>
    <row r="4" spans="1:6" ht="14.25" customHeight="1">
      <c r="A4" s="767" t="s">
        <v>180</v>
      </c>
      <c r="B4" s="767"/>
      <c r="C4" s="767"/>
      <c r="D4" s="767"/>
      <c r="E4" s="767"/>
      <c r="F4" s="767"/>
    </row>
    <row r="5" spans="1:6" ht="14.25" customHeight="1">
      <c r="A5" s="901" t="s">
        <v>181</v>
      </c>
      <c r="B5" s="901" t="s">
        <v>198</v>
      </c>
      <c r="C5" s="902" t="s">
        <v>341</v>
      </c>
      <c r="D5" s="902"/>
      <c r="E5" s="902"/>
      <c r="F5" s="343" t="s">
        <v>342</v>
      </c>
    </row>
    <row r="6" spans="1:6" ht="21.95" customHeight="1">
      <c r="A6" s="901"/>
      <c r="B6" s="901"/>
      <c r="C6" s="346" t="s">
        <v>323</v>
      </c>
      <c r="D6" s="346" t="s">
        <v>332</v>
      </c>
      <c r="E6" s="346" t="s">
        <v>150</v>
      </c>
      <c r="F6" s="343" t="s">
        <v>332</v>
      </c>
    </row>
    <row r="7" spans="1:6" ht="14.25" customHeight="1">
      <c r="A7" s="888">
        <v>2021</v>
      </c>
      <c r="B7" s="462" t="s">
        <v>200</v>
      </c>
      <c r="C7" s="464">
        <v>8681</v>
      </c>
      <c r="D7" s="464">
        <v>1208</v>
      </c>
      <c r="E7" s="464">
        <v>240</v>
      </c>
      <c r="F7" s="464">
        <v>0</v>
      </c>
    </row>
    <row r="8" spans="1:6" ht="14.25" customHeight="1">
      <c r="A8" s="889"/>
      <c r="B8" s="462" t="s">
        <v>201</v>
      </c>
      <c r="C8" s="464">
        <v>3187</v>
      </c>
      <c r="D8" s="464">
        <v>1114</v>
      </c>
      <c r="E8" s="464">
        <v>0</v>
      </c>
      <c r="F8" s="464">
        <v>0</v>
      </c>
    </row>
    <row r="9" spans="1:6" ht="14.25" customHeight="1">
      <c r="A9" s="889"/>
      <c r="B9" s="462" t="s">
        <v>202</v>
      </c>
      <c r="C9" s="464">
        <v>77</v>
      </c>
      <c r="D9" s="464">
        <v>1812</v>
      </c>
      <c r="E9" s="464">
        <v>258</v>
      </c>
      <c r="F9" s="464">
        <v>0</v>
      </c>
    </row>
    <row r="10" spans="1:6" ht="14.25" customHeight="1">
      <c r="A10" s="889"/>
      <c r="B10" s="462" t="s">
        <v>203</v>
      </c>
      <c r="C10" s="464">
        <v>0</v>
      </c>
      <c r="D10" s="464">
        <v>723</v>
      </c>
      <c r="E10" s="464">
        <v>184</v>
      </c>
      <c r="F10" s="464">
        <v>0</v>
      </c>
    </row>
    <row r="11" spans="1:6" ht="14.25" customHeight="1">
      <c r="A11" s="889"/>
      <c r="B11" s="462" t="s">
        <v>204</v>
      </c>
      <c r="C11" s="464">
        <v>0</v>
      </c>
      <c r="D11" s="464">
        <v>723</v>
      </c>
      <c r="E11" s="464">
        <v>179</v>
      </c>
      <c r="F11" s="464">
        <v>0</v>
      </c>
    </row>
    <row r="12" spans="1:6" ht="14.25" customHeight="1">
      <c r="A12" s="889"/>
      <c r="B12" s="462" t="s">
        <v>205</v>
      </c>
      <c r="C12" s="464">
        <v>78</v>
      </c>
      <c r="D12" s="464">
        <v>1775</v>
      </c>
      <c r="E12" s="464">
        <v>207</v>
      </c>
      <c r="F12" s="464">
        <v>0</v>
      </c>
    </row>
    <row r="13" spans="1:6" ht="14.25" customHeight="1">
      <c r="A13" s="889"/>
      <c r="B13" s="462" t="s">
        <v>206</v>
      </c>
      <c r="C13" s="464">
        <v>39</v>
      </c>
      <c r="D13" s="464">
        <v>675</v>
      </c>
      <c r="E13" s="464">
        <v>308</v>
      </c>
      <c r="F13" s="464">
        <v>0</v>
      </c>
    </row>
    <row r="14" spans="1:6" ht="14.25" customHeight="1">
      <c r="A14" s="889"/>
      <c r="B14" s="462" t="s">
        <v>207</v>
      </c>
      <c r="C14" s="464">
        <v>76</v>
      </c>
      <c r="D14" s="464">
        <v>876</v>
      </c>
      <c r="E14" s="464">
        <v>244</v>
      </c>
      <c r="F14" s="464">
        <v>0</v>
      </c>
    </row>
    <row r="15" spans="1:6" ht="14.25" customHeight="1">
      <c r="A15" s="889"/>
      <c r="B15" s="462" t="s">
        <v>208</v>
      </c>
      <c r="C15" s="464">
        <v>0</v>
      </c>
      <c r="D15" s="464">
        <v>624</v>
      </c>
      <c r="E15" s="464">
        <v>272</v>
      </c>
      <c r="F15" s="464">
        <v>0</v>
      </c>
    </row>
    <row r="16" spans="1:6" ht="14.25" customHeight="1">
      <c r="A16" s="889"/>
      <c r="B16" s="462" t="s">
        <v>209</v>
      </c>
      <c r="C16" s="464">
        <v>0</v>
      </c>
      <c r="D16" s="464">
        <v>655</v>
      </c>
      <c r="E16" s="464">
        <v>281</v>
      </c>
      <c r="F16" s="464">
        <v>0</v>
      </c>
    </row>
    <row r="17" spans="1:6" ht="14.25" customHeight="1">
      <c r="A17" s="889"/>
      <c r="B17" s="462" t="s">
        <v>193</v>
      </c>
      <c r="C17" s="464">
        <v>0</v>
      </c>
      <c r="D17" s="464">
        <v>621</v>
      </c>
      <c r="E17" s="464">
        <v>197</v>
      </c>
      <c r="F17" s="464">
        <v>0</v>
      </c>
    </row>
    <row r="18" spans="1:6" ht="14.25" customHeight="1">
      <c r="A18" s="890"/>
      <c r="B18" s="462" t="s">
        <v>194</v>
      </c>
      <c r="C18" s="464">
        <v>888</v>
      </c>
      <c r="D18" s="464">
        <v>596</v>
      </c>
      <c r="E18" s="464">
        <v>225</v>
      </c>
      <c r="F18" s="464">
        <v>0</v>
      </c>
    </row>
    <row r="19" spans="1:6" ht="14.25" customHeight="1">
      <c r="A19" s="888">
        <v>2022</v>
      </c>
      <c r="B19" s="462" t="s">
        <v>200</v>
      </c>
      <c r="C19" s="464">
        <v>14329</v>
      </c>
      <c r="D19" s="464">
        <v>1377</v>
      </c>
      <c r="E19" s="464">
        <v>226</v>
      </c>
      <c r="F19" s="464">
        <v>0</v>
      </c>
    </row>
    <row r="20" spans="1:6" ht="14.25" customHeight="1">
      <c r="A20" s="889"/>
      <c r="B20" s="462" t="s">
        <v>201</v>
      </c>
      <c r="C20" s="464">
        <v>1046</v>
      </c>
      <c r="D20" s="464">
        <v>1234</v>
      </c>
      <c r="E20" s="464">
        <v>249</v>
      </c>
      <c r="F20" s="464">
        <v>0</v>
      </c>
    </row>
    <row r="21" spans="1:6" ht="14.25" customHeight="1">
      <c r="A21" s="889"/>
      <c r="B21" s="462" t="s">
        <v>202</v>
      </c>
      <c r="C21" s="464">
        <v>0</v>
      </c>
      <c r="D21" s="464">
        <v>1352</v>
      </c>
      <c r="E21" s="464">
        <v>344</v>
      </c>
      <c r="F21" s="464">
        <v>0</v>
      </c>
    </row>
    <row r="22" spans="1:6" ht="14.25" customHeight="1">
      <c r="A22" s="889"/>
      <c r="B22" s="462" t="s">
        <v>203</v>
      </c>
      <c r="C22" s="464">
        <v>0</v>
      </c>
      <c r="D22" s="464">
        <v>790</v>
      </c>
      <c r="E22" s="464">
        <v>200</v>
      </c>
      <c r="F22" s="464">
        <v>0</v>
      </c>
    </row>
    <row r="23" spans="1:6" ht="14.25" customHeight="1">
      <c r="A23" s="889"/>
      <c r="B23" s="462" t="s">
        <v>204</v>
      </c>
      <c r="C23" s="464">
        <v>0</v>
      </c>
      <c r="D23" s="464">
        <v>827</v>
      </c>
      <c r="E23" s="464">
        <v>235</v>
      </c>
      <c r="F23" s="464">
        <v>0</v>
      </c>
    </row>
    <row r="24" spans="1:6" ht="14.25" customHeight="1">
      <c r="A24" s="889"/>
      <c r="B24" s="462" t="s">
        <v>205</v>
      </c>
      <c r="C24" s="464">
        <v>8</v>
      </c>
      <c r="D24" s="464">
        <v>759</v>
      </c>
      <c r="E24" s="464">
        <v>224</v>
      </c>
      <c r="F24" s="464"/>
    </row>
    <row r="25" spans="1:6" ht="14.25" customHeight="1">
      <c r="A25" s="889"/>
      <c r="B25" s="462" t="s">
        <v>206</v>
      </c>
      <c r="C25" s="464"/>
      <c r="D25" s="464"/>
      <c r="E25" s="464"/>
      <c r="F25" s="464"/>
    </row>
    <row r="26" spans="1:6" ht="14.25" customHeight="1">
      <c r="A26" s="889"/>
      <c r="B26" s="462" t="s">
        <v>207</v>
      </c>
      <c r="C26" s="464"/>
      <c r="D26" s="464"/>
      <c r="E26" s="464"/>
      <c r="F26" s="464"/>
    </row>
    <row r="27" spans="1:6" ht="14.25" customHeight="1">
      <c r="A27" s="889"/>
      <c r="B27" s="462" t="s">
        <v>208</v>
      </c>
      <c r="C27" s="464"/>
      <c r="D27" s="464"/>
      <c r="E27" s="464"/>
      <c r="F27" s="464"/>
    </row>
    <row r="28" spans="1:6" ht="14.25" customHeight="1">
      <c r="A28" s="889"/>
      <c r="B28" s="462" t="s">
        <v>209</v>
      </c>
      <c r="C28" s="464"/>
      <c r="D28" s="464"/>
      <c r="E28" s="464"/>
      <c r="F28" s="464"/>
    </row>
    <row r="29" spans="1:6" ht="14.25" customHeight="1">
      <c r="A29" s="889"/>
      <c r="B29" s="462" t="s">
        <v>193</v>
      </c>
      <c r="C29" s="464"/>
      <c r="D29" s="464"/>
      <c r="E29" s="464"/>
      <c r="F29" s="464"/>
    </row>
    <row r="30" spans="1:6" ht="14.25" customHeight="1">
      <c r="A30" s="890"/>
      <c r="B30" s="462" t="s">
        <v>194</v>
      </c>
      <c r="C30" s="464"/>
      <c r="D30" s="464"/>
      <c r="E30" s="464"/>
      <c r="F30" s="464"/>
    </row>
    <row r="31" spans="1:6" ht="14.25" customHeight="1">
      <c r="A31" s="341" t="s">
        <v>336</v>
      </c>
      <c r="B31" s="341"/>
      <c r="C31" s="297"/>
      <c r="D31" s="297"/>
      <c r="E31" s="297"/>
    </row>
  </sheetData>
  <mergeCells count="8">
    <mergeCell ref="A19:A30"/>
    <mergeCell ref="A5:A6"/>
    <mergeCell ref="B5:B6"/>
    <mergeCell ref="C5:E5"/>
    <mergeCell ref="A1:F1"/>
    <mergeCell ref="A3:F3"/>
    <mergeCell ref="A4:F4"/>
    <mergeCell ref="A7:A18"/>
  </mergeCells>
  <pageMargins left="0.70866141732283472" right="0.70866141732283472" top="0.74803149606299213" bottom="0.74803149606299213" header="0.31496062992125984" footer="0.31496062992125984"/>
  <pageSetup paperSize="1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H27"/>
  <sheetViews>
    <sheetView zoomScaleNormal="100" workbookViewId="0">
      <selection activeCell="J9" sqref="J9"/>
    </sheetView>
  </sheetViews>
  <sheetFormatPr baseColWidth="10" defaultColWidth="10.90625" defaultRowHeight="18"/>
  <cols>
    <col min="1" max="1" width="3.7265625" customWidth="1"/>
    <col min="2" max="2" width="14.08984375" bestFit="1" customWidth="1"/>
    <col min="3" max="3" width="7.81640625" bestFit="1" customWidth="1"/>
    <col min="4" max="4" width="6.453125" bestFit="1" customWidth="1"/>
    <col min="5" max="5" width="5.90625" bestFit="1" customWidth="1"/>
    <col min="6" max="6" width="6.453125" bestFit="1" customWidth="1"/>
    <col min="7" max="7" width="5.90625" bestFit="1" customWidth="1"/>
    <col min="8" max="8" width="6.453125" bestFit="1" customWidth="1"/>
  </cols>
  <sheetData>
    <row r="1" spans="2:8">
      <c r="C1" s="746"/>
      <c r="D1" s="746"/>
      <c r="E1" s="746"/>
      <c r="F1" s="746"/>
      <c r="G1" s="746"/>
      <c r="H1" s="746"/>
    </row>
    <row r="2" spans="2:8">
      <c r="B2" s="915" t="s">
        <v>343</v>
      </c>
      <c r="C2" s="915"/>
      <c r="D2" s="915"/>
      <c r="E2" s="17"/>
      <c r="F2" s="17"/>
      <c r="G2" s="17"/>
      <c r="H2" s="17"/>
    </row>
    <row r="3" spans="2:8" ht="39.4" customHeight="1">
      <c r="B3" s="913" t="s">
        <v>745</v>
      </c>
      <c r="C3" s="913"/>
      <c r="D3" s="913"/>
      <c r="E3" s="742"/>
      <c r="F3" s="742"/>
      <c r="G3" s="742"/>
      <c r="H3" s="742"/>
    </row>
    <row r="4" spans="2:8">
      <c r="B4" s="914" t="s">
        <v>344</v>
      </c>
      <c r="C4" s="914"/>
      <c r="D4" s="914"/>
      <c r="E4" s="744"/>
      <c r="F4" s="744"/>
      <c r="G4" s="744"/>
      <c r="H4" s="744"/>
    </row>
    <row r="5" spans="2:8">
      <c r="B5" s="909" t="s">
        <v>749</v>
      </c>
      <c r="C5" s="911" t="s">
        <v>753</v>
      </c>
      <c r="D5" s="912"/>
      <c r="E5" s="745"/>
      <c r="F5" s="745"/>
      <c r="G5" s="745"/>
      <c r="H5" s="745"/>
    </row>
    <row r="6" spans="2:8">
      <c r="B6" s="910"/>
      <c r="C6" s="400" t="s">
        <v>318</v>
      </c>
      <c r="D6" s="400" t="s">
        <v>664</v>
      </c>
    </row>
    <row r="7" spans="2:8">
      <c r="B7" s="747" t="s">
        <v>750</v>
      </c>
      <c r="C7" s="591">
        <v>-4.9302718692767478E-4</v>
      </c>
      <c r="D7" s="402">
        <v>0.52443871522182817</v>
      </c>
      <c r="E7" s="126"/>
    </row>
    <row r="8" spans="2:8" ht="25.5" customHeight="1">
      <c r="B8" s="834" t="s">
        <v>345</v>
      </c>
      <c r="C8" s="835"/>
      <c r="D8" s="836"/>
    </row>
    <row r="9" spans="2:8" ht="51" customHeight="1">
      <c r="B9" s="903" t="s">
        <v>748</v>
      </c>
      <c r="C9" s="904"/>
      <c r="D9" s="905"/>
      <c r="E9" s="748"/>
      <c r="F9" s="748"/>
      <c r="G9" s="748"/>
      <c r="H9" s="748"/>
    </row>
    <row r="10" spans="2:8">
      <c r="C10" s="126"/>
      <c r="D10" s="126"/>
      <c r="E10" s="126"/>
    </row>
    <row r="11" spans="2:8">
      <c r="B11" s="915" t="s">
        <v>743</v>
      </c>
      <c r="C11" s="915"/>
      <c r="D11" s="915"/>
      <c r="E11" s="126"/>
    </row>
    <row r="12" spans="2:8" ht="41.25" customHeight="1">
      <c r="B12" s="913" t="s">
        <v>746</v>
      </c>
      <c r="C12" s="913"/>
      <c r="D12" s="913"/>
      <c r="E12" s="126"/>
    </row>
    <row r="13" spans="2:8">
      <c r="B13" s="914" t="s">
        <v>344</v>
      </c>
      <c r="C13" s="914"/>
      <c r="D13" s="914"/>
      <c r="E13" s="126"/>
    </row>
    <row r="14" spans="2:8">
      <c r="B14" s="909" t="s">
        <v>749</v>
      </c>
      <c r="C14" s="916" t="s">
        <v>752</v>
      </c>
      <c r="D14" s="917"/>
    </row>
    <row r="15" spans="2:8">
      <c r="B15" s="910"/>
      <c r="C15" s="400" t="s">
        <v>318</v>
      </c>
      <c r="D15" s="400" t="s">
        <v>664</v>
      </c>
    </row>
    <row r="16" spans="2:8" ht="28.15" customHeight="1">
      <c r="B16" s="426" t="s">
        <v>754</v>
      </c>
      <c r="C16" s="402">
        <f>0.057</f>
        <v>5.7000000000000002E-2</v>
      </c>
      <c r="D16" s="402">
        <f>0.616</f>
        <v>0.61599999999999999</v>
      </c>
    </row>
    <row r="17" spans="2:8" ht="28.9" customHeight="1">
      <c r="B17" s="834" t="s">
        <v>345</v>
      </c>
      <c r="C17" s="835"/>
      <c r="D17" s="836"/>
      <c r="E17" s="743"/>
      <c r="F17" s="743"/>
    </row>
    <row r="18" spans="2:8" ht="39.4" customHeight="1">
      <c r="B18" s="903" t="s">
        <v>757</v>
      </c>
      <c r="C18" s="904"/>
      <c r="D18" s="905"/>
      <c r="E18" s="748"/>
      <c r="F18" s="748"/>
      <c r="G18" s="748"/>
      <c r="H18" s="748"/>
    </row>
    <row r="20" spans="2:8">
      <c r="B20" s="915" t="s">
        <v>744</v>
      </c>
      <c r="C20" s="915"/>
      <c r="D20" s="915"/>
    </row>
    <row r="21" spans="2:8" ht="39.950000000000003" customHeight="1">
      <c r="B21" s="913" t="s">
        <v>747</v>
      </c>
      <c r="C21" s="913"/>
      <c r="D21" s="913"/>
    </row>
    <row r="22" spans="2:8">
      <c r="B22" s="914" t="s">
        <v>344</v>
      </c>
      <c r="C22" s="914"/>
      <c r="D22" s="914"/>
    </row>
    <row r="23" spans="2:8">
      <c r="B23" s="909" t="s">
        <v>749</v>
      </c>
      <c r="C23" s="911" t="s">
        <v>751</v>
      </c>
      <c r="D23" s="912"/>
    </row>
    <row r="24" spans="2:8">
      <c r="B24" s="910"/>
      <c r="C24" s="400" t="s">
        <v>318</v>
      </c>
      <c r="D24" s="400" t="s">
        <v>664</v>
      </c>
    </row>
    <row r="25" spans="2:8">
      <c r="B25" s="426" t="s">
        <v>755</v>
      </c>
      <c r="C25" s="402">
        <v>1.0999999999999999E-2</v>
      </c>
      <c r="D25" s="402">
        <v>0.28799999999999998</v>
      </c>
    </row>
    <row r="26" spans="2:8" ht="30.2" customHeight="1">
      <c r="B26" s="834" t="s">
        <v>345</v>
      </c>
      <c r="C26" s="835"/>
      <c r="D26" s="836"/>
      <c r="E26" s="743"/>
      <c r="F26" s="743"/>
      <c r="G26" s="743"/>
      <c r="H26" s="743"/>
    </row>
    <row r="27" spans="2:8" ht="22.35" customHeight="1">
      <c r="B27" s="906" t="s">
        <v>756</v>
      </c>
      <c r="C27" s="907"/>
      <c r="D27" s="908"/>
      <c r="E27" s="749"/>
      <c r="F27" s="749"/>
      <c r="G27" s="749"/>
      <c r="H27" s="749"/>
    </row>
  </sheetData>
  <mergeCells count="21">
    <mergeCell ref="B8:D8"/>
    <mergeCell ref="B3:D3"/>
    <mergeCell ref="B4:D4"/>
    <mergeCell ref="B2:D2"/>
    <mergeCell ref="B9:D9"/>
    <mergeCell ref="B18:D18"/>
    <mergeCell ref="B27:D27"/>
    <mergeCell ref="B14:B15"/>
    <mergeCell ref="B5:B6"/>
    <mergeCell ref="B23:B24"/>
    <mergeCell ref="C23:D23"/>
    <mergeCell ref="B26:D26"/>
    <mergeCell ref="B21:D21"/>
    <mergeCell ref="B22:D22"/>
    <mergeCell ref="B20:D20"/>
    <mergeCell ref="C14:D14"/>
    <mergeCell ref="B17:D17"/>
    <mergeCell ref="B12:D12"/>
    <mergeCell ref="B13:D13"/>
    <mergeCell ref="B11:D11"/>
    <mergeCell ref="C5:D5"/>
  </mergeCells>
  <pageMargins left="0.70866141732283472" right="0.70866141732283472" top="0.74803149606299213" bottom="0.74803149606299213" header="0.31496062992125984" footer="0.31496062992125984"/>
  <pageSetup paperSize="126" scale="97"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9"/>
  <sheetViews>
    <sheetView topLeftCell="A34" workbookViewId="0">
      <selection activeCell="J1" sqref="J1"/>
    </sheetView>
  </sheetViews>
  <sheetFormatPr baseColWidth="10" defaultColWidth="11.08984375" defaultRowHeight="15" customHeight="1"/>
  <cols>
    <col min="1" max="1" width="5.26953125" style="43" customWidth="1"/>
    <col min="2" max="5" width="10.26953125" style="43" customWidth="1"/>
    <col min="6" max="6" width="9.26953125" style="43" customWidth="1"/>
    <col min="7" max="7" width="5.36328125" style="43" customWidth="1"/>
    <col min="8" max="8" width="3.36328125" style="43" customWidth="1"/>
    <col min="9" max="16384" width="11.08984375" style="43"/>
  </cols>
  <sheetData>
    <row r="1" spans="1:8" ht="4.7" customHeight="1">
      <c r="A1" s="777"/>
      <c r="B1" s="777"/>
      <c r="C1" s="777"/>
      <c r="D1" s="777"/>
      <c r="E1" s="777"/>
      <c r="F1" s="777"/>
      <c r="G1" s="777"/>
      <c r="H1" s="39"/>
    </row>
    <row r="2" spans="1:8" s="42" customFormat="1" ht="15" customHeight="1">
      <c r="A2" s="777" t="s">
        <v>14</v>
      </c>
      <c r="B2" s="777"/>
      <c r="C2" s="777"/>
      <c r="D2" s="777"/>
      <c r="E2" s="777"/>
      <c r="F2" s="777"/>
      <c r="G2" s="777"/>
      <c r="H2" s="356"/>
    </row>
    <row r="3" spans="1:8" s="42" customFormat="1" ht="15" customHeight="1">
      <c r="A3" s="777" t="s">
        <v>15</v>
      </c>
      <c r="B3" s="777"/>
      <c r="C3" s="777"/>
      <c r="D3" s="777"/>
      <c r="E3" s="777"/>
      <c r="F3" s="777"/>
      <c r="G3" s="777"/>
      <c r="H3" s="356"/>
    </row>
    <row r="4" spans="1:8" s="42" customFormat="1" ht="7.5" customHeight="1">
      <c r="A4" s="264"/>
      <c r="B4" s="264"/>
      <c r="C4" s="264"/>
      <c r="D4" s="264"/>
      <c r="E4" s="264"/>
      <c r="F4" s="264"/>
      <c r="G4" s="264"/>
      <c r="H4" s="356"/>
    </row>
    <row r="5" spans="1:8" s="42" customFormat="1" ht="15" customHeight="1">
      <c r="A5" s="254" t="s">
        <v>16</v>
      </c>
      <c r="B5" s="255" t="s">
        <v>17</v>
      </c>
      <c r="C5" s="255"/>
      <c r="D5" s="255"/>
      <c r="E5" s="255"/>
      <c r="F5" s="255"/>
      <c r="G5" s="256" t="s">
        <v>18</v>
      </c>
      <c r="H5" s="499"/>
    </row>
    <row r="6" spans="1:8" s="42" customFormat="1" ht="15.75" customHeight="1">
      <c r="A6" s="262" t="s">
        <v>19</v>
      </c>
      <c r="B6" s="778" t="s">
        <v>20</v>
      </c>
      <c r="C6" s="778"/>
      <c r="D6" s="778"/>
      <c r="E6" s="778"/>
      <c r="F6" s="778"/>
      <c r="G6" s="351">
        <v>4</v>
      </c>
      <c r="H6" s="356"/>
    </row>
    <row r="7" spans="1:8" s="42" customFormat="1" ht="15.75" customHeight="1">
      <c r="A7" s="262" t="s">
        <v>21</v>
      </c>
      <c r="B7" s="772" t="s">
        <v>22</v>
      </c>
      <c r="C7" s="772"/>
      <c r="D7" s="772"/>
      <c r="E7" s="772"/>
      <c r="F7" s="772"/>
      <c r="G7" s="351">
        <v>5</v>
      </c>
      <c r="H7" s="356"/>
    </row>
    <row r="8" spans="1:8" s="42" customFormat="1" ht="15.75" customHeight="1">
      <c r="A8" s="262" t="s">
        <v>23</v>
      </c>
      <c r="B8" s="772" t="s">
        <v>24</v>
      </c>
      <c r="C8" s="772"/>
      <c r="D8" s="772"/>
      <c r="E8" s="772"/>
      <c r="F8" s="772"/>
      <c r="G8" s="351">
        <v>6</v>
      </c>
      <c r="H8" s="356"/>
    </row>
    <row r="9" spans="1:8" s="42" customFormat="1" ht="15.75" customHeight="1">
      <c r="A9" s="262" t="s">
        <v>25</v>
      </c>
      <c r="B9" s="772" t="s">
        <v>26</v>
      </c>
      <c r="C9" s="772"/>
      <c r="D9" s="772"/>
      <c r="E9" s="772"/>
      <c r="F9" s="772"/>
      <c r="G9" s="351">
        <v>7</v>
      </c>
      <c r="H9" s="356"/>
    </row>
    <row r="10" spans="1:8" s="42" customFormat="1" ht="30" customHeight="1">
      <c r="A10" s="262" t="s">
        <v>27</v>
      </c>
      <c r="B10" s="772" t="s">
        <v>28</v>
      </c>
      <c r="C10" s="772"/>
      <c r="D10" s="772"/>
      <c r="E10" s="772"/>
      <c r="F10" s="772"/>
      <c r="G10" s="351">
        <v>8</v>
      </c>
      <c r="H10" s="356"/>
    </row>
    <row r="11" spans="1:8" s="42" customFormat="1" ht="30" customHeight="1">
      <c r="A11" s="262" t="s">
        <v>29</v>
      </c>
      <c r="B11" s="772" t="s">
        <v>30</v>
      </c>
      <c r="C11" s="772"/>
      <c r="D11" s="772"/>
      <c r="E11" s="772"/>
      <c r="F11" s="772"/>
      <c r="G11" s="351">
        <v>9</v>
      </c>
      <c r="H11" s="356"/>
    </row>
    <row r="12" spans="1:8" s="42" customFormat="1" ht="15.75" customHeight="1">
      <c r="A12" s="262" t="s">
        <v>31</v>
      </c>
      <c r="B12" s="772" t="s">
        <v>32</v>
      </c>
      <c r="C12" s="772"/>
      <c r="D12" s="772"/>
      <c r="E12" s="772"/>
      <c r="F12" s="772"/>
      <c r="G12" s="351">
        <v>10</v>
      </c>
      <c r="H12" s="356"/>
    </row>
    <row r="13" spans="1:8" s="42" customFormat="1" ht="15.75" customHeight="1">
      <c r="A13" s="262" t="s">
        <v>33</v>
      </c>
      <c r="B13" s="770" t="s">
        <v>34</v>
      </c>
      <c r="C13" s="770"/>
      <c r="D13" s="770"/>
      <c r="E13" s="770"/>
      <c r="F13" s="770"/>
      <c r="G13" s="351">
        <v>11</v>
      </c>
      <c r="H13" s="500"/>
    </row>
    <row r="14" spans="1:8" s="42" customFormat="1" ht="15.75" customHeight="1">
      <c r="A14" s="262" t="s">
        <v>35</v>
      </c>
      <c r="B14" s="770" t="s">
        <v>36</v>
      </c>
      <c r="C14" s="770"/>
      <c r="D14" s="770"/>
      <c r="E14" s="770"/>
      <c r="F14" s="770"/>
      <c r="G14" s="351">
        <v>12</v>
      </c>
      <c r="H14" s="500"/>
    </row>
    <row r="15" spans="1:8" s="42" customFormat="1" ht="15.75" customHeight="1">
      <c r="A15" s="262" t="s">
        <v>37</v>
      </c>
      <c r="B15" s="770" t="s">
        <v>38</v>
      </c>
      <c r="C15" s="770"/>
      <c r="D15" s="770"/>
      <c r="E15" s="770"/>
      <c r="F15" s="770"/>
      <c r="G15" s="351">
        <v>13</v>
      </c>
      <c r="H15" s="500"/>
    </row>
    <row r="16" spans="1:8" s="42" customFormat="1" ht="15.75" customHeight="1">
      <c r="A16" s="262" t="s">
        <v>39</v>
      </c>
      <c r="B16" s="770" t="s">
        <v>40</v>
      </c>
      <c r="C16" s="770"/>
      <c r="D16" s="770"/>
      <c r="E16" s="770"/>
      <c r="F16" s="770"/>
      <c r="G16" s="351">
        <v>14</v>
      </c>
      <c r="H16" s="500"/>
    </row>
    <row r="17" spans="1:10" s="42" customFormat="1" ht="15.75" customHeight="1">
      <c r="A17" s="262" t="s">
        <v>41</v>
      </c>
      <c r="B17" s="770" t="s">
        <v>42</v>
      </c>
      <c r="C17" s="770"/>
      <c r="D17" s="770"/>
      <c r="E17" s="770"/>
      <c r="F17" s="770"/>
      <c r="G17" s="351">
        <v>15</v>
      </c>
      <c r="H17" s="500"/>
      <c r="I17" s="356"/>
      <c r="J17" s="356"/>
    </row>
    <row r="18" spans="1:10" s="42" customFormat="1" ht="15.75" customHeight="1">
      <c r="A18" s="262" t="s">
        <v>43</v>
      </c>
      <c r="B18" s="770" t="s">
        <v>44</v>
      </c>
      <c r="C18" s="770"/>
      <c r="D18" s="770"/>
      <c r="E18" s="770"/>
      <c r="F18" s="770"/>
      <c r="G18" s="351">
        <v>16</v>
      </c>
      <c r="H18" s="500"/>
      <c r="I18" s="356"/>
      <c r="J18" s="356"/>
    </row>
    <row r="19" spans="1:10" s="42" customFormat="1" ht="30" customHeight="1">
      <c r="A19" s="262" t="s">
        <v>45</v>
      </c>
      <c r="B19" s="770" t="s">
        <v>46</v>
      </c>
      <c r="C19" s="770"/>
      <c r="D19" s="770"/>
      <c r="E19" s="770"/>
      <c r="F19" s="770"/>
      <c r="G19" s="351">
        <v>17</v>
      </c>
      <c r="H19" s="500"/>
      <c r="I19" s="356"/>
      <c r="J19" s="356"/>
    </row>
    <row r="20" spans="1:10" s="42" customFormat="1" ht="15.75" customHeight="1">
      <c r="A20" s="262" t="s">
        <v>47</v>
      </c>
      <c r="B20" s="770" t="s">
        <v>48</v>
      </c>
      <c r="C20" s="770"/>
      <c r="D20" s="770"/>
      <c r="E20" s="770"/>
      <c r="F20" s="770"/>
      <c r="G20" s="351">
        <v>18</v>
      </c>
      <c r="H20" s="500"/>
      <c r="I20" s="356"/>
      <c r="J20" s="356"/>
    </row>
    <row r="21" spans="1:10" s="42" customFormat="1" ht="15.75" customHeight="1">
      <c r="A21" s="262" t="s">
        <v>49</v>
      </c>
      <c r="B21" s="772" t="s">
        <v>50</v>
      </c>
      <c r="C21" s="772"/>
      <c r="D21" s="772"/>
      <c r="E21" s="772"/>
      <c r="F21" s="772"/>
      <c r="G21" s="351">
        <v>19</v>
      </c>
      <c r="H21" s="356"/>
      <c r="I21" s="356"/>
      <c r="J21" s="356"/>
    </row>
    <row r="22" spans="1:10" s="42" customFormat="1" ht="15.75" customHeight="1">
      <c r="A22" s="262" t="s">
        <v>51</v>
      </c>
      <c r="B22" s="772" t="s">
        <v>52</v>
      </c>
      <c r="C22" s="772"/>
      <c r="D22" s="772"/>
      <c r="E22" s="772"/>
      <c r="F22" s="772"/>
      <c r="G22" s="351">
        <v>20</v>
      </c>
      <c r="H22" s="356"/>
      <c r="I22" s="356"/>
      <c r="J22" s="356"/>
    </row>
    <row r="23" spans="1:10" s="42" customFormat="1" ht="15.75" customHeight="1">
      <c r="A23" s="262" t="s">
        <v>53</v>
      </c>
      <c r="B23" s="772" t="s">
        <v>54</v>
      </c>
      <c r="C23" s="772"/>
      <c r="D23" s="772"/>
      <c r="E23" s="772"/>
      <c r="F23" s="772"/>
      <c r="G23" s="351">
        <v>22</v>
      </c>
      <c r="H23" s="356"/>
      <c r="I23" s="356"/>
      <c r="J23" s="356"/>
    </row>
    <row r="24" spans="1:10" s="42" customFormat="1" ht="15.75" customHeight="1">
      <c r="A24" s="262" t="s">
        <v>55</v>
      </c>
      <c r="B24" s="772" t="s">
        <v>56</v>
      </c>
      <c r="C24" s="772"/>
      <c r="D24" s="772"/>
      <c r="E24" s="772"/>
      <c r="F24" s="772"/>
      <c r="G24" s="351">
        <v>23</v>
      </c>
      <c r="H24" s="356"/>
      <c r="I24" s="356"/>
      <c r="J24" s="356"/>
    </row>
    <row r="25" spans="1:10" s="42" customFormat="1" ht="15.75" customHeight="1">
      <c r="A25" s="262" t="s">
        <v>57</v>
      </c>
      <c r="B25" s="772" t="s">
        <v>58</v>
      </c>
      <c r="C25" s="772"/>
      <c r="D25" s="772"/>
      <c r="E25" s="772"/>
      <c r="F25" s="772"/>
      <c r="G25" s="352">
        <v>24</v>
      </c>
      <c r="H25" s="356"/>
      <c r="I25" s="356"/>
      <c r="J25" s="356"/>
    </row>
    <row r="26" spans="1:10" s="42" customFormat="1" ht="15.75" customHeight="1">
      <c r="A26" s="262" t="s">
        <v>59</v>
      </c>
      <c r="B26" s="772" t="s">
        <v>60</v>
      </c>
      <c r="C26" s="772"/>
      <c r="D26" s="772"/>
      <c r="E26" s="772"/>
      <c r="F26" s="772"/>
      <c r="G26" s="352">
        <v>25</v>
      </c>
      <c r="H26" s="356"/>
      <c r="I26" s="356"/>
      <c r="J26" s="356"/>
    </row>
    <row r="27" spans="1:10" s="42" customFormat="1" ht="15.75" customHeight="1">
      <c r="A27" s="262" t="s">
        <v>61</v>
      </c>
      <c r="B27" s="772" t="s">
        <v>62</v>
      </c>
      <c r="C27" s="772"/>
      <c r="D27" s="772"/>
      <c r="E27" s="772"/>
      <c r="F27" s="772"/>
      <c r="G27" s="352" t="s">
        <v>63</v>
      </c>
      <c r="H27" s="356"/>
      <c r="I27" s="356"/>
      <c r="J27" s="356"/>
    </row>
    <row r="28" spans="1:10" s="42" customFormat="1" ht="15.75" customHeight="1">
      <c r="A28" s="262" t="s">
        <v>64</v>
      </c>
      <c r="B28" s="772" t="s">
        <v>65</v>
      </c>
      <c r="C28" s="772"/>
      <c r="D28" s="772"/>
      <c r="E28" s="772"/>
      <c r="F28" s="772"/>
      <c r="G28" s="352" t="s">
        <v>66</v>
      </c>
      <c r="H28" s="356"/>
      <c r="I28" s="356"/>
      <c r="J28" s="356"/>
    </row>
    <row r="29" spans="1:10" s="42" customFormat="1" ht="15.75" customHeight="1">
      <c r="A29" s="262" t="s">
        <v>67</v>
      </c>
      <c r="B29" s="772" t="s">
        <v>68</v>
      </c>
      <c r="C29" s="772"/>
      <c r="D29" s="772"/>
      <c r="E29" s="772"/>
      <c r="F29" s="772"/>
      <c r="G29" s="352" t="s">
        <v>69</v>
      </c>
      <c r="H29" s="356"/>
      <c r="I29" s="356"/>
      <c r="J29" s="356"/>
    </row>
    <row r="30" spans="1:10" s="42" customFormat="1" ht="15.75" customHeight="1">
      <c r="A30" s="262" t="s">
        <v>70</v>
      </c>
      <c r="B30" s="257" t="s">
        <v>71</v>
      </c>
      <c r="C30" s="257"/>
      <c r="D30" s="257"/>
      <c r="E30" s="257"/>
      <c r="F30" s="257"/>
      <c r="G30" s="399">
        <v>27</v>
      </c>
      <c r="H30" s="356"/>
      <c r="I30" s="356"/>
      <c r="J30" s="501"/>
    </row>
    <row r="31" spans="1:10" s="42" customFormat="1" ht="15.75" customHeight="1">
      <c r="A31" s="254" t="s">
        <v>72</v>
      </c>
      <c r="B31" s="255" t="s">
        <v>17</v>
      </c>
      <c r="C31" s="255"/>
      <c r="D31" s="255"/>
      <c r="E31" s="255"/>
      <c r="F31" s="255"/>
      <c r="G31" s="256" t="s">
        <v>18</v>
      </c>
      <c r="H31" s="356"/>
      <c r="I31" s="356"/>
      <c r="J31" s="501"/>
    </row>
    <row r="32" spans="1:10" s="42" customFormat="1" ht="7.5" customHeight="1">
      <c r="A32" s="268"/>
      <c r="B32" s="257"/>
      <c r="C32" s="257"/>
      <c r="D32" s="257"/>
      <c r="E32" s="257"/>
      <c r="F32" s="257"/>
      <c r="G32" s="72"/>
      <c r="H32" s="356"/>
      <c r="I32" s="356"/>
      <c r="J32" s="356"/>
    </row>
    <row r="33" spans="1:8" s="42" customFormat="1" ht="16.5" customHeight="1">
      <c r="A33" s="262" t="s">
        <v>19</v>
      </c>
      <c r="B33" s="774" t="s">
        <v>73</v>
      </c>
      <c r="C33" s="774"/>
      <c r="D33" s="774"/>
      <c r="E33" s="774"/>
      <c r="F33" s="774"/>
      <c r="G33" s="72">
        <v>4</v>
      </c>
      <c r="H33" s="356"/>
    </row>
    <row r="34" spans="1:8" s="42" customFormat="1" ht="16.5" customHeight="1">
      <c r="A34" s="262" t="s">
        <v>21</v>
      </c>
      <c r="B34" s="771" t="s">
        <v>74</v>
      </c>
      <c r="C34" s="771"/>
      <c r="D34" s="771"/>
      <c r="E34" s="771"/>
      <c r="F34" s="771"/>
      <c r="G34" s="72">
        <v>5</v>
      </c>
      <c r="H34" s="356"/>
    </row>
    <row r="35" spans="1:8" s="42" customFormat="1" ht="30" customHeight="1">
      <c r="A35" s="502" t="s">
        <v>23</v>
      </c>
      <c r="B35" s="776" t="s">
        <v>75</v>
      </c>
      <c r="C35" s="776"/>
      <c r="D35" s="776"/>
      <c r="E35" s="776"/>
      <c r="F35" s="776"/>
      <c r="G35" s="72">
        <v>7</v>
      </c>
      <c r="H35" s="356"/>
    </row>
    <row r="36" spans="1:8" s="42" customFormat="1" ht="15.75" customHeight="1">
      <c r="A36" s="502" t="s">
        <v>25</v>
      </c>
      <c r="B36" s="770" t="s">
        <v>34</v>
      </c>
      <c r="C36" s="770"/>
      <c r="D36" s="770"/>
      <c r="E36" s="770"/>
      <c r="F36" s="770"/>
      <c r="G36" s="72">
        <v>11</v>
      </c>
      <c r="H36" s="500"/>
    </row>
    <row r="37" spans="1:8" s="42" customFormat="1" ht="15.75" customHeight="1">
      <c r="A37" s="502" t="s">
        <v>27</v>
      </c>
      <c r="B37" s="775" t="s">
        <v>76</v>
      </c>
      <c r="C37" s="775"/>
      <c r="D37" s="775"/>
      <c r="E37" s="775"/>
      <c r="F37" s="775"/>
      <c r="G37" s="72">
        <v>12</v>
      </c>
      <c r="H37" s="500"/>
    </row>
    <row r="38" spans="1:8" s="42" customFormat="1" ht="15.75" customHeight="1">
      <c r="A38" s="502" t="s">
        <v>29</v>
      </c>
      <c r="B38" s="775" t="s">
        <v>77</v>
      </c>
      <c r="C38" s="775"/>
      <c r="D38" s="775"/>
      <c r="E38" s="775"/>
      <c r="F38" s="775"/>
      <c r="G38" s="72">
        <v>13</v>
      </c>
      <c r="H38" s="356"/>
    </row>
    <row r="39" spans="1:8" s="42" customFormat="1" ht="15.75" customHeight="1">
      <c r="A39" s="502" t="s">
        <v>31</v>
      </c>
      <c r="B39" s="775" t="s">
        <v>78</v>
      </c>
      <c r="C39" s="775"/>
      <c r="D39" s="775"/>
      <c r="E39" s="775"/>
      <c r="F39" s="775"/>
      <c r="G39" s="72">
        <v>14</v>
      </c>
      <c r="H39" s="356"/>
    </row>
    <row r="40" spans="1:8" s="42" customFormat="1" ht="15.75" customHeight="1">
      <c r="A40" s="502" t="s">
        <v>33</v>
      </c>
      <c r="B40" s="772" t="s">
        <v>79</v>
      </c>
      <c r="C40" s="772"/>
      <c r="D40" s="772"/>
      <c r="E40" s="772"/>
      <c r="F40" s="772"/>
      <c r="G40" s="72">
        <v>16</v>
      </c>
      <c r="H40" s="356"/>
    </row>
    <row r="41" spans="1:8" s="42" customFormat="1" ht="15.75" customHeight="1">
      <c r="A41" s="502" t="s">
        <v>80</v>
      </c>
      <c r="B41" s="772" t="s">
        <v>81</v>
      </c>
      <c r="C41" s="772"/>
      <c r="D41" s="772"/>
      <c r="E41" s="772"/>
      <c r="F41" s="772"/>
      <c r="G41" s="72">
        <v>18</v>
      </c>
      <c r="H41" s="356"/>
    </row>
    <row r="42" spans="1:8" s="42" customFormat="1" ht="15.75" customHeight="1">
      <c r="A42" s="502" t="s">
        <v>82</v>
      </c>
      <c r="B42" s="776" t="s">
        <v>83</v>
      </c>
      <c r="C42" s="776"/>
      <c r="D42" s="776"/>
      <c r="E42" s="776"/>
      <c r="F42" s="776"/>
      <c r="G42" s="72">
        <v>20</v>
      </c>
      <c r="H42" s="356"/>
    </row>
    <row r="43" spans="1:8" s="42" customFormat="1" ht="15.75" customHeight="1">
      <c r="A43" s="502" t="s">
        <v>84</v>
      </c>
      <c r="B43" s="770" t="s">
        <v>85</v>
      </c>
      <c r="C43" s="770"/>
      <c r="D43" s="770"/>
      <c r="E43" s="770"/>
      <c r="F43" s="770"/>
      <c r="G43" s="72">
        <v>21</v>
      </c>
      <c r="H43" s="356"/>
    </row>
    <row r="44" spans="1:8" s="42" customFormat="1" ht="12" customHeight="1">
      <c r="A44" s="356"/>
      <c r="B44" s="356"/>
      <c r="C44" s="356"/>
      <c r="D44" s="356"/>
      <c r="E44" s="356"/>
      <c r="F44" s="356"/>
      <c r="G44" s="356"/>
      <c r="H44" s="356"/>
    </row>
    <row r="45" spans="1:8" ht="15" customHeight="1">
      <c r="A45" s="39"/>
      <c r="B45" s="39"/>
      <c r="C45" s="39"/>
      <c r="D45" s="39"/>
      <c r="E45" s="39"/>
      <c r="F45" s="39"/>
      <c r="G45" s="39"/>
      <c r="H45" s="39"/>
    </row>
    <row r="46" spans="1:8" ht="15" customHeight="1">
      <c r="A46" s="262"/>
      <c r="B46" s="773"/>
      <c r="C46" s="773"/>
      <c r="D46" s="773"/>
      <c r="E46" s="773"/>
      <c r="F46" s="773"/>
      <c r="G46" s="39"/>
      <c r="H46" s="39"/>
    </row>
    <row r="59" spans="1:8" ht="30" customHeight="1">
      <c r="A59" s="35"/>
      <c r="B59" s="39"/>
      <c r="C59" s="39"/>
      <c r="D59" s="39"/>
      <c r="E59" s="39"/>
      <c r="F59" s="39"/>
      <c r="G59" s="39"/>
      <c r="H59" s="35"/>
    </row>
  </sheetData>
  <customSheetViews>
    <customSheetView guid="{5CDC6F58-B038-4A0E-A13D-C643B013E119}" topLeftCell="A4">
      <selection activeCell="A30" sqref="A30"/>
      <pageMargins left="0" right="0" top="0" bottom="0" header="0" footer="0"/>
      <pageSetup scale="95" orientation="portrait" r:id="rId1"/>
      <headerFooter differentFirst="1"/>
    </customSheetView>
  </customSheetViews>
  <mergeCells count="39">
    <mergeCell ref="A1:G1"/>
    <mergeCell ref="B24:F24"/>
    <mergeCell ref="B13:F13"/>
    <mergeCell ref="B10:F10"/>
    <mergeCell ref="B22:F22"/>
    <mergeCell ref="B23:F23"/>
    <mergeCell ref="A2:G2"/>
    <mergeCell ref="B7:F7"/>
    <mergeCell ref="B21:F21"/>
    <mergeCell ref="B14:F14"/>
    <mergeCell ref="B8:F8"/>
    <mergeCell ref="B9:F9"/>
    <mergeCell ref="B11:F11"/>
    <mergeCell ref="A3:G3"/>
    <mergeCell ref="B12:F12"/>
    <mergeCell ref="B6:F6"/>
    <mergeCell ref="B46:F46"/>
    <mergeCell ref="B33:F33"/>
    <mergeCell ref="B37:F37"/>
    <mergeCell ref="B39:F39"/>
    <mergeCell ref="B40:F40"/>
    <mergeCell ref="B38:F38"/>
    <mergeCell ref="B36:F36"/>
    <mergeCell ref="B43:F43"/>
    <mergeCell ref="B35:F35"/>
    <mergeCell ref="B41:F41"/>
    <mergeCell ref="B42:F42"/>
    <mergeCell ref="B20:F20"/>
    <mergeCell ref="B34:F34"/>
    <mergeCell ref="B15:F15"/>
    <mergeCell ref="B16:F16"/>
    <mergeCell ref="B17:F17"/>
    <mergeCell ref="B18:F18"/>
    <mergeCell ref="B19:F19"/>
    <mergeCell ref="B25:F25"/>
    <mergeCell ref="B26:F26"/>
    <mergeCell ref="B27:F27"/>
    <mergeCell ref="B28:F28"/>
    <mergeCell ref="B29:F29"/>
  </mergeCells>
  <hyperlinks>
    <hyperlink ref="G6" location="'4'!A1" display="'4'!A1" xr:uid="{00000000-0004-0000-0200-000000000000}"/>
    <hyperlink ref="G7" location="'5'!A1" display="'5'!A1" xr:uid="{00000000-0004-0000-0200-000001000000}"/>
    <hyperlink ref="G8" location="'6'!Área_de_impresión" display="'6'!Área_de_impresión" xr:uid="{00000000-0004-0000-0200-000002000000}"/>
    <hyperlink ref="G9" location="'7'!Área_de_impresión" display="'7'!Área_de_impresión" xr:uid="{00000000-0004-0000-0200-000003000000}"/>
    <hyperlink ref="G10" location="'8'!Área_de_impresión" display="'8'!Área_de_impresión" xr:uid="{00000000-0004-0000-0200-000004000000}"/>
    <hyperlink ref="G11" location="'9'!Área_de_impresión" display="'9'!Área_de_impresión" xr:uid="{00000000-0004-0000-0200-000005000000}"/>
    <hyperlink ref="G12" location="'10'!Área_de_impresión" display="'10'!Área_de_impresión" xr:uid="{00000000-0004-0000-0200-000006000000}"/>
    <hyperlink ref="G13" location="'11'!A1" display="'11'!A1" xr:uid="{00000000-0004-0000-0200-000007000000}"/>
    <hyperlink ref="G21" location="'19'!A1" display="'19'!A1" xr:uid="{00000000-0004-0000-0200-000008000000}"/>
    <hyperlink ref="G22" location="'20'!A1" display="'20'!A1" xr:uid="{00000000-0004-0000-0200-000009000000}"/>
    <hyperlink ref="G33" location="'4'!A1" display="'4'!A1" xr:uid="{00000000-0004-0000-0200-00000A000000}"/>
    <hyperlink ref="G34" location="'5'!A1" display="'5'!A1" xr:uid="{00000000-0004-0000-0200-00000B000000}"/>
    <hyperlink ref="G35" location="'7'!A1" display="'7'!A1" xr:uid="{00000000-0004-0000-0200-00000C000000}"/>
    <hyperlink ref="G36" location="'11'!A1" display="'11'!A1" xr:uid="{00000000-0004-0000-0200-00000D000000}"/>
    <hyperlink ref="G37" location="'12'!Área_de_impresión" display="'12'!Área_de_impresión" xr:uid="{00000000-0004-0000-0200-00000E000000}"/>
    <hyperlink ref="G38" location="'13'!Área_de_impresión" display="'13'!Área_de_impresión" xr:uid="{00000000-0004-0000-0200-00000F000000}"/>
    <hyperlink ref="G39" location="'14'!Área_de_impresión" display="'14'!Área_de_impresión" xr:uid="{00000000-0004-0000-0200-000010000000}"/>
    <hyperlink ref="G40" location="'16'!A1" display="'16'!A1" xr:uid="{00000000-0004-0000-0200-000011000000}"/>
    <hyperlink ref="G41" location="'18'!A1" display="'18'!A1" xr:uid="{00000000-0004-0000-0200-000012000000}"/>
    <hyperlink ref="G42" location="'20'!A1" display="'20'!A1" xr:uid="{00000000-0004-0000-0200-000013000000}"/>
    <hyperlink ref="G43" location="'21'!A1" display="'21'!A1" xr:uid="{00000000-0004-0000-0200-000014000000}"/>
    <hyperlink ref="G23" location="'22'!A1" display="'22'!A1" xr:uid="{00000000-0004-0000-0200-000015000000}"/>
    <hyperlink ref="G24" location="'23'!A1" display="'23'!A1" xr:uid="{00000000-0004-0000-0200-000016000000}"/>
    <hyperlink ref="G14" location="'12'!A1" display="'12'!A1" xr:uid="{00000000-0004-0000-0200-000018000000}"/>
    <hyperlink ref="G15" location="'13'!A1" display="'13'!A1" xr:uid="{00000000-0004-0000-0200-000019000000}"/>
    <hyperlink ref="G16" location="'14'!A1" display="'14'!A1" xr:uid="{00000000-0004-0000-0200-00001A000000}"/>
    <hyperlink ref="G17" location="'15'!A1" display="'15'!A1" xr:uid="{00000000-0004-0000-0200-00001B000000}"/>
    <hyperlink ref="G18" location="'16'!A1" display="'16'!A1" xr:uid="{00000000-0004-0000-0200-00001C000000}"/>
    <hyperlink ref="G19" location="'17'!A1" display="'17'!A1" xr:uid="{00000000-0004-0000-0200-00001D000000}"/>
    <hyperlink ref="G20" location="'18'!A1" display="'18'!A1" xr:uid="{00000000-0004-0000-0200-00001E000000}"/>
    <hyperlink ref="G25" location="'24'!A1" display="'24'!A1" xr:uid="{43ECAFB1-8836-410A-8FE9-3D921C1F97C0}"/>
    <hyperlink ref="G26" location="'25'!A1" display="'25'!A1" xr:uid="{BE4911B8-A78D-4152-82FB-B72A36EDC254}"/>
    <hyperlink ref="G27" location="'26A'!A1" display="26A" xr:uid="{CE6AC8FE-80CC-49FD-83F8-C31B038DD796}"/>
    <hyperlink ref="G28" location="'26B'!A1" display="26B" xr:uid="{76BDD6D2-DF91-4A0D-9F7E-A3F497307DEA}"/>
    <hyperlink ref="G30" location="'27'!A1" display="'27'!A1" xr:uid="{364CBF39-F1F0-4819-BF54-E1DB2B5FD58C}"/>
    <hyperlink ref="G29" location="'26C'!A1" display="26C" xr:uid="{3B27B635-A53D-451D-BD06-E4303897A720}"/>
  </hyperlinks>
  <pageMargins left="0.70866141732283472" right="0.70866141732283472" top="0.70866141732283472" bottom="0.74803149606299213" header="0.31496062992125984" footer="0.31496062992125984"/>
  <pageSetup paperSize="126"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pageSetUpPr fitToPage="1"/>
  </sheetPr>
  <dimension ref="A1:G42"/>
  <sheetViews>
    <sheetView topLeftCell="B19" zoomScaleNormal="100" workbookViewId="0">
      <selection activeCell="K28" sqref="K28"/>
    </sheetView>
  </sheetViews>
  <sheetFormatPr baseColWidth="10" defaultColWidth="11.08984375" defaultRowHeight="15" customHeight="1"/>
  <cols>
    <col min="1" max="1" width="6" style="252" customWidth="1"/>
    <col min="2" max="6" width="9.81640625" style="252" customWidth="1"/>
    <col min="7" max="7" width="6.26953125" style="263" customWidth="1"/>
    <col min="8" max="16384" width="11.08984375" style="252"/>
  </cols>
  <sheetData>
    <row r="1" spans="1:7" ht="15" customHeight="1">
      <c r="A1" s="777"/>
      <c r="B1" s="777"/>
      <c r="C1" s="777"/>
      <c r="D1" s="777"/>
      <c r="E1" s="777"/>
      <c r="F1" s="777"/>
      <c r="G1" s="777"/>
    </row>
    <row r="2" spans="1:7" s="253" customFormat="1" ht="15" customHeight="1">
      <c r="A2" s="777" t="s">
        <v>346</v>
      </c>
      <c r="B2" s="777"/>
      <c r="C2" s="777"/>
      <c r="D2" s="777"/>
      <c r="E2" s="777"/>
      <c r="F2" s="777"/>
      <c r="G2" s="777"/>
    </row>
    <row r="3" spans="1:7" s="253" customFormat="1" ht="15" customHeight="1">
      <c r="A3" s="777" t="s">
        <v>347</v>
      </c>
      <c r="B3" s="777"/>
      <c r="C3" s="777"/>
      <c r="D3" s="777"/>
      <c r="E3" s="777"/>
      <c r="F3" s="777"/>
      <c r="G3" s="777"/>
    </row>
    <row r="4" spans="1:7" s="253" customFormat="1" ht="15" customHeight="1">
      <c r="A4" s="777"/>
      <c r="B4" s="777"/>
      <c r="C4" s="777"/>
      <c r="D4" s="777"/>
      <c r="E4" s="777"/>
      <c r="F4" s="777"/>
      <c r="G4" s="777"/>
    </row>
    <row r="5" spans="1:7" s="253" customFormat="1" ht="15" customHeight="1">
      <c r="A5" s="254" t="s">
        <v>16</v>
      </c>
      <c r="B5" s="255" t="s">
        <v>17</v>
      </c>
      <c r="C5" s="255"/>
      <c r="D5" s="255"/>
      <c r="E5" s="255"/>
      <c r="F5" s="255"/>
      <c r="G5" s="256" t="s">
        <v>18</v>
      </c>
    </row>
    <row r="6" spans="1:7" s="253" customFormat="1" ht="15" customHeight="1">
      <c r="A6" s="257"/>
      <c r="B6" s="257"/>
      <c r="C6" s="257"/>
      <c r="D6" s="257"/>
      <c r="E6" s="257"/>
      <c r="F6" s="257"/>
      <c r="G6" s="72"/>
    </row>
    <row r="7" spans="1:7" s="253" customFormat="1" ht="15.75" customHeight="1">
      <c r="A7" s="265" t="s">
        <v>19</v>
      </c>
      <c r="B7" s="919" t="s">
        <v>348</v>
      </c>
      <c r="C7" s="919"/>
      <c r="D7" s="919"/>
      <c r="E7" s="919"/>
      <c r="F7" s="919"/>
      <c r="G7" s="354">
        <v>28</v>
      </c>
    </row>
    <row r="8" spans="1:7" s="253" customFormat="1" ht="15.75" customHeight="1">
      <c r="A8" s="265" t="s">
        <v>21</v>
      </c>
      <c r="B8" s="918" t="s">
        <v>349</v>
      </c>
      <c r="C8" s="918"/>
      <c r="D8" s="918"/>
      <c r="E8" s="918"/>
      <c r="F8" s="918"/>
      <c r="G8" s="354">
        <v>29</v>
      </c>
    </row>
    <row r="9" spans="1:7" s="253" customFormat="1" ht="15.75" customHeight="1">
      <c r="A9" s="265" t="s">
        <v>23</v>
      </c>
      <c r="B9" s="918" t="s">
        <v>350</v>
      </c>
      <c r="C9" s="918"/>
      <c r="D9" s="918"/>
      <c r="E9" s="918"/>
      <c r="F9" s="918"/>
      <c r="G9" s="354">
        <v>30</v>
      </c>
    </row>
    <row r="10" spans="1:7" s="253" customFormat="1" ht="30" customHeight="1">
      <c r="A10" s="265" t="s">
        <v>25</v>
      </c>
      <c r="B10" s="918" t="s">
        <v>351</v>
      </c>
      <c r="C10" s="918"/>
      <c r="D10" s="918"/>
      <c r="E10" s="918"/>
      <c r="F10" s="918"/>
      <c r="G10" s="354">
        <v>31</v>
      </c>
    </row>
    <row r="11" spans="1:7" s="253" customFormat="1" ht="30" customHeight="1">
      <c r="A11" s="265" t="s">
        <v>27</v>
      </c>
      <c r="B11" s="918" t="s">
        <v>352</v>
      </c>
      <c r="C11" s="918"/>
      <c r="D11" s="918"/>
      <c r="E11" s="918"/>
      <c r="F11" s="918"/>
      <c r="G11" s="354">
        <v>32</v>
      </c>
    </row>
    <row r="12" spans="1:7" s="253" customFormat="1" ht="30" customHeight="1">
      <c r="A12" s="265" t="s">
        <v>29</v>
      </c>
      <c r="B12" s="918" t="s">
        <v>353</v>
      </c>
      <c r="C12" s="918"/>
      <c r="D12" s="918"/>
      <c r="E12" s="918"/>
      <c r="F12" s="918"/>
      <c r="G12" s="354">
        <v>33</v>
      </c>
    </row>
    <row r="13" spans="1:7" s="253" customFormat="1" ht="15" customHeight="1">
      <c r="A13" s="265" t="s">
        <v>31</v>
      </c>
      <c r="B13" s="918" t="s">
        <v>354</v>
      </c>
      <c r="C13" s="918"/>
      <c r="D13" s="918"/>
      <c r="E13" s="918"/>
      <c r="F13" s="918"/>
      <c r="G13" s="354">
        <v>34</v>
      </c>
    </row>
    <row r="14" spans="1:7" s="253" customFormat="1" ht="15" customHeight="1">
      <c r="A14" s="265" t="s">
        <v>33</v>
      </c>
      <c r="B14" s="918" t="s">
        <v>355</v>
      </c>
      <c r="C14" s="918"/>
      <c r="D14" s="918"/>
      <c r="E14" s="918"/>
      <c r="F14" s="918"/>
      <c r="G14" s="354">
        <v>35</v>
      </c>
    </row>
    <row r="15" spans="1:7" s="253" customFormat="1" ht="15" customHeight="1">
      <c r="A15" s="265" t="s">
        <v>80</v>
      </c>
      <c r="B15" s="921" t="s">
        <v>356</v>
      </c>
      <c r="C15" s="921"/>
      <c r="D15" s="921"/>
      <c r="E15" s="921"/>
      <c r="F15" s="921"/>
      <c r="G15" s="354">
        <v>36</v>
      </c>
    </row>
    <row r="16" spans="1:7" s="253" customFormat="1" ht="15" customHeight="1">
      <c r="A16" s="265" t="s">
        <v>82</v>
      </c>
      <c r="B16" s="919" t="s">
        <v>357</v>
      </c>
      <c r="C16" s="919"/>
      <c r="D16" s="919"/>
      <c r="E16" s="919"/>
      <c r="F16" s="919"/>
      <c r="G16" s="354">
        <v>37</v>
      </c>
    </row>
    <row r="17" spans="1:7" s="253" customFormat="1" ht="15" customHeight="1">
      <c r="A17" s="265" t="s">
        <v>84</v>
      </c>
      <c r="B17" s="921" t="s">
        <v>358</v>
      </c>
      <c r="C17" s="921"/>
      <c r="D17" s="921"/>
      <c r="E17" s="921"/>
      <c r="F17" s="921"/>
      <c r="G17" s="354">
        <v>38</v>
      </c>
    </row>
    <row r="18" spans="1:7" s="253" customFormat="1" ht="15" customHeight="1">
      <c r="A18" s="265" t="s">
        <v>359</v>
      </c>
      <c r="B18" s="918" t="s">
        <v>360</v>
      </c>
      <c r="C18" s="918"/>
      <c r="D18" s="918"/>
      <c r="E18" s="918"/>
      <c r="F18" s="918"/>
      <c r="G18" s="354">
        <v>39</v>
      </c>
    </row>
    <row r="19" spans="1:7" s="253" customFormat="1" ht="15" customHeight="1">
      <c r="A19" s="265" t="s">
        <v>361</v>
      </c>
      <c r="B19" s="918" t="s">
        <v>362</v>
      </c>
      <c r="C19" s="918"/>
      <c r="D19" s="918"/>
      <c r="E19" s="918"/>
      <c r="F19" s="918"/>
      <c r="G19" s="354">
        <v>40</v>
      </c>
    </row>
    <row r="20" spans="1:7" s="253" customFormat="1" ht="15" customHeight="1">
      <c r="A20" s="265" t="s">
        <v>363</v>
      </c>
      <c r="B20" s="918" t="s">
        <v>50</v>
      </c>
      <c r="C20" s="918"/>
      <c r="D20" s="918"/>
      <c r="E20" s="918"/>
      <c r="F20" s="918"/>
      <c r="G20" s="354">
        <v>41</v>
      </c>
    </row>
    <row r="21" spans="1:7" s="253" customFormat="1" ht="15" customHeight="1">
      <c r="A21" s="265" t="s">
        <v>364</v>
      </c>
      <c r="B21" s="918" t="s">
        <v>365</v>
      </c>
      <c r="C21" s="918"/>
      <c r="D21" s="918"/>
      <c r="E21" s="918"/>
      <c r="F21" s="918"/>
      <c r="G21" s="354">
        <v>42</v>
      </c>
    </row>
    <row r="22" spans="1:7" s="253" customFormat="1" ht="15" customHeight="1">
      <c r="A22" s="258"/>
      <c r="B22" s="258"/>
      <c r="C22" s="258"/>
      <c r="D22" s="258"/>
      <c r="E22" s="258"/>
      <c r="F22" s="258"/>
      <c r="G22" s="266"/>
    </row>
    <row r="23" spans="1:7" s="253" customFormat="1" ht="15" customHeight="1">
      <c r="A23" s="259" t="s">
        <v>366</v>
      </c>
      <c r="B23" s="259" t="s">
        <v>17</v>
      </c>
      <c r="C23" s="259"/>
      <c r="D23" s="259"/>
      <c r="E23" s="259"/>
      <c r="F23" s="259"/>
      <c r="G23" s="355" t="s">
        <v>18</v>
      </c>
    </row>
    <row r="24" spans="1:7" s="253" customFormat="1" ht="15" customHeight="1">
      <c r="A24" s="268"/>
      <c r="B24" s="258"/>
      <c r="C24" s="258"/>
      <c r="D24" s="258"/>
      <c r="E24" s="258"/>
      <c r="F24" s="258"/>
      <c r="G24" s="72"/>
    </row>
    <row r="25" spans="1:7" s="253" customFormat="1" ht="15.75" customHeight="1">
      <c r="A25" s="262" t="s">
        <v>19</v>
      </c>
      <c r="B25" s="919" t="s">
        <v>367</v>
      </c>
      <c r="C25" s="919"/>
      <c r="D25" s="919"/>
      <c r="E25" s="919"/>
      <c r="F25" s="919"/>
      <c r="G25" s="354">
        <v>28</v>
      </c>
    </row>
    <row r="26" spans="1:7" s="253" customFormat="1" ht="15.75" customHeight="1">
      <c r="A26" s="262" t="s">
        <v>21</v>
      </c>
      <c r="B26" s="918" t="s">
        <v>368</v>
      </c>
      <c r="C26" s="918"/>
      <c r="D26" s="918"/>
      <c r="E26" s="918"/>
      <c r="F26" s="918"/>
      <c r="G26" s="354">
        <v>29</v>
      </c>
    </row>
    <row r="27" spans="1:7" s="253" customFormat="1" ht="30" customHeight="1">
      <c r="A27" s="262" t="s">
        <v>23</v>
      </c>
      <c r="B27" s="918" t="s">
        <v>369</v>
      </c>
      <c r="C27" s="918"/>
      <c r="D27" s="918"/>
      <c r="E27" s="918"/>
      <c r="F27" s="918"/>
      <c r="G27" s="354">
        <v>31</v>
      </c>
    </row>
    <row r="28" spans="1:7" s="253" customFormat="1" ht="15.75" customHeight="1">
      <c r="A28" s="542" t="s">
        <v>25</v>
      </c>
      <c r="B28" s="918" t="s">
        <v>370</v>
      </c>
      <c r="C28" s="918"/>
      <c r="D28" s="918"/>
      <c r="E28" s="918"/>
      <c r="F28" s="918"/>
      <c r="G28" s="354">
        <v>35</v>
      </c>
    </row>
    <row r="29" spans="1:7" s="253" customFormat="1" ht="15.75" customHeight="1">
      <c r="A29" s="542" t="s">
        <v>27</v>
      </c>
      <c r="B29" s="921" t="s">
        <v>371</v>
      </c>
      <c r="C29" s="921"/>
      <c r="D29" s="921"/>
      <c r="E29" s="921"/>
      <c r="F29" s="921"/>
      <c r="G29" s="354">
        <v>36</v>
      </c>
    </row>
    <row r="30" spans="1:7" s="253" customFormat="1" ht="15.75" customHeight="1">
      <c r="A30" s="542" t="s">
        <v>29</v>
      </c>
      <c r="B30" s="921" t="s">
        <v>372</v>
      </c>
      <c r="C30" s="921"/>
      <c r="D30" s="921"/>
      <c r="E30" s="921"/>
      <c r="F30" s="921"/>
      <c r="G30" s="354">
        <v>37</v>
      </c>
    </row>
    <row r="31" spans="1:7" s="253" customFormat="1" ht="15.75" customHeight="1">
      <c r="A31" s="542" t="s">
        <v>31</v>
      </c>
      <c r="B31" s="921" t="s">
        <v>358</v>
      </c>
      <c r="C31" s="921"/>
      <c r="D31" s="921"/>
      <c r="E31" s="921"/>
      <c r="F31" s="921"/>
      <c r="G31" s="354">
        <v>38</v>
      </c>
    </row>
    <row r="32" spans="1:7" s="253" customFormat="1" ht="15.75" customHeight="1">
      <c r="A32" s="542" t="s">
        <v>33</v>
      </c>
      <c r="B32" s="772" t="s">
        <v>360</v>
      </c>
      <c r="C32" s="772"/>
      <c r="D32" s="772"/>
      <c r="E32" s="772"/>
      <c r="F32" s="772"/>
      <c r="G32" s="354">
        <v>39</v>
      </c>
    </row>
    <row r="33" spans="1:7" s="253" customFormat="1" ht="15.75" customHeight="1">
      <c r="A33" s="542" t="s">
        <v>80</v>
      </c>
      <c r="B33" s="918" t="s">
        <v>373</v>
      </c>
      <c r="C33" s="918"/>
      <c r="D33" s="918"/>
      <c r="E33" s="918"/>
      <c r="F33" s="918"/>
      <c r="G33" s="354">
        <v>40</v>
      </c>
    </row>
    <row r="34" spans="1:7" s="253" customFormat="1" ht="30" customHeight="1">
      <c r="A34" s="542" t="s">
        <v>82</v>
      </c>
      <c r="B34" s="918" t="s">
        <v>374</v>
      </c>
      <c r="C34" s="918"/>
      <c r="D34" s="918"/>
      <c r="E34" s="918"/>
      <c r="F34" s="918"/>
      <c r="G34" s="354">
        <v>42</v>
      </c>
    </row>
    <row r="35" spans="1:7" s="253" customFormat="1" ht="15.75" customHeight="1">
      <c r="A35" s="542" t="s">
        <v>84</v>
      </c>
      <c r="B35" s="919" t="s">
        <v>375</v>
      </c>
      <c r="C35" s="919"/>
      <c r="D35" s="919"/>
      <c r="E35" s="919"/>
      <c r="F35" s="919"/>
      <c r="G35" s="354">
        <v>43</v>
      </c>
    </row>
    <row r="36" spans="1:7" s="253" customFormat="1" ht="15" customHeight="1">
      <c r="A36" s="260"/>
      <c r="B36" s="361"/>
      <c r="C36" s="361"/>
      <c r="D36" s="361"/>
      <c r="E36" s="361"/>
      <c r="F36" s="361"/>
      <c r="G36" s="543"/>
    </row>
    <row r="37" spans="1:7" s="253" customFormat="1" ht="12" customHeight="1">
      <c r="A37" s="260"/>
      <c r="B37" s="361"/>
      <c r="C37" s="361"/>
      <c r="D37" s="361"/>
      <c r="E37" s="361"/>
      <c r="F37" s="361"/>
      <c r="G37" s="544"/>
    </row>
    <row r="38" spans="1:7" s="253" customFormat="1" ht="12" customHeight="1">
      <c r="A38" s="260"/>
      <c r="B38" s="361"/>
      <c r="C38" s="361"/>
      <c r="D38" s="361"/>
      <c r="E38" s="361"/>
      <c r="F38" s="361"/>
      <c r="G38" s="544"/>
    </row>
    <row r="39" spans="1:7" s="253" customFormat="1" ht="12" customHeight="1">
      <c r="A39" s="261"/>
      <c r="B39" s="361"/>
      <c r="C39" s="361"/>
      <c r="D39" s="361"/>
      <c r="E39" s="361"/>
      <c r="F39" s="361"/>
      <c r="G39" s="544"/>
    </row>
    <row r="40" spans="1:7" s="253" customFormat="1" ht="12" customHeight="1">
      <c r="A40" s="361"/>
      <c r="B40" s="102"/>
      <c r="C40" s="361"/>
      <c r="D40" s="361"/>
      <c r="E40" s="361"/>
      <c r="F40" s="361"/>
      <c r="G40" s="544"/>
    </row>
    <row r="42" spans="1:7" ht="15" customHeight="1">
      <c r="A42" s="262"/>
      <c r="B42" s="920"/>
      <c r="C42" s="920"/>
      <c r="D42" s="920"/>
      <c r="E42" s="920"/>
      <c r="F42" s="920"/>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2:F42"/>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0.70866141732283472" bottom="0.74803149606299213" header="0.31496062992125984" footer="0.31496062992125984"/>
  <pageSetup paperSize="126"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pageSetUpPr fitToPage="1"/>
  </sheetPr>
  <dimension ref="C1:S36"/>
  <sheetViews>
    <sheetView topLeftCell="A7" zoomScaleNormal="100" workbookViewId="0">
      <selection activeCell="K14" sqref="K14"/>
    </sheetView>
  </sheetViews>
  <sheetFormatPr baseColWidth="10" defaultColWidth="10.90625" defaultRowHeight="12"/>
  <cols>
    <col min="1" max="2" width="0.81640625" style="1" customWidth="1"/>
    <col min="3" max="8" width="10.08984375" style="1" customWidth="1"/>
    <col min="9" max="9" width="1.453125" style="21" customWidth="1"/>
    <col min="10" max="15" width="10.90625" style="21" customWidth="1"/>
    <col min="16" max="19" width="10.90625" style="21"/>
    <col min="20" max="16384" width="10.90625" style="1"/>
  </cols>
  <sheetData>
    <row r="1" spans="3:19" s="15" customFormat="1" ht="12.75">
      <c r="C1" s="767" t="s">
        <v>86</v>
      </c>
      <c r="D1" s="767"/>
      <c r="E1" s="767"/>
      <c r="F1" s="767"/>
      <c r="G1" s="767"/>
      <c r="H1" s="767"/>
      <c r="I1" s="508"/>
      <c r="J1" s="508"/>
      <c r="K1" s="508"/>
      <c r="L1" s="508"/>
      <c r="M1" s="508"/>
      <c r="N1" s="508"/>
      <c r="O1" s="508"/>
      <c r="P1" s="508"/>
      <c r="Q1" s="508"/>
      <c r="R1" s="508"/>
      <c r="S1" s="508"/>
    </row>
    <row r="2" spans="3:19" s="15" customFormat="1" ht="12.75">
      <c r="C2" s="17"/>
      <c r="D2" s="17"/>
      <c r="E2" s="17"/>
      <c r="F2" s="17"/>
      <c r="G2" s="17"/>
      <c r="H2" s="17"/>
      <c r="I2" s="508"/>
      <c r="J2" s="508"/>
      <c r="K2" s="508"/>
      <c r="L2" s="508"/>
      <c r="M2" s="508"/>
      <c r="N2" s="508"/>
      <c r="O2" s="508"/>
      <c r="P2" s="508"/>
      <c r="Q2" s="508"/>
      <c r="R2" s="508"/>
      <c r="S2" s="508"/>
    </row>
    <row r="3" spans="3:19" s="15" customFormat="1" ht="13.7" customHeight="1">
      <c r="C3" s="858" t="s">
        <v>708</v>
      </c>
      <c r="D3" s="858"/>
      <c r="E3" s="858"/>
      <c r="F3" s="858"/>
      <c r="G3" s="858"/>
      <c r="H3" s="858"/>
      <c r="I3" s="508"/>
      <c r="J3" s="508"/>
      <c r="K3" s="508"/>
      <c r="L3" s="508"/>
      <c r="M3" s="508"/>
      <c r="N3" s="508"/>
      <c r="O3" s="508"/>
      <c r="P3" s="508"/>
      <c r="Q3" s="508"/>
      <c r="R3" s="508"/>
      <c r="S3" s="508"/>
    </row>
    <row r="4" spans="3:19" s="15" customFormat="1" ht="12.75">
      <c r="C4" s="767" t="s">
        <v>87</v>
      </c>
      <c r="D4" s="767"/>
      <c r="E4" s="767"/>
      <c r="F4" s="767"/>
      <c r="G4" s="767"/>
      <c r="H4" s="767"/>
      <c r="I4" s="509"/>
      <c r="J4" s="508"/>
      <c r="K4" s="508"/>
      <c r="L4" s="508"/>
      <c r="M4" s="508"/>
      <c r="N4" s="508"/>
      <c r="O4" s="508"/>
      <c r="P4" s="508"/>
      <c r="Q4" s="508"/>
      <c r="R4" s="508"/>
      <c r="S4" s="508"/>
    </row>
    <row r="5" spans="3:19" s="22" customFormat="1" ht="30" customHeight="1">
      <c r="C5" s="103" t="s">
        <v>88</v>
      </c>
      <c r="D5" s="103" t="s">
        <v>376</v>
      </c>
      <c r="E5" s="103" t="s">
        <v>90</v>
      </c>
      <c r="F5" s="103" t="s">
        <v>91</v>
      </c>
      <c r="G5" s="103" t="s">
        <v>92</v>
      </c>
      <c r="H5" s="103" t="s">
        <v>377</v>
      </c>
      <c r="I5" s="20"/>
      <c r="J5" s="508"/>
      <c r="K5" s="104"/>
      <c r="L5" s="20"/>
      <c r="M5" s="20"/>
      <c r="N5" s="20"/>
      <c r="O5" s="20"/>
      <c r="P5" s="20"/>
      <c r="Q5" s="20"/>
      <c r="R5" s="20"/>
      <c r="S5" s="20"/>
    </row>
    <row r="6" spans="3:19" s="22" customFormat="1" ht="15.75" customHeight="1">
      <c r="C6" s="620">
        <v>44682</v>
      </c>
      <c r="D6" s="316">
        <v>309.39</v>
      </c>
      <c r="E6" s="316">
        <v>1180.72</v>
      </c>
      <c r="F6" s="623">
        <v>1184.97</v>
      </c>
      <c r="G6" s="623">
        <v>182.7</v>
      </c>
      <c r="H6" s="623">
        <v>305.13</v>
      </c>
      <c r="I6" s="20"/>
      <c r="K6" s="404"/>
      <c r="L6" s="105"/>
      <c r="M6" s="20"/>
      <c r="N6" s="105"/>
      <c r="O6" s="20"/>
      <c r="P6" s="20"/>
      <c r="Q6" s="20"/>
      <c r="R6" s="20"/>
      <c r="S6" s="20"/>
    </row>
    <row r="7" spans="3:19" s="22" customFormat="1" ht="15.75" customHeight="1">
      <c r="C7" s="620">
        <v>44713</v>
      </c>
      <c r="D7" s="316">
        <v>310.92</v>
      </c>
      <c r="E7" s="316">
        <v>1185.81</v>
      </c>
      <c r="F7" s="316">
        <v>1186.28</v>
      </c>
      <c r="G7" s="316">
        <v>182.67</v>
      </c>
      <c r="H7" s="316">
        <v>310.45</v>
      </c>
      <c r="I7" s="97"/>
      <c r="J7" s="22" t="s">
        <v>663</v>
      </c>
      <c r="K7" s="404"/>
      <c r="L7" s="106"/>
      <c r="M7" s="106"/>
      <c r="N7" s="106"/>
      <c r="O7" s="107"/>
      <c r="R7" s="108"/>
      <c r="S7" s="20"/>
    </row>
    <row r="8" spans="3:19" s="22" customFormat="1" ht="15.75" customHeight="1">
      <c r="C8" s="620">
        <v>44743</v>
      </c>
      <c r="D8" s="316">
        <v>312.27999999999997</v>
      </c>
      <c r="E8" s="316">
        <v>1185.9000000000001</v>
      </c>
      <c r="F8" s="316">
        <v>1185.24</v>
      </c>
      <c r="G8" s="316">
        <v>182.57</v>
      </c>
      <c r="H8" s="316">
        <v>312.94</v>
      </c>
      <c r="J8" s="181" t="s">
        <v>663</v>
      </c>
      <c r="K8" s="97"/>
      <c r="L8" s="106"/>
      <c r="M8" s="106"/>
      <c r="N8" s="106"/>
      <c r="O8" s="107"/>
      <c r="R8" s="109"/>
      <c r="S8" s="20"/>
    </row>
    <row r="9" spans="3:19" s="22" customFormat="1" ht="15.75" customHeight="1">
      <c r="C9" s="620">
        <v>44774</v>
      </c>
      <c r="D9" s="316">
        <v>311.83999999999997</v>
      </c>
      <c r="E9" s="316">
        <v>1179.6099999999999</v>
      </c>
      <c r="F9" s="316">
        <v>1184.77</v>
      </c>
      <c r="G9" s="316">
        <v>185.62</v>
      </c>
      <c r="H9" s="316">
        <v>306.68</v>
      </c>
      <c r="I9" s="20"/>
      <c r="K9" s="104" t="s">
        <v>663</v>
      </c>
      <c r="L9" s="105"/>
      <c r="M9" s="110"/>
      <c r="N9" s="105"/>
      <c r="O9" s="20"/>
      <c r="P9" s="20"/>
      <c r="Q9" s="20"/>
      <c r="R9" s="20"/>
      <c r="S9" s="20"/>
    </row>
    <row r="10" spans="3:19" s="22" customFormat="1" ht="15.75" customHeight="1">
      <c r="C10" s="620">
        <v>44805</v>
      </c>
      <c r="D10" s="316"/>
      <c r="E10" s="316"/>
      <c r="F10" s="316"/>
      <c r="G10" s="316"/>
      <c r="H10" s="316"/>
      <c r="I10" s="111"/>
      <c r="J10" s="95"/>
      <c r="K10" s="112"/>
      <c r="L10" s="112"/>
      <c r="M10" s="112"/>
      <c r="N10" s="112"/>
      <c r="O10" s="112"/>
      <c r="P10" s="105"/>
      <c r="Q10" s="20"/>
      <c r="R10" s="20"/>
      <c r="S10" s="20"/>
    </row>
    <row r="11" spans="3:19" s="22" customFormat="1" ht="15.75" customHeight="1">
      <c r="C11" s="620">
        <v>44835</v>
      </c>
      <c r="D11" s="147"/>
      <c r="E11" s="316"/>
      <c r="F11" s="316"/>
      <c r="G11" s="147"/>
      <c r="H11" s="147"/>
      <c r="I11" s="97"/>
      <c r="K11" s="112"/>
      <c r="L11" s="112"/>
      <c r="M11" s="112"/>
      <c r="N11" s="112"/>
      <c r="O11" s="112"/>
      <c r="P11" s="20"/>
      <c r="Q11" s="20"/>
      <c r="R11" s="20"/>
      <c r="S11" s="20"/>
    </row>
    <row r="12" spans="3:19" s="22" customFormat="1" ht="15.75" customHeight="1">
      <c r="C12" s="620">
        <v>44866</v>
      </c>
      <c r="D12" s="147"/>
      <c r="E12" s="570"/>
      <c r="F12" s="570"/>
      <c r="G12" s="147"/>
      <c r="H12" s="147"/>
      <c r="I12" s="105"/>
      <c r="J12" s="545"/>
      <c r="K12" s="104"/>
      <c r="L12" s="20"/>
      <c r="M12" s="20"/>
      <c r="N12" s="20"/>
      <c r="O12" s="20"/>
      <c r="P12" s="20"/>
      <c r="Q12" s="20"/>
      <c r="R12" s="20"/>
      <c r="S12" s="20"/>
    </row>
    <row r="13" spans="3:19" s="22" customFormat="1" ht="15.75" customHeight="1">
      <c r="C13" s="620">
        <v>44896</v>
      </c>
      <c r="D13" s="316"/>
      <c r="E13" s="316"/>
      <c r="F13" s="316"/>
      <c r="G13" s="316"/>
      <c r="H13" s="316"/>
      <c r="I13" s="105"/>
      <c r="J13" s="545"/>
      <c r="K13" s="104"/>
      <c r="L13" s="20"/>
      <c r="M13" s="20"/>
      <c r="N13" s="20"/>
      <c r="O13" s="20"/>
      <c r="P13" s="20"/>
      <c r="Q13" s="20"/>
      <c r="R13" s="20"/>
      <c r="S13" s="20"/>
    </row>
    <row r="14" spans="3:19" s="22" customFormat="1" ht="15.75" customHeight="1">
      <c r="C14" s="620">
        <v>44927</v>
      </c>
      <c r="D14" s="316"/>
      <c r="E14" s="316"/>
      <c r="F14" s="316"/>
      <c r="G14" s="316"/>
      <c r="H14" s="316"/>
      <c r="I14" s="105"/>
      <c r="J14" s="545"/>
      <c r="K14" s="104"/>
      <c r="L14" s="20"/>
      <c r="M14" s="105"/>
      <c r="N14" s="20"/>
      <c r="O14" s="20"/>
      <c r="P14" s="20"/>
      <c r="Q14" s="20"/>
      <c r="R14" s="20"/>
      <c r="S14" s="20"/>
    </row>
    <row r="15" spans="3:19" s="22" customFormat="1" ht="15.75" customHeight="1">
      <c r="C15" s="620">
        <v>44958</v>
      </c>
      <c r="D15" s="316"/>
      <c r="E15" s="316"/>
      <c r="F15" s="316"/>
      <c r="G15" s="316"/>
      <c r="H15" s="316"/>
      <c r="I15" s="20"/>
      <c r="J15" s="545"/>
      <c r="K15" s="113"/>
      <c r="L15" s="20"/>
      <c r="M15" s="20"/>
      <c r="N15" s="20"/>
      <c r="O15" s="20"/>
      <c r="P15" s="20"/>
      <c r="Q15" s="20"/>
      <c r="R15" s="20"/>
      <c r="S15" s="20"/>
    </row>
    <row r="16" spans="3:19" s="22" customFormat="1" ht="15.75" customHeight="1">
      <c r="C16" s="620">
        <v>44986</v>
      </c>
      <c r="D16" s="316"/>
      <c r="E16" s="316"/>
      <c r="F16" s="316"/>
      <c r="G16" s="316"/>
      <c r="H16" s="316"/>
      <c r="I16" s="114"/>
      <c r="J16" s="545"/>
      <c r="K16" s="113"/>
      <c r="L16" s="20"/>
      <c r="M16" s="105"/>
      <c r="N16" s="105"/>
      <c r="O16" s="105"/>
      <c r="P16" s="20"/>
      <c r="Q16" s="20"/>
      <c r="R16" s="20"/>
      <c r="S16" s="20"/>
    </row>
    <row r="17" spans="3:19" s="22" customFormat="1" ht="15.75" customHeight="1">
      <c r="C17" s="620">
        <v>45017</v>
      </c>
      <c r="D17" s="316"/>
      <c r="E17" s="316"/>
      <c r="F17" s="316"/>
      <c r="G17" s="316"/>
      <c r="H17" s="316"/>
      <c r="I17" s="114"/>
      <c r="J17" s="114"/>
      <c r="K17" s="114"/>
      <c r="L17" s="114"/>
      <c r="M17" s="114"/>
      <c r="N17" s="105"/>
      <c r="O17" s="20"/>
      <c r="P17" s="20"/>
      <c r="Q17" s="20"/>
      <c r="R17" s="20"/>
      <c r="S17" s="20"/>
    </row>
    <row r="18" spans="3:19" s="22" customFormat="1" ht="26.25" customHeight="1">
      <c r="C18" s="847" t="s">
        <v>124</v>
      </c>
      <c r="D18" s="847"/>
      <c r="E18" s="847"/>
      <c r="F18" s="847"/>
      <c r="G18" s="847"/>
      <c r="H18" s="847"/>
      <c r="K18" s="20"/>
      <c r="L18" s="20"/>
      <c r="M18" s="20"/>
      <c r="N18" s="20"/>
      <c r="O18" s="20"/>
      <c r="P18" s="20"/>
      <c r="Q18" s="20"/>
      <c r="R18" s="20"/>
      <c r="S18" s="20"/>
    </row>
    <row r="19" spans="3:19" ht="15" customHeight="1">
      <c r="I19" s="22"/>
    </row>
    <row r="20" spans="3:19" ht="9.9499999999999993" customHeight="1">
      <c r="I20" s="22"/>
    </row>
    <row r="21" spans="3:19" ht="15" customHeight="1">
      <c r="I21" s="22"/>
    </row>
    <row r="22" spans="3:19" ht="15" customHeight="1">
      <c r="I22" s="22"/>
    </row>
    <row r="23" spans="3:19" ht="15" customHeight="1">
      <c r="I23" s="22"/>
    </row>
    <row r="24" spans="3:19" ht="15" customHeight="1">
      <c r="I24" s="22"/>
    </row>
    <row r="25" spans="3:19" ht="15" customHeight="1">
      <c r="I25" s="22"/>
    </row>
    <row r="26" spans="3:19" ht="15" customHeight="1">
      <c r="I26" s="22"/>
    </row>
    <row r="27" spans="3:19" ht="15" customHeight="1">
      <c r="I27" s="115"/>
    </row>
    <row r="28" spans="3:19" ht="15" customHeight="1">
      <c r="I28" s="508"/>
    </row>
    <row r="29" spans="3:19" ht="15" customHeight="1"/>
    <row r="30" spans="3:19" ht="15" customHeight="1"/>
    <row r="31" spans="3:19" ht="14.25" customHeight="1">
      <c r="L31" s="116"/>
    </row>
    <row r="32" spans="3:19" ht="23.25" customHeight="1"/>
    <row r="33" spans="3:8">
      <c r="C33" s="847" t="s">
        <v>109</v>
      </c>
      <c r="D33" s="847"/>
      <c r="E33" s="847"/>
      <c r="F33" s="847"/>
      <c r="G33" s="847"/>
      <c r="H33" s="847"/>
    </row>
    <row r="34" spans="3:8" ht="15.95" customHeight="1">
      <c r="C34" s="782"/>
      <c r="D34" s="782"/>
      <c r="E34" s="782"/>
      <c r="F34" s="782"/>
      <c r="G34" s="782"/>
      <c r="H34" s="782"/>
    </row>
    <row r="36" spans="3:8" ht="15.6" customHeight="1">
      <c r="C36" s="781"/>
      <c r="D36" s="781"/>
      <c r="E36" s="781"/>
      <c r="F36" s="781"/>
      <c r="G36" s="781"/>
      <c r="H36" s="781"/>
    </row>
  </sheetData>
  <mergeCells count="7">
    <mergeCell ref="C36:H36"/>
    <mergeCell ref="C1:H1"/>
    <mergeCell ref="C3:H3"/>
    <mergeCell ref="C4:H4"/>
    <mergeCell ref="C18:H18"/>
    <mergeCell ref="C34:H34"/>
    <mergeCell ref="C33:H33"/>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pageSetUpPr fitToPage="1"/>
  </sheetPr>
  <dimension ref="B1:R46"/>
  <sheetViews>
    <sheetView topLeftCell="A7" zoomScaleNormal="100" workbookViewId="0">
      <selection activeCell="H23" sqref="H23"/>
    </sheetView>
  </sheetViews>
  <sheetFormatPr baseColWidth="10" defaultColWidth="10.90625" defaultRowHeight="12"/>
  <cols>
    <col min="1" max="1" width="0.7265625" style="1" customWidth="1"/>
    <col min="2" max="2" width="12.453125" style="1" customWidth="1"/>
    <col min="3" max="6" width="10.08984375" style="1" customWidth="1"/>
    <col min="7" max="7" width="10.6328125" style="1" customWidth="1"/>
    <col min="8" max="13" width="10.90625" style="62" customWidth="1"/>
    <col min="14" max="18" width="10.90625" style="62"/>
    <col min="19" max="16384" width="10.90625" style="1"/>
  </cols>
  <sheetData>
    <row r="1" spans="2:18" s="15" customFormat="1" ht="12.75">
      <c r="B1" s="767" t="s">
        <v>96</v>
      </c>
      <c r="C1" s="767"/>
      <c r="D1" s="767"/>
      <c r="E1" s="767"/>
      <c r="F1" s="767"/>
      <c r="G1" s="767"/>
      <c r="H1" s="60"/>
      <c r="I1" s="60"/>
      <c r="J1" s="60"/>
      <c r="K1" s="60"/>
      <c r="L1" s="60"/>
      <c r="M1" s="60"/>
      <c r="N1" s="60"/>
      <c r="O1" s="60"/>
      <c r="P1" s="60"/>
      <c r="Q1" s="60"/>
      <c r="R1" s="60"/>
    </row>
    <row r="2" spans="2:18" s="15" customFormat="1" ht="12.75">
      <c r="B2" s="17"/>
      <c r="C2" s="17"/>
      <c r="D2" s="17"/>
      <c r="E2" s="17"/>
      <c r="F2" s="17"/>
      <c r="H2" s="60"/>
      <c r="I2" s="60"/>
      <c r="J2" s="60"/>
      <c r="K2" s="60"/>
      <c r="L2" s="60"/>
      <c r="M2" s="60"/>
      <c r="N2" s="60"/>
      <c r="O2" s="60"/>
      <c r="P2" s="60"/>
      <c r="Q2" s="60"/>
      <c r="R2" s="60"/>
    </row>
    <row r="3" spans="2:18" s="15" customFormat="1" ht="12.75">
      <c r="B3" s="767" t="s">
        <v>349</v>
      </c>
      <c r="C3" s="767"/>
      <c r="D3" s="767"/>
      <c r="E3" s="767"/>
      <c r="F3" s="767"/>
      <c r="G3" s="767"/>
      <c r="H3" s="60"/>
      <c r="I3" s="60"/>
      <c r="J3" s="60"/>
      <c r="K3" s="60"/>
      <c r="L3" s="60"/>
      <c r="M3" s="60"/>
      <c r="N3" s="60"/>
      <c r="O3" s="60"/>
      <c r="P3" s="60"/>
      <c r="Q3" s="60"/>
      <c r="R3" s="60"/>
    </row>
    <row r="4" spans="2:18" s="15" customFormat="1" ht="12.75">
      <c r="B4" s="784" t="s">
        <v>718</v>
      </c>
      <c r="C4" s="784"/>
      <c r="D4" s="784"/>
      <c r="E4" s="784"/>
      <c r="F4" s="784"/>
      <c r="G4" s="784"/>
      <c r="H4" s="60"/>
      <c r="I4" s="60"/>
      <c r="J4" s="60"/>
      <c r="K4" s="60"/>
      <c r="L4" s="60"/>
      <c r="M4" s="60"/>
      <c r="N4" s="60"/>
      <c r="O4" s="60"/>
      <c r="P4" s="60"/>
      <c r="Q4" s="60"/>
      <c r="R4" s="60"/>
    </row>
    <row r="5" spans="2:18" s="22" customFormat="1" ht="25.5" customHeight="1">
      <c r="B5" s="117" t="s">
        <v>111</v>
      </c>
      <c r="C5" s="117" t="s">
        <v>376</v>
      </c>
      <c r="D5" s="117" t="s">
        <v>90</v>
      </c>
      <c r="E5" s="117" t="s">
        <v>91</v>
      </c>
      <c r="F5" s="117" t="s">
        <v>377</v>
      </c>
      <c r="G5" s="117" t="s">
        <v>378</v>
      </c>
      <c r="H5" s="546"/>
      <c r="I5" s="63"/>
      <c r="J5" s="63"/>
      <c r="K5" s="63"/>
      <c r="L5" s="63"/>
      <c r="M5" s="63"/>
      <c r="N5" s="63"/>
      <c r="O5" s="63"/>
      <c r="P5" s="63"/>
      <c r="Q5" s="63"/>
      <c r="R5" s="63"/>
    </row>
    <row r="6" spans="2:18" s="22" customFormat="1" ht="15.75" customHeight="1">
      <c r="B6" s="271" t="s">
        <v>379</v>
      </c>
      <c r="C6" s="316">
        <v>134.52799999999999</v>
      </c>
      <c r="D6" s="316">
        <v>867.96600000000001</v>
      </c>
      <c r="E6" s="316">
        <v>864.69399999999996</v>
      </c>
      <c r="F6" s="316">
        <v>137.80000000000001</v>
      </c>
      <c r="G6" s="317">
        <f>+F6/E6</f>
        <v>0.1593627341001557</v>
      </c>
      <c r="H6" s="547"/>
      <c r="I6" s="403"/>
      <c r="J6" s="63"/>
      <c r="K6" s="63"/>
      <c r="L6" s="63"/>
      <c r="M6" s="63"/>
      <c r="N6" s="63"/>
      <c r="O6" s="63"/>
      <c r="P6" s="63"/>
      <c r="Q6" s="63"/>
      <c r="R6" s="63"/>
    </row>
    <row r="7" spans="2:18" s="22" customFormat="1" ht="15.75" customHeight="1">
      <c r="B7" s="271" t="s">
        <v>102</v>
      </c>
      <c r="C7" s="316">
        <v>133.41</v>
      </c>
      <c r="D7" s="316">
        <v>990.47</v>
      </c>
      <c r="E7" s="316">
        <v>948.85</v>
      </c>
      <c r="F7" s="316">
        <v>175.03</v>
      </c>
      <c r="G7" s="317">
        <f t="shared" ref="G7:G16" si="0">+F7/E7</f>
        <v>0.18446540549085735</v>
      </c>
      <c r="H7" s="547"/>
      <c r="I7"/>
      <c r="J7"/>
      <c r="K7"/>
      <c r="L7"/>
      <c r="M7"/>
      <c r="N7"/>
      <c r="O7"/>
      <c r="P7"/>
      <c r="Q7" s="63"/>
      <c r="R7" s="63"/>
    </row>
    <row r="8" spans="2:18" s="22" customFormat="1" ht="15.75" customHeight="1">
      <c r="B8" s="271" t="s">
        <v>380</v>
      </c>
      <c r="C8" s="316">
        <v>174.77</v>
      </c>
      <c r="D8" s="316">
        <v>1015.57</v>
      </c>
      <c r="E8" s="316">
        <v>980.58</v>
      </c>
      <c r="F8" s="316">
        <v>209.77</v>
      </c>
      <c r="G8" s="317">
        <f t="shared" si="0"/>
        <v>0.21392441208264495</v>
      </c>
      <c r="H8" s="547"/>
      <c r="I8"/>
      <c r="J8"/>
      <c r="K8"/>
      <c r="L8"/>
      <c r="M8"/>
      <c r="N8"/>
      <c r="O8"/>
      <c r="P8"/>
      <c r="Q8" s="63"/>
      <c r="R8" s="63"/>
    </row>
    <row r="9" spans="2:18" s="22" customFormat="1" ht="15.75" customHeight="1">
      <c r="B9" s="272" t="s">
        <v>381</v>
      </c>
      <c r="C9" s="316">
        <v>209.73</v>
      </c>
      <c r="D9" s="316">
        <v>972.21</v>
      </c>
      <c r="E9" s="316">
        <v>968.01</v>
      </c>
      <c r="F9" s="147">
        <v>213.93</v>
      </c>
      <c r="G9" s="317">
        <f t="shared" si="0"/>
        <v>0.22099978306009235</v>
      </c>
      <c r="H9" s="547"/>
      <c r="I9" s="180"/>
      <c r="J9" s="180"/>
      <c r="K9" s="180"/>
      <c r="L9" s="180"/>
      <c r="M9" s="180"/>
      <c r="N9" s="180"/>
      <c r="O9" s="926"/>
      <c r="P9" s="927"/>
      <c r="Q9" s="63"/>
      <c r="R9" s="63"/>
    </row>
    <row r="10" spans="2:18" s="22" customFormat="1" ht="15.75" customHeight="1">
      <c r="B10" s="53" t="s">
        <v>382</v>
      </c>
      <c r="C10" s="316">
        <v>311.48</v>
      </c>
      <c r="D10" s="316">
        <v>1123.4100000000001</v>
      </c>
      <c r="E10" s="316">
        <v>1084.1400000000001</v>
      </c>
      <c r="F10" s="316">
        <v>350.46</v>
      </c>
      <c r="G10" s="317">
        <f t="shared" si="0"/>
        <v>0.32326083347169182</v>
      </c>
      <c r="H10" s="97"/>
      <c r="K10" s="403"/>
      <c r="O10" s="403"/>
      <c r="P10" s="403"/>
      <c r="Q10" s="63"/>
      <c r="R10" s="63"/>
    </row>
    <row r="11" spans="2:18" s="22" customFormat="1" ht="15.75" customHeight="1">
      <c r="B11" s="53" t="s">
        <v>106</v>
      </c>
      <c r="C11" s="316">
        <v>351.96</v>
      </c>
      <c r="D11" s="316">
        <v>1080.0899999999999</v>
      </c>
      <c r="E11" s="316">
        <v>1090.45</v>
      </c>
      <c r="F11" s="316">
        <v>341.6</v>
      </c>
      <c r="G11" s="317">
        <f t="shared" si="0"/>
        <v>0.31326516575725616</v>
      </c>
      <c r="H11" s="547"/>
      <c r="I11" s="112"/>
      <c r="J11" s="112"/>
      <c r="K11" s="112"/>
      <c r="L11" s="112"/>
      <c r="M11" s="112"/>
      <c r="N11" s="112"/>
      <c r="O11" s="923"/>
      <c r="P11" s="924"/>
      <c r="Q11" s="63"/>
      <c r="R11" s="63"/>
    </row>
    <row r="12" spans="2:18" s="22" customFormat="1" ht="15" customHeight="1">
      <c r="B12" s="272" t="s">
        <v>383</v>
      </c>
      <c r="C12" s="417">
        <v>340.97</v>
      </c>
      <c r="D12" s="417">
        <v>1124.92</v>
      </c>
      <c r="E12" s="417">
        <v>1144.82</v>
      </c>
      <c r="F12" s="417">
        <v>321.07</v>
      </c>
      <c r="G12" s="317">
        <f t="shared" si="0"/>
        <v>0.28045456927726631</v>
      </c>
      <c r="H12" s="97"/>
      <c r="I12" s="97"/>
      <c r="J12" s="97"/>
      <c r="K12" s="926"/>
      <c r="L12" s="927"/>
      <c r="M12" s="112"/>
      <c r="N12" s="112"/>
      <c r="O12" s="112"/>
      <c r="P12" s="111"/>
      <c r="Q12" s="63"/>
      <c r="R12" s="63"/>
    </row>
    <row r="13" spans="2:18" s="22" customFormat="1" ht="15.75" customHeight="1">
      <c r="B13" s="272" t="s">
        <v>108</v>
      </c>
      <c r="C13" s="417">
        <v>322.41000000000003</v>
      </c>
      <c r="D13" s="417">
        <v>1120.1300000000001</v>
      </c>
      <c r="E13" s="417">
        <v>1136.17</v>
      </c>
      <c r="F13" s="417">
        <v>306.37</v>
      </c>
      <c r="G13" s="317">
        <f t="shared" si="0"/>
        <v>0.26965154862388552</v>
      </c>
      <c r="H13" s="97"/>
      <c r="I13" s="97"/>
      <c r="J13" s="97"/>
      <c r="K13" s="112"/>
      <c r="L13" s="112"/>
      <c r="M13" s="112"/>
      <c r="N13" s="112"/>
      <c r="O13" s="112"/>
      <c r="P13" s="111"/>
      <c r="Q13" s="63"/>
      <c r="R13" s="63"/>
    </row>
    <row r="14" spans="2:18" s="22" customFormat="1" ht="15.75" customHeight="1">
      <c r="B14" s="47" t="s">
        <v>709</v>
      </c>
      <c r="C14" s="417">
        <v>307.45999999999998</v>
      </c>
      <c r="D14" s="417">
        <v>1129.44</v>
      </c>
      <c r="E14" s="417">
        <v>1144.02</v>
      </c>
      <c r="F14" s="417">
        <v>292.89</v>
      </c>
      <c r="G14" s="317">
        <f t="shared" si="0"/>
        <v>0.25601825142917078</v>
      </c>
      <c r="H14" s="383"/>
      <c r="I14" s="97"/>
      <c r="J14" s="97"/>
      <c r="K14" s="403"/>
      <c r="L14" s="63"/>
      <c r="M14" s="63"/>
      <c r="N14" s="63"/>
      <c r="O14" s="63"/>
      <c r="P14" s="63"/>
      <c r="Q14" s="63"/>
      <c r="R14" s="63"/>
    </row>
    <row r="15" spans="2:18" s="22" customFormat="1" ht="15.75" customHeight="1">
      <c r="B15" s="47" t="s">
        <v>701</v>
      </c>
      <c r="C15" s="417">
        <v>292.89</v>
      </c>
      <c r="D15" s="417">
        <v>1218.76</v>
      </c>
      <c r="E15" s="417">
        <v>1199.8</v>
      </c>
      <c r="F15" s="417">
        <v>311.83999999999997</v>
      </c>
      <c r="G15" s="317">
        <f t="shared" si="0"/>
        <v>0.25990998499749957</v>
      </c>
      <c r="H15" s="383"/>
      <c r="I15" s="97"/>
      <c r="J15" s="97"/>
      <c r="K15" s="403"/>
      <c r="L15" s="63"/>
      <c r="M15" s="63"/>
      <c r="N15" s="63"/>
      <c r="O15" s="63"/>
      <c r="P15" s="63"/>
      <c r="Q15" s="63"/>
      <c r="R15" s="63"/>
    </row>
    <row r="16" spans="2:18" s="22" customFormat="1" ht="15.75" customHeight="1">
      <c r="B16" s="272" t="s">
        <v>702</v>
      </c>
      <c r="C16" s="417">
        <v>311.83999999999997</v>
      </c>
      <c r="D16" s="417">
        <v>1179.6099999999999</v>
      </c>
      <c r="E16" s="417">
        <v>1184.77</v>
      </c>
      <c r="F16" s="417">
        <v>306.68</v>
      </c>
      <c r="G16" s="317">
        <f t="shared" si="0"/>
        <v>0.25885192906640109</v>
      </c>
      <c r="H16" s="661"/>
      <c r="I16" s="661"/>
      <c r="J16" s="661"/>
      <c r="K16" s="661"/>
      <c r="L16" s="63"/>
      <c r="M16" s="63"/>
      <c r="N16" s="63"/>
      <c r="O16" s="63"/>
      <c r="P16" s="63"/>
      <c r="Q16" s="63"/>
      <c r="R16" s="63"/>
    </row>
    <row r="17" spans="2:18" s="22" customFormat="1" ht="15.75" customHeight="1">
      <c r="B17" s="925" t="s">
        <v>109</v>
      </c>
      <c r="C17" s="925"/>
      <c r="D17" s="925"/>
      <c r="E17" s="925"/>
      <c r="F17" s="925"/>
      <c r="G17" s="925"/>
      <c r="H17" s="926"/>
      <c r="I17" s="927"/>
      <c r="K17" s="180"/>
      <c r="O17" s="926"/>
      <c r="P17" s="927"/>
      <c r="Q17" s="63"/>
      <c r="R17" s="63"/>
    </row>
    <row r="18" spans="2:18" s="22" customFormat="1" ht="24" customHeight="1">
      <c r="B18" s="782"/>
      <c r="C18" s="782"/>
      <c r="D18" s="782"/>
      <c r="E18" s="782"/>
      <c r="F18" s="782"/>
      <c r="G18" s="782"/>
      <c r="H18" s="63"/>
      <c r="I18" s="403"/>
      <c r="K18" s="63"/>
      <c r="L18" s="63"/>
      <c r="M18" s="63"/>
      <c r="N18" s="63"/>
      <c r="O18" s="63"/>
      <c r="P18" s="63"/>
      <c r="Q18" s="63"/>
      <c r="R18" s="63"/>
    </row>
    <row r="19" spans="2:18" s="22" customFormat="1" ht="15.75" customHeight="1">
      <c r="B19" s="118"/>
      <c r="C19" s="363"/>
      <c r="D19" s="363"/>
      <c r="E19" s="363"/>
      <c r="F19" s="363"/>
      <c r="G19" s="118"/>
      <c r="H19" s="63"/>
      <c r="J19" s="63"/>
      <c r="K19" s="63"/>
      <c r="L19" s="63"/>
      <c r="M19" s="63"/>
      <c r="N19" s="63"/>
      <c r="O19" s="63"/>
      <c r="P19" s="63"/>
      <c r="Q19" s="63"/>
      <c r="R19" s="63"/>
    </row>
    <row r="20" spans="2:18" ht="12.75">
      <c r="C20" s="9"/>
      <c r="D20" s="9"/>
      <c r="E20" s="9"/>
      <c r="F20" s="9"/>
      <c r="G20" s="119"/>
      <c r="H20" s="73"/>
    </row>
    <row r="21" spans="2:18" ht="15" customHeight="1">
      <c r="G21" s="4"/>
    </row>
    <row r="22" spans="2:18" ht="9.9499999999999993" customHeight="1">
      <c r="G22" s="4"/>
    </row>
    <row r="23" spans="2:18" ht="15" customHeight="1">
      <c r="G23" s="4"/>
    </row>
    <row r="24" spans="2:18" ht="15" customHeight="1">
      <c r="G24" s="4"/>
    </row>
    <row r="25" spans="2:18" ht="15" customHeight="1">
      <c r="G25" s="120"/>
      <c r="H25" s="73"/>
    </row>
    <row r="26" spans="2:18" ht="15" customHeight="1">
      <c r="G26" s="5"/>
      <c r="H26" s="73"/>
      <c r="I26" s="121"/>
    </row>
    <row r="27" spans="2:18" ht="15" customHeight="1">
      <c r="G27" s="5"/>
    </row>
    <row r="28" spans="2:18" ht="15" customHeight="1">
      <c r="G28" s="5"/>
    </row>
    <row r="29" spans="2:18" ht="15" customHeight="1">
      <c r="G29" s="5"/>
    </row>
    <row r="30" spans="2:18" ht="15" customHeight="1">
      <c r="G30" s="5"/>
    </row>
    <row r="31" spans="2:18" ht="15" customHeight="1">
      <c r="G31" s="5"/>
    </row>
    <row r="32" spans="2:18" ht="15" customHeight="1">
      <c r="G32" s="5"/>
    </row>
    <row r="33" spans="2:13" ht="15" customHeight="1">
      <c r="G33" s="5"/>
      <c r="J33" s="122"/>
    </row>
    <row r="34" spans="2:13" ht="15" customHeight="1">
      <c r="G34" s="5"/>
    </row>
    <row r="35" spans="2:13" ht="15" customHeight="1">
      <c r="B35" s="1" t="s">
        <v>384</v>
      </c>
      <c r="H35" s="123"/>
      <c r="I35" s="124"/>
      <c r="J35" s="124"/>
      <c r="K35" s="124"/>
      <c r="L35" s="124"/>
      <c r="M35" s="125"/>
    </row>
    <row r="36" spans="2:13" ht="12" customHeight="1"/>
    <row r="37" spans="2:13" ht="14.25" customHeight="1"/>
    <row r="38" spans="2:13" ht="14.25" customHeight="1">
      <c r="B38" s="781"/>
      <c r="C38" s="922"/>
      <c r="D38" s="922"/>
      <c r="E38" s="922"/>
      <c r="F38" s="922"/>
    </row>
    <row r="39" spans="2:13" ht="14.25" customHeight="1"/>
    <row r="40" spans="2:13" ht="14.25" customHeight="1"/>
    <row r="41" spans="2:13" ht="14.25" customHeight="1"/>
    <row r="42" spans="2:13" ht="14.25" customHeight="1"/>
    <row r="43" spans="2:13" ht="14.25" customHeight="1"/>
    <row r="44" spans="2:13" ht="14.25" customHeight="1"/>
    <row r="45" spans="2:13" ht="14.25" customHeight="1"/>
    <row r="46" spans="2:13" ht="14.25" customHeight="1"/>
  </sheetData>
  <mergeCells count="11">
    <mergeCell ref="B38:F38"/>
    <mergeCell ref="B1:G1"/>
    <mergeCell ref="B3:G3"/>
    <mergeCell ref="B4:G4"/>
    <mergeCell ref="O11:P11"/>
    <mergeCell ref="B17:G17"/>
    <mergeCell ref="B18:G18"/>
    <mergeCell ref="K12:L12"/>
    <mergeCell ref="O9:P9"/>
    <mergeCell ref="O17:P17"/>
    <mergeCell ref="H17:I17"/>
  </mergeCells>
  <phoneticPr fontId="47" type="noConversion"/>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M22"/>
  <sheetViews>
    <sheetView zoomScaleNormal="100" workbookViewId="0">
      <selection activeCell="K11" sqref="K11"/>
    </sheetView>
  </sheetViews>
  <sheetFormatPr baseColWidth="10" defaultColWidth="10.90625" defaultRowHeight="18"/>
  <cols>
    <col min="1" max="1" width="1.453125" customWidth="1"/>
    <col min="2" max="2" width="12.26953125" customWidth="1"/>
    <col min="3" max="9" width="6.90625" customWidth="1"/>
  </cols>
  <sheetData>
    <row r="2" spans="2:13">
      <c r="B2" s="789" t="s">
        <v>385</v>
      </c>
      <c r="C2" s="789"/>
      <c r="D2" s="789"/>
      <c r="E2" s="789"/>
      <c r="F2" s="789"/>
      <c r="G2" s="789"/>
      <c r="H2" s="789"/>
      <c r="I2" s="789"/>
    </row>
    <row r="3" spans="2:13" ht="18" customHeight="1">
      <c r="B3" s="790" t="s">
        <v>350</v>
      </c>
      <c r="C3" s="790"/>
      <c r="D3" s="790"/>
      <c r="E3" s="790"/>
      <c r="F3" s="790"/>
      <c r="G3" s="790"/>
      <c r="H3" s="790"/>
      <c r="I3" s="790"/>
    </row>
    <row r="4" spans="2:13" ht="18" customHeight="1">
      <c r="B4" s="791" t="s">
        <v>718</v>
      </c>
      <c r="C4" s="791"/>
      <c r="D4" s="791"/>
      <c r="E4" s="791"/>
      <c r="F4" s="791"/>
      <c r="G4" s="791"/>
      <c r="H4" s="791"/>
      <c r="I4" s="791"/>
    </row>
    <row r="5" spans="2:13">
      <c r="B5" s="791"/>
      <c r="C5" s="791"/>
      <c r="D5" s="791"/>
      <c r="E5" s="791"/>
      <c r="F5" s="791"/>
      <c r="G5" s="791"/>
    </row>
    <row r="6" spans="2:13" ht="56.25" customHeight="1">
      <c r="B6" s="298" t="s">
        <v>111</v>
      </c>
      <c r="C6" s="332" t="s">
        <v>121</v>
      </c>
      <c r="D6" s="332" t="s">
        <v>119</v>
      </c>
      <c r="E6" s="423" t="s">
        <v>386</v>
      </c>
      <c r="F6" s="423" t="s">
        <v>112</v>
      </c>
      <c r="G6" s="423" t="s">
        <v>118</v>
      </c>
      <c r="H6" s="332" t="s">
        <v>120</v>
      </c>
      <c r="I6" s="332" t="s">
        <v>122</v>
      </c>
    </row>
    <row r="7" spans="2:13">
      <c r="B7" s="928" t="s">
        <v>710</v>
      </c>
      <c r="C7" s="929"/>
      <c r="D7" s="929"/>
      <c r="E7" s="929"/>
      <c r="F7" s="929"/>
      <c r="G7" s="929"/>
      <c r="H7" s="929"/>
      <c r="I7" s="930"/>
    </row>
    <row r="8" spans="2:13" ht="15.75" customHeight="1">
      <c r="B8" s="348" t="s">
        <v>89</v>
      </c>
      <c r="C8" s="750">
        <v>292.89</v>
      </c>
      <c r="D8" s="750">
        <v>31.36</v>
      </c>
      <c r="E8" s="750">
        <v>4.1500000000000004</v>
      </c>
      <c r="F8" s="750">
        <v>1.18</v>
      </c>
      <c r="G8" s="750">
        <v>0.83</v>
      </c>
      <c r="H8" s="750">
        <v>205.7</v>
      </c>
      <c r="I8" s="750">
        <v>87.18</v>
      </c>
      <c r="K8" s="432"/>
    </row>
    <row r="9" spans="2:13" ht="15.75" customHeight="1">
      <c r="B9" s="348" t="s">
        <v>90</v>
      </c>
      <c r="C9" s="750">
        <v>1218.76</v>
      </c>
      <c r="D9" s="750">
        <v>383.94</v>
      </c>
      <c r="E9" s="750">
        <v>116</v>
      </c>
      <c r="F9" s="750">
        <v>53</v>
      </c>
      <c r="G9" s="750">
        <v>42.13</v>
      </c>
      <c r="H9" s="750">
        <v>272.55</v>
      </c>
      <c r="I9" s="750">
        <v>946.21</v>
      </c>
      <c r="K9" s="432"/>
    </row>
    <row r="10" spans="2:13" ht="15.75" customHeight="1">
      <c r="B10" s="348" t="s">
        <v>123</v>
      </c>
      <c r="C10" s="750">
        <v>178.58</v>
      </c>
      <c r="D10" s="750">
        <v>0.64</v>
      </c>
      <c r="E10" s="750">
        <v>2</v>
      </c>
      <c r="F10" s="750">
        <v>0.01</v>
      </c>
      <c r="G10" s="750">
        <v>0.02</v>
      </c>
      <c r="H10" s="750">
        <v>23</v>
      </c>
      <c r="I10" s="750">
        <v>155.58000000000001</v>
      </c>
      <c r="K10" s="432" t="s">
        <v>663</v>
      </c>
    </row>
    <row r="11" spans="2:13" ht="15.75" customHeight="1">
      <c r="B11" s="348" t="s">
        <v>91</v>
      </c>
      <c r="C11" s="750">
        <v>1199.8</v>
      </c>
      <c r="D11" s="750">
        <v>314.85000000000002</v>
      </c>
      <c r="E11" s="750">
        <v>73</v>
      </c>
      <c r="F11" s="750">
        <v>13.7</v>
      </c>
      <c r="G11" s="750">
        <v>12.2</v>
      </c>
      <c r="H11" s="750">
        <v>291</v>
      </c>
      <c r="I11" s="750">
        <v>908.8</v>
      </c>
      <c r="K11" s="432"/>
    </row>
    <row r="12" spans="2:13" ht="15.75" customHeight="1">
      <c r="B12" s="348" t="s">
        <v>92</v>
      </c>
      <c r="C12" s="750">
        <v>200.44</v>
      </c>
      <c r="D12" s="750">
        <v>62.23</v>
      </c>
      <c r="E12" s="750">
        <v>44.5</v>
      </c>
      <c r="F12" s="750">
        <v>39</v>
      </c>
      <c r="G12" s="750">
        <v>24.5</v>
      </c>
      <c r="H12" s="750">
        <v>0.02</v>
      </c>
      <c r="I12" s="750">
        <v>200.42</v>
      </c>
      <c r="K12" s="432"/>
    </row>
    <row r="13" spans="2:13" ht="15.75" customHeight="1">
      <c r="B13" s="548" t="s">
        <v>99</v>
      </c>
      <c r="C13" s="750">
        <v>311.83999999999997</v>
      </c>
      <c r="D13" s="750">
        <v>38.86</v>
      </c>
      <c r="E13" s="750">
        <v>4.6500000000000004</v>
      </c>
      <c r="F13" s="750">
        <v>1.49</v>
      </c>
      <c r="G13" s="750">
        <v>6.27</v>
      </c>
      <c r="H13" s="750">
        <v>210.24</v>
      </c>
      <c r="I13" s="750">
        <v>101.6</v>
      </c>
      <c r="K13" s="432"/>
      <c r="M13" t="s">
        <v>663</v>
      </c>
    </row>
    <row r="14" spans="2:13" ht="15.75" customHeight="1">
      <c r="B14" s="931" t="s">
        <v>711</v>
      </c>
      <c r="C14" s="932"/>
      <c r="D14" s="932"/>
      <c r="E14" s="932"/>
      <c r="F14" s="932"/>
      <c r="G14" s="932"/>
      <c r="H14" s="932"/>
      <c r="I14" s="933"/>
      <c r="K14" s="432"/>
    </row>
    <row r="15" spans="2:13" ht="15.75" customHeight="1">
      <c r="B15" s="549" t="s">
        <v>89</v>
      </c>
      <c r="C15" s="751">
        <v>311.83999999999997</v>
      </c>
      <c r="D15" s="751">
        <v>38.86</v>
      </c>
      <c r="E15" s="751">
        <v>4.6500000000000004</v>
      </c>
      <c r="F15" s="751">
        <v>1.49</v>
      </c>
      <c r="G15" s="751">
        <v>6.27</v>
      </c>
      <c r="H15" s="751">
        <v>210.24</v>
      </c>
      <c r="I15" s="751">
        <v>101.6</v>
      </c>
      <c r="K15" s="432"/>
    </row>
    <row r="16" spans="2:13" ht="15.75" customHeight="1">
      <c r="B16" s="349" t="s">
        <v>90</v>
      </c>
      <c r="C16" s="751">
        <v>1179.6099999999999</v>
      </c>
      <c r="D16" s="751">
        <v>364.73</v>
      </c>
      <c r="E16" s="751">
        <v>126</v>
      </c>
      <c r="F16" s="751">
        <v>55</v>
      </c>
      <c r="G16" s="751">
        <v>30</v>
      </c>
      <c r="H16" s="751">
        <v>271</v>
      </c>
      <c r="I16" s="751">
        <v>908.61</v>
      </c>
      <c r="K16" s="432"/>
    </row>
    <row r="17" spans="2:12" ht="15.75" customHeight="1">
      <c r="B17" s="349" t="s">
        <v>123</v>
      </c>
      <c r="C17" s="751">
        <v>179.78</v>
      </c>
      <c r="D17" s="751">
        <v>0.64</v>
      </c>
      <c r="E17" s="751">
        <v>1.3</v>
      </c>
      <c r="F17" s="751">
        <v>0.01</v>
      </c>
      <c r="G17" s="751">
        <v>0</v>
      </c>
      <c r="H17" s="751">
        <v>18</v>
      </c>
      <c r="I17" s="751">
        <v>161.78</v>
      </c>
      <c r="K17" s="432"/>
    </row>
    <row r="18" spans="2:12" ht="15.75" customHeight="1">
      <c r="B18" s="349" t="s">
        <v>91</v>
      </c>
      <c r="C18" s="751">
        <v>1184.77</v>
      </c>
      <c r="D18" s="751">
        <v>308.62</v>
      </c>
      <c r="E18" s="751">
        <v>77</v>
      </c>
      <c r="F18" s="751">
        <v>14</v>
      </c>
      <c r="G18" s="751">
        <v>11.7</v>
      </c>
      <c r="H18" s="751">
        <v>295</v>
      </c>
      <c r="I18" s="751">
        <v>889.77</v>
      </c>
      <c r="K18" s="432"/>
    </row>
    <row r="19" spans="2:12" ht="15.75" customHeight="1">
      <c r="B19" s="349" t="s">
        <v>92</v>
      </c>
      <c r="C19" s="751">
        <v>185.62</v>
      </c>
      <c r="D19" s="751">
        <v>60.33</v>
      </c>
      <c r="E19" s="751">
        <v>47</v>
      </c>
      <c r="F19" s="751">
        <v>41</v>
      </c>
      <c r="G19" s="751">
        <v>12.5</v>
      </c>
      <c r="H19" s="751">
        <v>0.02</v>
      </c>
      <c r="I19" s="751">
        <v>185.6</v>
      </c>
      <c r="J19" s="126"/>
      <c r="K19" s="432"/>
      <c r="L19" s="126"/>
    </row>
    <row r="20" spans="2:12" ht="15.75" customHeight="1">
      <c r="B20" s="349" t="s">
        <v>99</v>
      </c>
      <c r="C20" s="751">
        <v>306.68</v>
      </c>
      <c r="D20" s="751">
        <v>35.270000000000003</v>
      </c>
      <c r="E20" s="751">
        <v>7.95</v>
      </c>
      <c r="F20" s="751">
        <v>1.49</v>
      </c>
      <c r="G20" s="751">
        <v>12.07</v>
      </c>
      <c r="H20" s="751">
        <v>204.22</v>
      </c>
      <c r="I20" s="751">
        <v>102.46</v>
      </c>
      <c r="K20" s="432"/>
    </row>
    <row r="21" spans="2:12">
      <c r="B21" s="1" t="s">
        <v>387</v>
      </c>
      <c r="C21" s="1"/>
      <c r="D21" s="1"/>
      <c r="E21" s="1"/>
      <c r="F21" s="1"/>
      <c r="G21" s="1"/>
      <c r="H21" s="1"/>
    </row>
    <row r="22" spans="2:12" ht="18" customHeight="1">
      <c r="B22" s="847"/>
      <c r="C22" s="847"/>
      <c r="D22" s="847"/>
      <c r="E22" s="847"/>
      <c r="F22" s="847"/>
      <c r="G22" s="847"/>
      <c r="H22" s="847"/>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pageSetUpPr fitToPage="1"/>
  </sheetPr>
  <dimension ref="B1:M43"/>
  <sheetViews>
    <sheetView topLeftCell="A8" zoomScaleNormal="100" workbookViewId="0">
      <selection activeCell="H16" sqref="H16"/>
    </sheetView>
  </sheetViews>
  <sheetFormatPr baseColWidth="10" defaultColWidth="10.90625" defaultRowHeight="12.75"/>
  <cols>
    <col min="1" max="1" width="1.6328125" style="39" customWidth="1"/>
    <col min="2" max="5" width="14.08984375" style="39" customWidth="1"/>
    <col min="6" max="8" width="10.90625" style="39" customWidth="1"/>
    <col min="9" max="16384" width="10.90625" style="39"/>
  </cols>
  <sheetData>
    <row r="1" spans="2:13" s="19" customFormat="1" ht="15" customHeight="1">
      <c r="B1" s="789" t="s">
        <v>125</v>
      </c>
      <c r="C1" s="789"/>
      <c r="D1" s="789"/>
      <c r="E1" s="789"/>
    </row>
    <row r="2" spans="2:13" s="19" customFormat="1" ht="15" customHeight="1"/>
    <row r="3" spans="2:13" s="19" customFormat="1" ht="34.5" customHeight="1">
      <c r="B3" s="790" t="s">
        <v>388</v>
      </c>
      <c r="C3" s="790"/>
      <c r="D3" s="790"/>
      <c r="E3" s="790"/>
    </row>
    <row r="4" spans="2:13" s="19" customFormat="1" ht="15" customHeight="1">
      <c r="B4" s="789" t="s">
        <v>665</v>
      </c>
      <c r="C4" s="789"/>
      <c r="D4" s="789"/>
      <c r="E4" s="789"/>
    </row>
    <row r="5" spans="2:13" s="19" customFormat="1" ht="30.75" customHeight="1">
      <c r="B5" s="128" t="s">
        <v>389</v>
      </c>
      <c r="C5" s="129" t="s">
        <v>130</v>
      </c>
      <c r="D5" s="129" t="s">
        <v>131</v>
      </c>
      <c r="E5" s="129" t="s">
        <v>390</v>
      </c>
    </row>
    <row r="6" spans="2:13" s="19" customFormat="1" ht="15.75" customHeight="1">
      <c r="B6" s="51" t="s">
        <v>391</v>
      </c>
      <c r="C6" s="409">
        <v>102.54600000000001</v>
      </c>
      <c r="D6" s="410">
        <v>1379.6980000000001</v>
      </c>
      <c r="E6" s="550">
        <v>134.54430206931522</v>
      </c>
    </row>
    <row r="7" spans="2:13" s="19" customFormat="1" ht="15.75" customHeight="1">
      <c r="B7" s="51" t="s">
        <v>133</v>
      </c>
      <c r="C7" s="409">
        <v>110.233</v>
      </c>
      <c r="D7" s="410">
        <v>1413.644</v>
      </c>
      <c r="E7" s="550">
        <v>128.24145219671061</v>
      </c>
    </row>
    <row r="8" spans="2:13" s="19" customFormat="1" ht="15.75" customHeight="1">
      <c r="B8" s="51" t="s">
        <v>101</v>
      </c>
      <c r="C8" s="409">
        <v>106.34699999999999</v>
      </c>
      <c r="D8" s="410">
        <v>1411.057</v>
      </c>
      <c r="E8" s="550">
        <v>132.68423180719719</v>
      </c>
      <c r="F8" s="130"/>
      <c r="G8" s="130"/>
      <c r="H8" s="130"/>
    </row>
    <row r="9" spans="2:13" s="19" customFormat="1" ht="15.75" customHeight="1">
      <c r="B9" s="51" t="s">
        <v>102</v>
      </c>
      <c r="C9" s="409">
        <v>92.378</v>
      </c>
      <c r="D9" s="410">
        <v>1115.732</v>
      </c>
      <c r="E9" s="550">
        <v>120.77897334863279</v>
      </c>
      <c r="F9" s="130"/>
      <c r="G9" s="130"/>
      <c r="H9" s="130"/>
    </row>
    <row r="10" spans="2:13" s="19" customFormat="1" ht="15.75" customHeight="1">
      <c r="B10" s="51" t="s">
        <v>134</v>
      </c>
      <c r="C10" s="409">
        <v>117.6</v>
      </c>
      <c r="D10" s="410">
        <v>1517.8920000000001</v>
      </c>
      <c r="E10" s="550">
        <v>129.07244897959185</v>
      </c>
      <c r="F10" s="130"/>
      <c r="G10" s="130"/>
      <c r="H10" s="130"/>
    </row>
    <row r="11" spans="2:13" s="19" customFormat="1" ht="15.75" customHeight="1">
      <c r="B11" s="51" t="s">
        <v>135</v>
      </c>
      <c r="C11" s="411">
        <v>92.536000000000001</v>
      </c>
      <c r="D11" s="410">
        <v>1149.0391</v>
      </c>
      <c r="E11" s="550">
        <v>124.1721167977868</v>
      </c>
      <c r="F11" s="130"/>
      <c r="G11" s="130"/>
      <c r="H11" s="130"/>
    </row>
    <row r="12" spans="2:13" ht="15.75" customHeight="1">
      <c r="B12" s="51" t="s">
        <v>136</v>
      </c>
      <c r="C12" s="411">
        <v>86.421000000000006</v>
      </c>
      <c r="D12" s="410">
        <v>1039.675</v>
      </c>
      <c r="E12" s="550">
        <v>120.30351419215236</v>
      </c>
      <c r="F12" s="130"/>
      <c r="G12" s="289"/>
      <c r="H12" s="130"/>
      <c r="I12" s="28"/>
      <c r="J12" s="131"/>
      <c r="K12" s="131"/>
      <c r="L12" s="132"/>
      <c r="M12" s="28"/>
    </row>
    <row r="13" spans="2:13" ht="15" customHeight="1">
      <c r="B13" s="51" t="s">
        <v>137</v>
      </c>
      <c r="C13" s="411">
        <v>81.597999999999999</v>
      </c>
      <c r="D13" s="410">
        <v>1087.9098671827173</v>
      </c>
      <c r="E13" s="551">
        <v>133.32555542816215</v>
      </c>
      <c r="F13" s="130"/>
      <c r="G13" s="130"/>
      <c r="H13" s="130"/>
      <c r="I13" s="28"/>
      <c r="J13" s="131"/>
      <c r="K13" s="131"/>
      <c r="L13" s="132"/>
      <c r="M13" s="28"/>
    </row>
    <row r="14" spans="2:13" ht="15" customHeight="1">
      <c r="B14" s="51" t="s">
        <v>107</v>
      </c>
      <c r="C14" s="411">
        <v>73.856999999999999</v>
      </c>
      <c r="D14" s="410">
        <v>951.06949999999995</v>
      </c>
      <c r="E14" s="551">
        <v>128.77174810782998</v>
      </c>
      <c r="F14" s="130"/>
      <c r="I14" s="28"/>
      <c r="J14" s="131"/>
      <c r="K14" s="131"/>
      <c r="L14" s="132"/>
      <c r="M14" s="28"/>
    </row>
    <row r="15" spans="2:13" ht="15" customHeight="1">
      <c r="B15" s="51" t="s">
        <v>392</v>
      </c>
      <c r="C15" s="412">
        <v>54.679000000000002</v>
      </c>
      <c r="D15" s="410">
        <v>565.88379999999995</v>
      </c>
      <c r="E15" s="552">
        <f>D15/C15*10</f>
        <v>103.49198046782128</v>
      </c>
      <c r="F15" s="130"/>
      <c r="I15" s="28"/>
      <c r="J15" s="131"/>
      <c r="K15" s="131"/>
      <c r="L15" s="132"/>
      <c r="M15" s="28"/>
    </row>
    <row r="16" spans="2:13" ht="15" customHeight="1">
      <c r="B16" s="51" t="s">
        <v>139</v>
      </c>
      <c r="C16" s="412">
        <v>59.728000000000002</v>
      </c>
      <c r="D16" s="410">
        <f>C16*E16/10</f>
        <v>771.68575999999996</v>
      </c>
      <c r="E16" s="552">
        <v>129.19999999999999</v>
      </c>
      <c r="F16" s="130"/>
      <c r="G16" s="130"/>
      <c r="H16" s="130"/>
      <c r="I16" s="28"/>
      <c r="J16" s="131"/>
      <c r="K16" s="131"/>
      <c r="L16" s="132"/>
      <c r="M16" s="28"/>
    </row>
    <row r="17" spans="2:13" ht="15" customHeight="1">
      <c r="B17" s="51" t="s">
        <v>659</v>
      </c>
      <c r="C17" s="412">
        <v>48.314</v>
      </c>
      <c r="D17" s="592">
        <f>5902218.93270793/10000</f>
        <v>590.22189327079298</v>
      </c>
      <c r="E17" s="552">
        <v>122.16373996580556</v>
      </c>
      <c r="F17" s="302"/>
      <c r="G17" s="130"/>
      <c r="H17" s="130"/>
      <c r="I17" s="28"/>
      <c r="J17" s="131"/>
      <c r="K17" s="131"/>
      <c r="L17" s="132"/>
      <c r="M17" s="28"/>
    </row>
    <row r="18" spans="2:13" ht="14.45" customHeight="1">
      <c r="B18" s="786" t="s">
        <v>666</v>
      </c>
      <c r="C18" s="786"/>
      <c r="D18" s="786"/>
      <c r="E18" s="786"/>
      <c r="F18" s="130"/>
      <c r="G18" s="130"/>
      <c r="H18" s="130"/>
    </row>
    <row r="19" spans="2:13" ht="12.75" customHeight="1">
      <c r="G19" s="142"/>
    </row>
    <row r="20" spans="2:13" ht="12.75" customHeight="1"/>
    <row r="21" spans="2:13" ht="12.75" customHeight="1"/>
    <row r="22" spans="2:13" ht="12.75" customHeight="1"/>
    <row r="23" spans="2:13" ht="12.75" customHeight="1">
      <c r="G23" s="289"/>
    </row>
    <row r="24" spans="2:13" ht="12.75" customHeight="1"/>
    <row r="25" spans="2:13" ht="12.75" customHeight="1"/>
    <row r="26" spans="2:13" ht="12.75" customHeight="1"/>
    <row r="27" spans="2:13" ht="12.75" customHeight="1"/>
    <row r="28" spans="2:13" ht="12.75" customHeight="1"/>
    <row r="29" spans="2:13" ht="12.75" customHeight="1"/>
    <row r="30" spans="2:13" ht="12.75" customHeight="1"/>
    <row r="31" spans="2:13" ht="12.75" customHeight="1"/>
    <row r="32" spans="2:13" ht="12.75" customHeight="1"/>
    <row r="33" spans="2:5" ht="12.75" customHeight="1"/>
    <row r="34" spans="2:5" ht="12.75" customHeight="1"/>
    <row r="35" spans="2:5" ht="12.75" customHeight="1"/>
    <row r="36" spans="2:5" ht="12.75" customHeight="1">
      <c r="B36" s="935"/>
      <c r="C36" s="935"/>
      <c r="D36" s="935"/>
      <c r="E36" s="935"/>
    </row>
    <row r="37" spans="2:5" ht="14.45" customHeight="1">
      <c r="B37" s="935"/>
      <c r="C37" s="935"/>
      <c r="D37" s="935"/>
      <c r="E37" s="935"/>
    </row>
    <row r="38" spans="2:5" ht="12.75" customHeight="1">
      <c r="B38" s="934" t="s">
        <v>393</v>
      </c>
      <c r="C38" s="934"/>
      <c r="D38" s="934"/>
      <c r="E38" s="934"/>
    </row>
    <row r="39" spans="2:5" ht="12.75" customHeight="1"/>
    <row r="40" spans="2:5" ht="12.75" customHeight="1"/>
    <row r="41" spans="2:5" ht="12.75" customHeight="1"/>
    <row r="42" spans="2:5" ht="12.75" customHeight="1"/>
    <row r="43" spans="2:5" ht="12.75" customHeight="1"/>
  </sheetData>
  <mergeCells count="6">
    <mergeCell ref="B38:E38"/>
    <mergeCell ref="B36:E37"/>
    <mergeCell ref="B1:E1"/>
    <mergeCell ref="B3:E3"/>
    <mergeCell ref="B4:E4"/>
    <mergeCell ref="B18:E18"/>
  </mergeCells>
  <phoneticPr fontId="47" type="noConversion"/>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pageSetUpPr fitToPage="1"/>
  </sheetPr>
  <dimension ref="B1:J36"/>
  <sheetViews>
    <sheetView topLeftCell="A36" zoomScaleNormal="100" zoomScaleSheetLayoutView="50" workbookViewId="0">
      <selection activeCell="G27" sqref="G27"/>
    </sheetView>
  </sheetViews>
  <sheetFormatPr baseColWidth="10" defaultColWidth="10.90625" defaultRowHeight="12.75"/>
  <cols>
    <col min="1" max="1" width="3" style="39" customWidth="1"/>
    <col min="2" max="2" width="12.453125" style="39" customWidth="1"/>
    <col min="3" max="3" width="12.1796875" style="39" customWidth="1"/>
    <col min="4" max="4" width="10.81640625" style="39" customWidth="1"/>
    <col min="5" max="5" width="7.81640625" style="138" bestFit="1" customWidth="1"/>
    <col min="6" max="8" width="7.08984375" style="138" customWidth="1"/>
    <col min="9" max="11" width="7.08984375" style="39" customWidth="1"/>
    <col min="12" max="12" width="6.6328125" style="39" customWidth="1"/>
    <col min="13" max="13" width="6.453125" style="39" customWidth="1"/>
    <col min="14" max="16384" width="10.90625" style="39"/>
  </cols>
  <sheetData>
    <row r="1" spans="2:10" s="19" customFormat="1">
      <c r="B1" s="789" t="s">
        <v>140</v>
      </c>
      <c r="C1" s="789"/>
      <c r="D1" s="789"/>
      <c r="E1" s="553"/>
      <c r="F1" s="553"/>
      <c r="G1" s="553"/>
      <c r="H1" s="553"/>
    </row>
    <row r="2" spans="2:10" s="19" customFormat="1">
      <c r="E2" s="553"/>
      <c r="F2" s="553"/>
      <c r="G2" s="553"/>
      <c r="H2" s="553"/>
    </row>
    <row r="3" spans="2:10" s="19" customFormat="1" ht="36.950000000000003" customHeight="1">
      <c r="B3" s="790" t="s">
        <v>394</v>
      </c>
      <c r="C3" s="789"/>
      <c r="D3" s="789"/>
      <c r="E3" s="553"/>
      <c r="F3" s="553"/>
      <c r="G3" s="553"/>
      <c r="H3" s="553"/>
    </row>
    <row r="4" spans="2:10" s="19" customFormat="1" ht="15.75" customHeight="1">
      <c r="B4" s="789" t="s">
        <v>668</v>
      </c>
      <c r="C4" s="789"/>
      <c r="D4" s="789"/>
      <c r="E4" s="553"/>
      <c r="F4" s="553"/>
      <c r="G4" s="553"/>
      <c r="H4" s="553"/>
    </row>
    <row r="5" spans="2:10" s="19" customFormat="1" ht="30" customHeight="1">
      <c r="B5" s="128" t="s">
        <v>127</v>
      </c>
      <c r="C5" s="128" t="s">
        <v>142</v>
      </c>
      <c r="D5" s="129" t="s">
        <v>143</v>
      </c>
      <c r="E5" s="553"/>
      <c r="F5" s="553"/>
      <c r="G5" s="553"/>
      <c r="H5" s="553"/>
    </row>
    <row r="6" spans="2:10" ht="15.75" customHeight="1">
      <c r="B6" s="800" t="s">
        <v>395</v>
      </c>
      <c r="C6" s="136" t="s">
        <v>157</v>
      </c>
      <c r="D6" s="133">
        <v>105</v>
      </c>
      <c r="E6" s="134"/>
      <c r="F6" s="137"/>
      <c r="G6" s="135"/>
      <c r="H6" s="135"/>
      <c r="I6" s="132"/>
      <c r="J6" s="28"/>
    </row>
    <row r="7" spans="2:10" ht="15.75" customHeight="1">
      <c r="B7" s="800"/>
      <c r="C7" s="136" t="s">
        <v>146</v>
      </c>
      <c r="D7" s="133">
        <v>643</v>
      </c>
      <c r="E7" s="134"/>
      <c r="F7" s="137"/>
      <c r="G7" s="135"/>
      <c r="H7" s="135"/>
      <c r="I7" s="132"/>
      <c r="J7" s="28"/>
    </row>
    <row r="8" spans="2:10" ht="15.75" customHeight="1">
      <c r="B8" s="800"/>
      <c r="C8" s="136" t="s">
        <v>147</v>
      </c>
      <c r="D8" s="133">
        <v>4481</v>
      </c>
      <c r="E8" s="134"/>
      <c r="F8" s="137"/>
      <c r="G8" s="135"/>
      <c r="H8" s="135"/>
      <c r="I8" s="132"/>
      <c r="J8" s="28"/>
    </row>
    <row r="9" spans="2:10" ht="15.75" customHeight="1">
      <c r="B9" s="800"/>
      <c r="C9" s="136" t="s">
        <v>148</v>
      </c>
      <c r="D9" s="133">
        <v>22482</v>
      </c>
      <c r="E9" s="134"/>
      <c r="F9" s="137"/>
      <c r="G9" s="135"/>
      <c r="H9" s="135"/>
      <c r="I9" s="132"/>
      <c r="J9" s="28"/>
    </row>
    <row r="10" spans="2:10" ht="15.75" customHeight="1">
      <c r="B10" s="800"/>
      <c r="C10" s="136" t="s">
        <v>149</v>
      </c>
      <c r="D10" s="133">
        <v>20660</v>
      </c>
      <c r="E10" s="134"/>
      <c r="F10" s="137"/>
      <c r="G10" s="135"/>
      <c r="H10" s="135"/>
      <c r="I10" s="132"/>
      <c r="J10" s="28"/>
    </row>
    <row r="11" spans="2:10" ht="15.75" customHeight="1">
      <c r="B11" s="800"/>
      <c r="C11" s="136" t="s">
        <v>150</v>
      </c>
      <c r="D11" s="133">
        <v>6877</v>
      </c>
      <c r="E11" s="134"/>
      <c r="F11" s="137"/>
      <c r="G11" s="135"/>
      <c r="H11" s="135"/>
      <c r="I11" s="132"/>
      <c r="J11" s="28"/>
    </row>
    <row r="12" spans="2:10" ht="15.75" customHeight="1">
      <c r="B12" s="800"/>
      <c r="C12" s="136" t="s">
        <v>151</v>
      </c>
      <c r="D12" s="133">
        <v>8793</v>
      </c>
      <c r="E12" s="134"/>
      <c r="F12" s="137"/>
      <c r="G12" s="135"/>
      <c r="H12" s="135"/>
      <c r="I12" s="132"/>
      <c r="J12" s="28"/>
    </row>
    <row r="13" spans="2:10" ht="15.75" customHeight="1">
      <c r="B13" s="800"/>
      <c r="C13" s="136" t="s">
        <v>152</v>
      </c>
      <c r="D13" s="133">
        <v>109</v>
      </c>
      <c r="E13" s="134"/>
      <c r="F13" s="137"/>
      <c r="G13" s="135"/>
      <c r="H13" s="135"/>
      <c r="I13" s="132"/>
      <c r="J13" s="28"/>
    </row>
    <row r="14" spans="2:10" ht="15.75" customHeight="1">
      <c r="B14" s="800"/>
      <c r="C14" s="136" t="s">
        <v>155</v>
      </c>
      <c r="D14" s="133">
        <v>436</v>
      </c>
      <c r="E14" s="134"/>
      <c r="F14" s="137"/>
      <c r="G14" s="135"/>
      <c r="H14" s="135"/>
      <c r="I14" s="132"/>
      <c r="J14" s="28"/>
    </row>
    <row r="15" spans="2:10" ht="15.75" customHeight="1">
      <c r="B15" s="936"/>
      <c r="C15" s="136" t="s">
        <v>156</v>
      </c>
      <c r="D15" s="133">
        <f>SUM(D6:D14)</f>
        <v>64586</v>
      </c>
      <c r="E15" s="134"/>
      <c r="F15" s="137"/>
      <c r="G15" s="135"/>
      <c r="H15" s="135"/>
      <c r="I15" s="132"/>
      <c r="J15" s="28"/>
    </row>
    <row r="16" spans="2:10" ht="15.75" customHeight="1">
      <c r="B16" s="800" t="s">
        <v>396</v>
      </c>
      <c r="C16" s="319" t="s">
        <v>157</v>
      </c>
      <c r="D16" s="133">
        <v>113</v>
      </c>
      <c r="E16" s="134"/>
      <c r="G16" s="135"/>
      <c r="I16" s="132"/>
      <c r="J16" s="131"/>
    </row>
    <row r="17" spans="2:10" ht="15.75" customHeight="1">
      <c r="B17" s="800"/>
      <c r="C17" s="319" t="s">
        <v>146</v>
      </c>
      <c r="D17" s="133">
        <v>211</v>
      </c>
      <c r="E17" s="134"/>
      <c r="G17" s="135"/>
      <c r="I17" s="132"/>
      <c r="J17" s="131"/>
    </row>
    <row r="18" spans="2:10" ht="15.75" customHeight="1">
      <c r="B18" s="800"/>
      <c r="C18" s="319" t="s">
        <v>147</v>
      </c>
      <c r="D18" s="133">
        <v>2475</v>
      </c>
      <c r="E18" s="134"/>
      <c r="G18" s="135"/>
      <c r="I18" s="132"/>
      <c r="J18" s="131"/>
    </row>
    <row r="19" spans="2:10" ht="15.75" customHeight="1">
      <c r="B19" s="800"/>
      <c r="C19" s="319" t="s">
        <v>148</v>
      </c>
      <c r="D19" s="133">
        <v>22025</v>
      </c>
      <c r="E19" s="134"/>
      <c r="F19" s="290"/>
      <c r="G19" s="135"/>
      <c r="I19" s="132"/>
      <c r="J19" s="131"/>
    </row>
    <row r="20" spans="2:10" ht="15.75" customHeight="1">
      <c r="B20" s="800"/>
      <c r="C20" s="319" t="s">
        <v>149</v>
      </c>
      <c r="D20" s="133">
        <v>20346</v>
      </c>
      <c r="E20" s="134"/>
      <c r="F20" s="290"/>
      <c r="G20" s="135"/>
      <c r="I20" s="132"/>
      <c r="J20" s="131"/>
    </row>
    <row r="21" spans="2:10" ht="15.75" customHeight="1">
      <c r="B21" s="800"/>
      <c r="C21" s="39" t="s">
        <v>150</v>
      </c>
      <c r="D21" s="133">
        <v>7313</v>
      </c>
      <c r="E21" s="134"/>
      <c r="F21" s="290"/>
      <c r="G21" s="135"/>
      <c r="I21" s="132"/>
      <c r="J21" s="131"/>
    </row>
    <row r="22" spans="2:10" ht="15.75" customHeight="1">
      <c r="B22" s="800"/>
      <c r="C22" s="319" t="s">
        <v>151</v>
      </c>
      <c r="D22" s="133">
        <v>14239</v>
      </c>
      <c r="E22" s="134"/>
      <c r="G22" s="135"/>
      <c r="I22" s="132"/>
      <c r="J22" s="131"/>
    </row>
    <row r="23" spans="2:10" ht="15.75" customHeight="1">
      <c r="B23" s="800"/>
      <c r="C23" s="319" t="s">
        <v>152</v>
      </c>
      <c r="D23" s="133">
        <v>53</v>
      </c>
      <c r="E23" s="134"/>
      <c r="G23" s="135"/>
      <c r="H23" s="135"/>
      <c r="I23" s="132"/>
    </row>
    <row r="24" spans="2:10" ht="15.75" customHeight="1">
      <c r="B24" s="800"/>
      <c r="C24" s="319" t="s">
        <v>155</v>
      </c>
      <c r="D24" s="133">
        <v>436</v>
      </c>
      <c r="E24" s="134"/>
      <c r="G24" s="135"/>
      <c r="H24" s="135"/>
      <c r="I24" s="132"/>
    </row>
    <row r="25" spans="2:10" ht="17.25" customHeight="1">
      <c r="B25" s="936"/>
      <c r="C25" s="320" t="s">
        <v>156</v>
      </c>
      <c r="D25" s="133">
        <f>SUM(D16:D24)</f>
        <v>67211</v>
      </c>
      <c r="E25" s="21"/>
      <c r="F25" s="21"/>
      <c r="G25" s="21"/>
      <c r="H25" s="21"/>
      <c r="I25" s="1"/>
    </row>
    <row r="26" spans="2:10" ht="17.25" customHeight="1">
      <c r="B26" s="800" t="s">
        <v>667</v>
      </c>
      <c r="C26" s="319" t="s">
        <v>157</v>
      </c>
      <c r="D26" s="133">
        <v>0</v>
      </c>
      <c r="E26" s="21"/>
      <c r="F26" s="21"/>
      <c r="G26" s="21"/>
      <c r="H26" s="21"/>
      <c r="I26" s="1"/>
    </row>
    <row r="27" spans="2:10" ht="17.25" customHeight="1">
      <c r="B27" s="800"/>
      <c r="C27" s="319" t="s">
        <v>146</v>
      </c>
      <c r="D27" s="133">
        <v>366</v>
      </c>
      <c r="E27" s="21"/>
      <c r="F27" s="21"/>
      <c r="G27" s="21"/>
      <c r="H27" s="21"/>
      <c r="I27" s="1"/>
    </row>
    <row r="28" spans="2:10" ht="17.25" customHeight="1">
      <c r="B28" s="800"/>
      <c r="C28" s="319" t="s">
        <v>147</v>
      </c>
      <c r="D28" s="133">
        <v>2295</v>
      </c>
      <c r="E28" s="21"/>
      <c r="F28" s="21"/>
      <c r="G28" s="21"/>
      <c r="H28" s="21"/>
      <c r="I28" s="1"/>
    </row>
    <row r="29" spans="2:10" ht="17.25" customHeight="1">
      <c r="B29" s="800"/>
      <c r="C29" s="319" t="s">
        <v>148</v>
      </c>
      <c r="D29" s="133">
        <v>13555</v>
      </c>
      <c r="E29" s="21"/>
      <c r="F29" s="21"/>
      <c r="G29" s="21"/>
      <c r="H29" s="21"/>
      <c r="I29" s="1"/>
    </row>
    <row r="30" spans="2:10" ht="23.65" customHeight="1">
      <c r="B30" s="800"/>
      <c r="C30" s="319" t="s">
        <v>149</v>
      </c>
      <c r="D30" s="133">
        <v>19274</v>
      </c>
      <c r="E30" s="21"/>
      <c r="F30" s="21"/>
      <c r="G30" s="21"/>
      <c r="H30" s="21"/>
      <c r="I30" s="1"/>
    </row>
    <row r="31" spans="2:10" ht="17.25" customHeight="1">
      <c r="B31" s="800"/>
      <c r="C31" s="39" t="s">
        <v>150</v>
      </c>
      <c r="D31" s="133">
        <v>7194</v>
      </c>
      <c r="E31" s="21"/>
      <c r="F31" s="21"/>
      <c r="G31" s="21"/>
      <c r="H31" s="21"/>
      <c r="I31" s="1"/>
    </row>
    <row r="32" spans="2:10" ht="17.25" customHeight="1">
      <c r="B32" s="800"/>
      <c r="C32" s="319" t="s">
        <v>151</v>
      </c>
      <c r="D32" s="133">
        <v>12002</v>
      </c>
      <c r="E32" s="21"/>
      <c r="F32" s="21"/>
      <c r="G32" s="21"/>
      <c r="H32" s="21"/>
      <c r="I32" s="1"/>
    </row>
    <row r="33" spans="2:9" ht="17.25" customHeight="1">
      <c r="B33" s="800"/>
      <c r="C33" s="319" t="s">
        <v>152</v>
      </c>
      <c r="D33" s="133">
        <v>0</v>
      </c>
      <c r="E33" s="21"/>
      <c r="F33" s="21"/>
      <c r="G33" s="21"/>
      <c r="H33" s="21"/>
      <c r="I33" s="1"/>
    </row>
    <row r="34" spans="2:9" ht="17.25" customHeight="1">
      <c r="B34" s="800"/>
      <c r="C34" s="319" t="s">
        <v>155</v>
      </c>
      <c r="D34" s="133">
        <v>436</v>
      </c>
      <c r="E34" s="21"/>
      <c r="F34" s="21"/>
      <c r="G34" s="21"/>
      <c r="H34" s="21"/>
      <c r="I34" s="1"/>
    </row>
    <row r="35" spans="2:9" ht="17.25" customHeight="1">
      <c r="B35" s="936"/>
      <c r="C35" s="320" t="s">
        <v>156</v>
      </c>
      <c r="D35" s="133">
        <f>SUM(D26:D34)</f>
        <v>55122</v>
      </c>
      <c r="E35" s="21"/>
      <c r="F35" s="21"/>
      <c r="G35" s="21"/>
      <c r="H35" s="21"/>
      <c r="I35" s="1"/>
    </row>
    <row r="36" spans="2:9" ht="36" customHeight="1">
      <c r="B36" s="794" t="s">
        <v>158</v>
      </c>
      <c r="C36" s="795"/>
      <c r="D36" s="796"/>
      <c r="E36" s="321"/>
      <c r="F36" s="321"/>
    </row>
  </sheetData>
  <mergeCells count="7">
    <mergeCell ref="B36:D36"/>
    <mergeCell ref="B1:D1"/>
    <mergeCell ref="B3:D3"/>
    <mergeCell ref="B4:D4"/>
    <mergeCell ref="B6:B15"/>
    <mergeCell ref="B16:B25"/>
    <mergeCell ref="B26:B35"/>
  </mergeCells>
  <phoneticPr fontId="47" type="noConversion"/>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pageSetUpPr fitToPage="1"/>
  </sheetPr>
  <dimension ref="B1:Q33"/>
  <sheetViews>
    <sheetView zoomScaleNormal="100" zoomScaleSheetLayoutView="50" workbookViewId="0">
      <selection activeCell="B5" sqref="B5"/>
    </sheetView>
  </sheetViews>
  <sheetFormatPr baseColWidth="10" defaultColWidth="10.90625" defaultRowHeight="12.75"/>
  <cols>
    <col min="1" max="1" width="1.7265625" style="39" customWidth="1"/>
    <col min="2" max="2" width="9" style="39" customWidth="1"/>
    <col min="3" max="3" width="12.1796875" style="39" customWidth="1"/>
    <col min="4" max="5" width="10.81640625" style="39" customWidth="1"/>
    <col min="6" max="6" width="13.90625" style="39" customWidth="1"/>
    <col min="7" max="7" width="10.90625" style="138" customWidth="1"/>
    <col min="8" max="11" width="10.90625" style="39" customWidth="1"/>
    <col min="12" max="14" width="10.90625" style="140" customWidth="1"/>
    <col min="15" max="16" width="10.90625" style="39" customWidth="1"/>
    <col min="17" max="16384" width="10.90625" style="39"/>
  </cols>
  <sheetData>
    <row r="1" spans="2:17" s="19" customFormat="1">
      <c r="B1" s="789" t="s">
        <v>159</v>
      </c>
      <c r="C1" s="789"/>
      <c r="D1" s="789"/>
      <c r="E1" s="789"/>
      <c r="F1" s="789"/>
      <c r="G1" s="553"/>
      <c r="L1" s="139"/>
      <c r="M1" s="139"/>
      <c r="N1" s="139"/>
    </row>
    <row r="2" spans="2:17" s="19" customFormat="1">
      <c r="G2" s="553"/>
      <c r="L2" s="139"/>
      <c r="M2" s="139"/>
      <c r="N2" s="139"/>
    </row>
    <row r="3" spans="2:17" s="19" customFormat="1" ht="29.25" customHeight="1">
      <c r="B3" s="790" t="s">
        <v>397</v>
      </c>
      <c r="C3" s="789"/>
      <c r="D3" s="789"/>
      <c r="E3" s="789"/>
      <c r="F3" s="789"/>
      <c r="G3" s="553"/>
      <c r="L3" s="139"/>
      <c r="M3" s="139"/>
      <c r="N3" s="139"/>
    </row>
    <row r="4" spans="2:17" s="19" customFormat="1" ht="17.25" customHeight="1">
      <c r="B4" s="789" t="s">
        <v>730</v>
      </c>
      <c r="C4" s="789"/>
      <c r="D4" s="789"/>
      <c r="E4" s="789"/>
      <c r="F4" s="789"/>
      <c r="G4" s="553"/>
      <c r="L4" s="139"/>
      <c r="M4" s="139"/>
      <c r="N4" s="139"/>
    </row>
    <row r="5" spans="2:17" s="19" customFormat="1" ht="30" customHeight="1">
      <c r="B5" s="103" t="s">
        <v>127</v>
      </c>
      <c r="C5" s="128" t="s">
        <v>142</v>
      </c>
      <c r="D5" s="129" t="s">
        <v>143</v>
      </c>
      <c r="E5" s="129" t="s">
        <v>144</v>
      </c>
      <c r="F5" s="129" t="s">
        <v>398</v>
      </c>
      <c r="G5" s="553"/>
      <c r="L5" s="139"/>
      <c r="M5" s="139"/>
      <c r="N5" s="139"/>
    </row>
    <row r="6" spans="2:17" ht="15.75" customHeight="1">
      <c r="B6" s="936" t="s">
        <v>138</v>
      </c>
      <c r="C6" s="322" t="s">
        <v>157</v>
      </c>
      <c r="D6" s="326">
        <v>105</v>
      </c>
      <c r="E6" s="326">
        <f>4161/10</f>
        <v>416.1</v>
      </c>
      <c r="F6" s="485">
        <v>39.628571428571398</v>
      </c>
      <c r="G6" s="134"/>
      <c r="H6" s="141"/>
      <c r="I6" s="142"/>
      <c r="J6" s="142"/>
      <c r="K6" s="142"/>
    </row>
    <row r="7" spans="2:17" ht="15.75" customHeight="1">
      <c r="B7" s="799"/>
      <c r="C7" s="322" t="s">
        <v>146</v>
      </c>
      <c r="D7" s="326">
        <v>643</v>
      </c>
      <c r="E7" s="326">
        <f>4954/10</f>
        <v>495.4</v>
      </c>
      <c r="F7" s="485">
        <v>7.7045101088646968</v>
      </c>
      <c r="G7" s="134"/>
      <c r="H7" s="141"/>
      <c r="I7" s="142"/>
      <c r="J7" s="142"/>
      <c r="K7" s="142"/>
    </row>
    <row r="8" spans="2:17" ht="15.75" customHeight="1">
      <c r="B8" s="799"/>
      <c r="C8" s="322" t="s">
        <v>147</v>
      </c>
      <c r="D8" s="326">
        <v>3608</v>
      </c>
      <c r="E8" s="326">
        <f>240756/10</f>
        <v>24075.599999999999</v>
      </c>
      <c r="F8" s="485">
        <v>66.728381374722844</v>
      </c>
      <c r="G8" s="134"/>
      <c r="H8" s="141"/>
      <c r="I8" s="142"/>
      <c r="J8" s="142"/>
      <c r="K8" s="142"/>
    </row>
    <row r="9" spans="2:17" ht="15.75" customHeight="1">
      <c r="B9" s="799"/>
      <c r="C9" s="322" t="s">
        <v>148</v>
      </c>
      <c r="D9" s="326">
        <v>19962</v>
      </c>
      <c r="E9" s="326">
        <f>1919762/10</f>
        <v>191976.2</v>
      </c>
      <c r="F9" s="485">
        <v>96.170824566676686</v>
      </c>
      <c r="G9" s="134"/>
      <c r="H9" s="132"/>
      <c r="I9" s="142"/>
      <c r="J9" s="142"/>
      <c r="K9" s="142"/>
    </row>
    <row r="10" spans="2:17" ht="15.75" customHeight="1">
      <c r="B10" s="799"/>
      <c r="C10" s="322" t="s">
        <v>149</v>
      </c>
      <c r="D10" s="326">
        <v>15580</v>
      </c>
      <c r="E10" s="326">
        <f>1711689/10</f>
        <v>171168.9</v>
      </c>
      <c r="F10" s="485">
        <v>109.86450577663672</v>
      </c>
      <c r="G10" s="134"/>
      <c r="H10" s="132"/>
      <c r="I10" s="142"/>
      <c r="J10" s="142"/>
      <c r="K10" s="142"/>
    </row>
    <row r="11" spans="2:17" ht="15.75" customHeight="1">
      <c r="B11" s="799"/>
      <c r="C11" s="39" t="s">
        <v>150</v>
      </c>
      <c r="D11" s="326">
        <v>5999</v>
      </c>
      <c r="E11" s="326">
        <f>729980/10</f>
        <v>72998</v>
      </c>
      <c r="F11" s="485">
        <v>121.68361393565594</v>
      </c>
      <c r="G11" s="134"/>
      <c r="H11" s="132"/>
      <c r="I11" s="142"/>
      <c r="J11" s="142"/>
      <c r="K11" s="142"/>
    </row>
    <row r="12" spans="2:17" ht="15.75" customHeight="1">
      <c r="B12" s="799"/>
      <c r="C12" s="322" t="s">
        <v>151</v>
      </c>
      <c r="D12" s="326">
        <v>8288</v>
      </c>
      <c r="E12" s="326">
        <f>1022879/10</f>
        <v>102287.9</v>
      </c>
      <c r="F12" s="485">
        <v>123.41686776061776</v>
      </c>
      <c r="G12" s="134"/>
      <c r="H12" s="554"/>
      <c r="I12" s="555"/>
      <c r="J12" s="555"/>
      <c r="K12" s="555"/>
      <c r="L12" s="556"/>
      <c r="M12" s="556"/>
      <c r="N12" s="556"/>
      <c r="O12" s="556"/>
      <c r="P12" s="556"/>
      <c r="Q12" s="556"/>
    </row>
    <row r="13" spans="2:17" ht="15.75" customHeight="1">
      <c r="B13" s="799"/>
      <c r="C13" s="322" t="s">
        <v>152</v>
      </c>
      <c r="D13" s="326">
        <v>109</v>
      </c>
      <c r="E13" s="326">
        <f>11990/10</f>
        <v>1199</v>
      </c>
      <c r="F13" s="485">
        <v>110</v>
      </c>
      <c r="G13" s="134"/>
      <c r="H13" s="554"/>
      <c r="I13" s="555"/>
      <c r="J13" s="555"/>
      <c r="K13" s="555"/>
      <c r="L13" s="556"/>
      <c r="M13" s="556"/>
      <c r="N13" s="556"/>
      <c r="O13" s="556"/>
      <c r="P13" s="556"/>
      <c r="Q13" s="556"/>
    </row>
    <row r="14" spans="2:17" ht="15.75" customHeight="1">
      <c r="B14" s="799"/>
      <c r="C14" s="322" t="s">
        <v>155</v>
      </c>
      <c r="D14" s="326">
        <v>385</v>
      </c>
      <c r="E14" s="326">
        <f>12667/10</f>
        <v>1266.7</v>
      </c>
      <c r="F14" s="485">
        <v>32.9012987012987</v>
      </c>
      <c r="G14" s="134"/>
      <c r="H14" s="554"/>
      <c r="I14" s="555"/>
      <c r="J14" s="555"/>
      <c r="K14" s="555"/>
      <c r="L14" s="556"/>
      <c r="M14" s="556"/>
      <c r="N14" s="556"/>
      <c r="O14" s="556"/>
      <c r="P14" s="556"/>
      <c r="Q14" s="556"/>
    </row>
    <row r="15" spans="2:17" ht="15.75" customHeight="1">
      <c r="B15" s="937"/>
      <c r="C15" s="322" t="s">
        <v>156</v>
      </c>
      <c r="D15" s="326">
        <f>SUM(D6:D14)</f>
        <v>54679</v>
      </c>
      <c r="E15" s="326">
        <f>SUM(E6:E14)</f>
        <v>565883.79999999993</v>
      </c>
      <c r="F15" s="485">
        <f t="shared" ref="F15" si="0">E15/D15*10</f>
        <v>103.49198046782128</v>
      </c>
      <c r="G15" s="134"/>
      <c r="H15" s="554"/>
      <c r="I15" s="556"/>
      <c r="J15" s="555"/>
      <c r="K15" s="555"/>
      <c r="L15" s="556"/>
      <c r="M15" s="556"/>
      <c r="N15" s="556"/>
      <c r="O15" s="556"/>
      <c r="P15" s="556"/>
      <c r="Q15" s="556"/>
    </row>
    <row r="16" spans="2:17" ht="15.75" customHeight="1">
      <c r="B16" s="936" t="s">
        <v>139</v>
      </c>
      <c r="C16" s="322" t="s">
        <v>157</v>
      </c>
      <c r="D16" s="326">
        <v>113</v>
      </c>
      <c r="E16" s="326">
        <f>D16*F16/10</f>
        <v>549.29999999999995</v>
      </c>
      <c r="F16" s="485">
        <v>48.610619469026545</v>
      </c>
      <c r="G16" s="39"/>
      <c r="H16" s="554"/>
      <c r="I16" s="556"/>
      <c r="J16" s="555"/>
      <c r="K16" s="556"/>
      <c r="L16" s="557"/>
      <c r="M16" s="554"/>
      <c r="N16" s="558"/>
      <c r="O16" s="556"/>
      <c r="P16" s="556"/>
      <c r="Q16" s="556"/>
    </row>
    <row r="17" spans="2:17" ht="15.75" customHeight="1">
      <c r="B17" s="799"/>
      <c r="C17" s="322" t="s">
        <v>146</v>
      </c>
      <c r="D17" s="326">
        <v>211</v>
      </c>
      <c r="E17" s="326">
        <f t="shared" ref="E17:E24" si="1">D17*F17/10</f>
        <v>2484.6999999999998</v>
      </c>
      <c r="F17" s="485">
        <v>117.75829383886256</v>
      </c>
      <c r="G17" s="39"/>
      <c r="H17" s="554"/>
      <c r="I17" s="556"/>
      <c r="J17" s="555"/>
      <c r="K17" s="556"/>
      <c r="L17" s="557"/>
      <c r="M17" s="554"/>
      <c r="N17" s="558"/>
      <c r="O17" s="556"/>
      <c r="P17" s="556"/>
      <c r="Q17" s="556"/>
    </row>
    <row r="18" spans="2:17" ht="15.75" customHeight="1">
      <c r="B18" s="799"/>
      <c r="C18" s="322" t="s">
        <v>147</v>
      </c>
      <c r="D18" s="326">
        <v>1841</v>
      </c>
      <c r="E18" s="326">
        <f t="shared" si="1"/>
        <v>20123.7</v>
      </c>
      <c r="F18" s="485">
        <v>109.30852797392721</v>
      </c>
      <c r="G18" s="39"/>
      <c r="H18" s="554"/>
      <c r="I18" s="556"/>
      <c r="J18" s="555"/>
      <c r="K18" s="556"/>
      <c r="L18" s="557"/>
      <c r="M18" s="554"/>
      <c r="N18" s="558"/>
      <c r="O18" s="556"/>
      <c r="P18" s="556"/>
      <c r="Q18" s="556"/>
    </row>
    <row r="19" spans="2:17" ht="15.75" customHeight="1">
      <c r="B19" s="799"/>
      <c r="C19" s="322" t="s">
        <v>148</v>
      </c>
      <c r="D19" s="326">
        <v>20445</v>
      </c>
      <c r="E19" s="326">
        <f t="shared" si="1"/>
        <v>281940.40000000002</v>
      </c>
      <c r="F19" s="485">
        <v>137.90188310100268</v>
      </c>
      <c r="G19" s="39"/>
      <c r="H19" s="554"/>
      <c r="I19" s="556"/>
      <c r="J19" s="555"/>
      <c r="K19" s="556"/>
      <c r="L19" s="557"/>
      <c r="M19" s="554"/>
      <c r="N19" s="558"/>
      <c r="O19" s="556"/>
      <c r="P19" s="556"/>
      <c r="Q19" s="556"/>
    </row>
    <row r="20" spans="2:17" ht="15.75" customHeight="1">
      <c r="B20" s="799"/>
      <c r="C20" s="322" t="s">
        <v>149</v>
      </c>
      <c r="D20" s="326">
        <v>16255</v>
      </c>
      <c r="E20" s="326">
        <f t="shared" si="1"/>
        <v>192941.3</v>
      </c>
      <c r="F20" s="485">
        <v>118.69658566594894</v>
      </c>
      <c r="G20" s="39"/>
      <c r="H20" s="132"/>
      <c r="J20" s="142"/>
      <c r="L20" s="143"/>
      <c r="M20" s="144"/>
      <c r="N20" s="145"/>
    </row>
    <row r="21" spans="2:17" ht="15.75" customHeight="1">
      <c r="B21" s="799"/>
      <c r="C21" s="39" t="s">
        <v>150</v>
      </c>
      <c r="D21" s="326">
        <v>6571</v>
      </c>
      <c r="E21" s="326">
        <f t="shared" si="1"/>
        <v>84241.4</v>
      </c>
      <c r="F21" s="485">
        <v>128.2017957692893</v>
      </c>
      <c r="G21" s="39"/>
      <c r="H21" s="132"/>
      <c r="J21" s="142"/>
      <c r="L21" s="143"/>
      <c r="M21" s="144"/>
      <c r="N21" s="145"/>
    </row>
    <row r="22" spans="2:17" ht="15.75" customHeight="1">
      <c r="B22" s="799"/>
      <c r="C22" s="322" t="s">
        <v>151</v>
      </c>
      <c r="D22" s="326">
        <v>13854</v>
      </c>
      <c r="E22" s="326">
        <f t="shared" si="1"/>
        <v>187727.7</v>
      </c>
      <c r="F22" s="485">
        <v>135.50433087916846</v>
      </c>
      <c r="G22" s="39"/>
      <c r="H22" s="132"/>
      <c r="J22" s="142"/>
      <c r="L22" s="143"/>
      <c r="M22" s="144"/>
      <c r="N22" s="145"/>
    </row>
    <row r="23" spans="2:17" ht="15.75" customHeight="1">
      <c r="B23" s="799"/>
      <c r="C23" s="322" t="s">
        <v>152</v>
      </c>
      <c r="D23" s="326">
        <v>53</v>
      </c>
      <c r="E23" s="326">
        <f t="shared" si="1"/>
        <v>685.29000000000008</v>
      </c>
      <c r="F23" s="485">
        <v>129.30000000000001</v>
      </c>
      <c r="G23" s="39"/>
      <c r="H23" s="132"/>
      <c r="J23" s="142"/>
      <c r="L23" s="143"/>
      <c r="M23" s="144"/>
      <c r="N23" s="145"/>
    </row>
    <row r="24" spans="2:17" ht="15.75" customHeight="1">
      <c r="B24" s="799"/>
      <c r="C24" s="322" t="s">
        <v>155</v>
      </c>
      <c r="D24" s="326">
        <v>385</v>
      </c>
      <c r="E24" s="326">
        <f t="shared" si="1"/>
        <v>1266.7</v>
      </c>
      <c r="F24" s="485">
        <v>32.9012987012987</v>
      </c>
      <c r="G24" s="39"/>
      <c r="H24" s="132"/>
      <c r="J24" s="142"/>
      <c r="L24" s="143"/>
      <c r="M24" s="144"/>
      <c r="N24" s="145"/>
    </row>
    <row r="25" spans="2:17" ht="18.95" customHeight="1">
      <c r="B25" s="937"/>
      <c r="C25" s="322" t="s">
        <v>156</v>
      </c>
      <c r="D25" s="326">
        <f>SUM(D16:D24)</f>
        <v>59728</v>
      </c>
      <c r="E25" s="326">
        <v>771960</v>
      </c>
      <c r="F25" s="485">
        <v>129.19999999999999</v>
      </c>
      <c r="G25" s="39"/>
    </row>
    <row r="26" spans="2:17">
      <c r="B26" s="799" t="s">
        <v>659</v>
      </c>
      <c r="C26" s="322" t="s">
        <v>146</v>
      </c>
      <c r="D26" s="326">
        <v>366</v>
      </c>
      <c r="E26" s="326">
        <f>22568.0224107156/10</f>
        <v>2256.8022410715598</v>
      </c>
      <c r="F26" s="485">
        <v>61.661263417255832</v>
      </c>
      <c r="G26" s="39"/>
      <c r="H26" s="325"/>
    </row>
    <row r="27" spans="2:17">
      <c r="B27" s="799"/>
      <c r="C27" s="322" t="s">
        <v>147</v>
      </c>
      <c r="D27" s="326">
        <v>1747</v>
      </c>
      <c r="E27" s="326">
        <f>216966.801301374/10</f>
        <v>21696.6801301374</v>
      </c>
      <c r="F27" s="485">
        <v>124.19393320055781</v>
      </c>
    </row>
    <row r="28" spans="2:17">
      <c r="B28" s="799"/>
      <c r="C28" s="322" t="s">
        <v>148</v>
      </c>
      <c r="D28" s="326">
        <v>13023</v>
      </c>
      <c r="E28" s="326">
        <f>1707094.17887291/10</f>
        <v>170709.417887291</v>
      </c>
      <c r="F28" s="485">
        <v>131.08302072279153</v>
      </c>
    </row>
    <row r="29" spans="2:17">
      <c r="B29" s="799"/>
      <c r="C29" s="322" t="s">
        <v>149</v>
      </c>
      <c r="D29" s="326">
        <v>14373</v>
      </c>
      <c r="E29" s="326">
        <f>1641784.16631184/10</f>
        <v>164178.41663118399</v>
      </c>
      <c r="F29" s="485">
        <v>114.22696488637334</v>
      </c>
    </row>
    <row r="30" spans="2:17">
      <c r="B30" s="799"/>
      <c r="C30" s="39" t="s">
        <v>150</v>
      </c>
      <c r="D30" s="326">
        <v>6468</v>
      </c>
      <c r="E30" s="326">
        <f>788111.348936312/10</f>
        <v>78811.134893631199</v>
      </c>
      <c r="F30" s="485">
        <v>121.84776576009779</v>
      </c>
    </row>
    <row r="31" spans="2:17">
      <c r="B31" s="799"/>
      <c r="C31" s="322" t="s">
        <v>151</v>
      </c>
      <c r="D31" s="326">
        <v>11952</v>
      </c>
      <c r="E31" s="326">
        <f>1513027.41487477/10</f>
        <v>151302.741487477</v>
      </c>
      <c r="F31" s="485">
        <v>126.59198584962924</v>
      </c>
    </row>
    <row r="32" spans="2:17">
      <c r="B32" s="799"/>
      <c r="C32" s="322" t="s">
        <v>155</v>
      </c>
      <c r="D32" s="326">
        <v>385</v>
      </c>
      <c r="E32" s="326">
        <f>12667/10</f>
        <v>1266.7</v>
      </c>
      <c r="F32" s="485">
        <v>32.9012987012987</v>
      </c>
    </row>
    <row r="33" spans="2:6">
      <c r="B33" s="937"/>
      <c r="C33" s="322" t="s">
        <v>156</v>
      </c>
      <c r="D33" s="326">
        <v>48314</v>
      </c>
      <c r="E33" s="326">
        <f>5902218.93270793/10</f>
        <v>590221.89327079302</v>
      </c>
      <c r="F33" s="485">
        <v>122.16373996580556</v>
      </c>
    </row>
  </sheetData>
  <mergeCells count="6">
    <mergeCell ref="B26:B33"/>
    <mergeCell ref="B1:F1"/>
    <mergeCell ref="B3:F3"/>
    <mergeCell ref="B4:F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pageSetUpPr fitToPage="1"/>
  </sheetPr>
  <dimension ref="B1:F31"/>
  <sheetViews>
    <sheetView zoomScaleNormal="100" workbookViewId="0">
      <selection activeCell="G15" sqref="G15"/>
    </sheetView>
  </sheetViews>
  <sheetFormatPr baseColWidth="10" defaultColWidth="10.90625" defaultRowHeight="16.5" customHeight="1"/>
  <cols>
    <col min="1" max="1" width="3.08984375" customWidth="1"/>
    <col min="2" max="2" width="25.08984375" customWidth="1"/>
    <col min="3" max="4" width="10.6328125" customWidth="1"/>
    <col min="5" max="5" width="10.453125" customWidth="1"/>
    <col min="6" max="6" width="10.90625" style="146" customWidth="1"/>
  </cols>
  <sheetData>
    <row r="1" spans="2:6" ht="16.5" customHeight="1">
      <c r="B1" s="789" t="s">
        <v>162</v>
      </c>
      <c r="C1" s="789"/>
      <c r="D1" s="789"/>
      <c r="E1" s="789"/>
      <c r="F1" s="553"/>
    </row>
    <row r="2" spans="2:6" ht="16.5" customHeight="1">
      <c r="B2" s="31"/>
      <c r="C2" s="31"/>
      <c r="D2" s="31"/>
      <c r="E2" s="31"/>
      <c r="F2" s="553"/>
    </row>
    <row r="3" spans="2:6" ht="33.4" customHeight="1">
      <c r="B3" s="790" t="s">
        <v>715</v>
      </c>
      <c r="C3" s="809"/>
      <c r="D3" s="809"/>
      <c r="E3" s="809"/>
    </row>
    <row r="4" spans="2:6" ht="30.75" customHeight="1">
      <c r="B4" s="791" t="s">
        <v>716</v>
      </c>
      <c r="C4" s="791"/>
      <c r="D4" s="791"/>
      <c r="E4" s="791"/>
    </row>
    <row r="5" spans="2:6" ht="16.5" customHeight="1">
      <c r="B5" s="940"/>
      <c r="C5" s="940"/>
      <c r="D5" s="940"/>
      <c r="E5" s="940"/>
    </row>
    <row r="7" spans="2:6" ht="15.75" customHeight="1">
      <c r="B7" s="941" t="s">
        <v>142</v>
      </c>
      <c r="C7" s="941"/>
      <c r="D7" s="830" t="s">
        <v>148</v>
      </c>
      <c r="E7" s="830"/>
      <c r="F7"/>
    </row>
    <row r="8" spans="2:6" ht="15.75" customHeight="1">
      <c r="B8" s="806" t="s">
        <v>399</v>
      </c>
      <c r="C8" s="806"/>
      <c r="D8" s="939">
        <v>130</v>
      </c>
      <c r="E8" s="939"/>
      <c r="F8"/>
    </row>
    <row r="9" spans="2:6" ht="15.75" customHeight="1">
      <c r="B9" s="945"/>
      <c r="C9" s="945"/>
      <c r="D9" s="945"/>
      <c r="E9" s="945"/>
      <c r="F9"/>
    </row>
    <row r="10" spans="2:6" ht="15.75" customHeight="1">
      <c r="B10" s="806" t="s">
        <v>400</v>
      </c>
      <c r="C10" s="806"/>
      <c r="D10" s="939" t="s">
        <v>401</v>
      </c>
      <c r="E10" s="939"/>
      <c r="F10"/>
    </row>
    <row r="11" spans="2:6" ht="15.75" customHeight="1">
      <c r="B11" s="806" t="s">
        <v>166</v>
      </c>
      <c r="C11" s="806"/>
      <c r="D11" s="938">
        <v>92000</v>
      </c>
      <c r="E11" s="938"/>
      <c r="F11"/>
    </row>
    <row r="12" spans="2:6" ht="15.75" customHeight="1">
      <c r="B12" s="806" t="s">
        <v>167</v>
      </c>
      <c r="C12" s="806"/>
      <c r="D12" s="938">
        <v>510000</v>
      </c>
      <c r="E12" s="938"/>
      <c r="F12"/>
    </row>
    <row r="13" spans="2:6" ht="15.75" customHeight="1">
      <c r="B13" s="806" t="s">
        <v>168</v>
      </c>
      <c r="C13" s="806"/>
      <c r="D13" s="938">
        <v>1950420</v>
      </c>
      <c r="E13" s="938"/>
      <c r="F13"/>
    </row>
    <row r="14" spans="2:6" ht="15.75" customHeight="1">
      <c r="B14" s="808" t="s">
        <v>402</v>
      </c>
      <c r="C14" s="808"/>
      <c r="D14" s="938">
        <f>127621+778802</f>
        <v>906423</v>
      </c>
      <c r="E14" s="938"/>
      <c r="F14"/>
    </row>
    <row r="15" spans="2:6" ht="15.75" customHeight="1">
      <c r="B15" s="806" t="s">
        <v>169</v>
      </c>
      <c r="C15" s="806"/>
      <c r="D15" s="938">
        <f>SUM(D11:D14)</f>
        <v>3458843</v>
      </c>
      <c r="E15" s="938"/>
      <c r="F15"/>
    </row>
    <row r="16" spans="2:6" ht="15.75" customHeight="1">
      <c r="B16" s="819" t="s">
        <v>403</v>
      </c>
      <c r="C16" s="819"/>
      <c r="D16" s="938">
        <f>$B$21*D8</f>
        <v>3999970</v>
      </c>
      <c r="E16" s="938"/>
      <c r="F16"/>
    </row>
    <row r="17" spans="2:6" ht="15.75" customHeight="1">
      <c r="B17" s="819" t="s">
        <v>172</v>
      </c>
      <c r="C17" s="819"/>
      <c r="D17" s="938">
        <f>D16-D15</f>
        <v>541127</v>
      </c>
      <c r="E17" s="938"/>
      <c r="F17"/>
    </row>
    <row r="18" spans="2:6" ht="16.5" customHeight="1">
      <c r="B18" s="821" t="s">
        <v>404</v>
      </c>
      <c r="C18" s="821"/>
      <c r="D18" s="821"/>
      <c r="E18" s="821"/>
    </row>
    <row r="19" spans="2:6" ht="16.5" customHeight="1">
      <c r="B19" s="32" t="s">
        <v>322</v>
      </c>
      <c r="C19" s="821" t="s">
        <v>405</v>
      </c>
      <c r="D19" s="821"/>
      <c r="E19" s="821"/>
    </row>
    <row r="20" spans="2:6" ht="28.15" customHeight="1">
      <c r="B20" s="148" t="s">
        <v>406</v>
      </c>
      <c r="C20" s="67">
        <f>D20*0.9</f>
        <v>117</v>
      </c>
      <c r="D20" s="67">
        <v>130</v>
      </c>
      <c r="E20" s="67">
        <f>D20*1.1</f>
        <v>143</v>
      </c>
    </row>
    <row r="21" spans="2:6" ht="15.75" customHeight="1">
      <c r="B21" s="149">
        <v>30769</v>
      </c>
      <c r="C21" s="46">
        <f>(C$20*$B21)-D15</f>
        <v>141130</v>
      </c>
      <c r="D21" s="46">
        <f>(D$20*$B21)-D15</f>
        <v>541127</v>
      </c>
      <c r="E21" s="46">
        <f>(E$20*$B21)-D15</f>
        <v>941124</v>
      </c>
    </row>
    <row r="22" spans="2:6" ht="15.75" customHeight="1">
      <c r="B22" s="47" t="s">
        <v>407</v>
      </c>
      <c r="C22" s="46">
        <f>D15/C20</f>
        <v>29562.760683760684</v>
      </c>
      <c r="D22" s="46">
        <f>D15/D20</f>
        <v>26606.484615384616</v>
      </c>
      <c r="E22" s="46">
        <f>D15/E20</f>
        <v>24187.713286713286</v>
      </c>
    </row>
    <row r="23" spans="2:6" ht="31.7" customHeight="1">
      <c r="B23" s="847" t="s">
        <v>176</v>
      </c>
      <c r="C23" s="847"/>
      <c r="D23" s="847"/>
      <c r="E23" s="847"/>
    </row>
    <row r="24" spans="2:6" ht="15.75" customHeight="1">
      <c r="B24" s="943"/>
      <c r="C24" s="943"/>
      <c r="D24" s="943"/>
      <c r="E24" s="943"/>
    </row>
    <row r="25" spans="2:6" ht="15.75" customHeight="1">
      <c r="B25" s="944" t="s">
        <v>177</v>
      </c>
      <c r="C25" s="944"/>
      <c r="D25" s="944"/>
      <c r="E25" s="944"/>
    </row>
    <row r="26" spans="2:6" ht="25.5" customHeight="1">
      <c r="B26" s="942" t="s">
        <v>714</v>
      </c>
      <c r="C26" s="942"/>
      <c r="D26" s="942"/>
      <c r="E26" s="942"/>
    </row>
    <row r="27" spans="2:6" ht="30" customHeight="1">
      <c r="B27" s="942" t="s">
        <v>699</v>
      </c>
      <c r="C27" s="942"/>
      <c r="D27" s="942"/>
      <c r="E27" s="942"/>
    </row>
    <row r="28" spans="2:6" ht="30" customHeight="1">
      <c r="B28" s="942" t="s">
        <v>408</v>
      </c>
      <c r="C28" s="942"/>
      <c r="D28" s="942"/>
      <c r="E28" s="942"/>
    </row>
    <row r="29" spans="2:6" ht="30" customHeight="1">
      <c r="B29" s="942" t="s">
        <v>713</v>
      </c>
      <c r="C29" s="942"/>
      <c r="D29" s="942"/>
      <c r="E29" s="942"/>
    </row>
    <row r="30" spans="2:6" ht="15.75" customHeight="1">
      <c r="B30" s="942" t="s">
        <v>409</v>
      </c>
      <c r="C30" s="942"/>
      <c r="D30" s="942"/>
      <c r="E30" s="942"/>
    </row>
    <row r="31" spans="2:6" ht="16.5" customHeight="1">
      <c r="B31" s="150"/>
      <c r="C31" s="150"/>
      <c r="D31" s="150"/>
      <c r="E31" s="150"/>
    </row>
  </sheetData>
  <mergeCells count="35">
    <mergeCell ref="B8:C8"/>
    <mergeCell ref="D7:E7"/>
    <mergeCell ref="C19:E19"/>
    <mergeCell ref="B9:E9"/>
    <mergeCell ref="B18:E18"/>
    <mergeCell ref="B11:C11"/>
    <mergeCell ref="B12:C12"/>
    <mergeCell ref="B16:C16"/>
    <mergeCell ref="B17:C17"/>
    <mergeCell ref="B10:C10"/>
    <mergeCell ref="B13:C13"/>
    <mergeCell ref="B14:C14"/>
    <mergeCell ref="B15:C15"/>
    <mergeCell ref="D14:E14"/>
    <mergeCell ref="D15:E15"/>
    <mergeCell ref="D16:E16"/>
    <mergeCell ref="B29:E29"/>
    <mergeCell ref="B30:E30"/>
    <mergeCell ref="B23:E23"/>
    <mergeCell ref="B24:E24"/>
    <mergeCell ref="B25:E25"/>
    <mergeCell ref="B26:E26"/>
    <mergeCell ref="B27:E27"/>
    <mergeCell ref="B28:E28"/>
    <mergeCell ref="B1:E1"/>
    <mergeCell ref="B3:E3"/>
    <mergeCell ref="B4:E4"/>
    <mergeCell ref="B5:E5"/>
    <mergeCell ref="B7:C7"/>
    <mergeCell ref="D17:E17"/>
    <mergeCell ref="D8:E8"/>
    <mergeCell ref="D10:E10"/>
    <mergeCell ref="D11:E11"/>
    <mergeCell ref="D12:E12"/>
    <mergeCell ref="D13:E13"/>
  </mergeCells>
  <pageMargins left="0.70866141732283472" right="0.70866141732283472" top="0.74803149606299213" bottom="0.74803149606299213" header="0.31496062992125984" footer="0.31496062992125984"/>
  <pageSetup scale="92" orientation="portrait" r:id="rId1"/>
  <headerFooter>
    <oddFooter>&amp;C&amp;11&amp;A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pageSetUpPr fitToPage="1"/>
  </sheetPr>
  <dimension ref="B1:O40"/>
  <sheetViews>
    <sheetView topLeftCell="A7" zoomScaleNormal="100" workbookViewId="0">
      <selection activeCell="J12" sqref="J12"/>
    </sheetView>
  </sheetViews>
  <sheetFormatPr baseColWidth="10" defaultColWidth="10.90625" defaultRowHeight="12"/>
  <cols>
    <col min="1" max="1" width="0.90625" style="1" customWidth="1"/>
    <col min="2" max="2" width="5.453125" style="1" customWidth="1"/>
    <col min="3" max="8" width="8.90625" style="1" customWidth="1"/>
    <col min="9" max="14" width="10.90625" style="21" customWidth="1"/>
    <col min="15" max="16384" width="10.90625" style="1"/>
  </cols>
  <sheetData>
    <row r="1" spans="2:15" s="15" customFormat="1" ht="18" customHeight="1">
      <c r="B1" s="789" t="s">
        <v>178</v>
      </c>
      <c r="C1" s="789"/>
      <c r="D1" s="789"/>
      <c r="E1" s="789"/>
      <c r="F1" s="789"/>
      <c r="G1" s="789"/>
      <c r="H1" s="789"/>
      <c r="I1" s="508"/>
      <c r="J1" s="508"/>
      <c r="K1" s="508"/>
      <c r="L1" s="508"/>
      <c r="M1" s="508"/>
      <c r="N1" s="508"/>
      <c r="O1" s="508"/>
    </row>
    <row r="2" spans="2:15" s="15" customFormat="1" ht="12.75">
      <c r="I2" s="508"/>
      <c r="J2" s="508"/>
      <c r="K2" s="508"/>
      <c r="L2" s="508"/>
      <c r="M2" s="508"/>
      <c r="N2" s="508"/>
      <c r="O2" s="508"/>
    </row>
    <row r="3" spans="2:15" s="15" customFormat="1" ht="12.75">
      <c r="B3" s="767" t="s">
        <v>370</v>
      </c>
      <c r="C3" s="767"/>
      <c r="D3" s="767"/>
      <c r="E3" s="767"/>
      <c r="F3" s="767"/>
      <c r="G3" s="767"/>
      <c r="H3" s="767"/>
      <c r="I3" s="508"/>
      <c r="J3" s="508"/>
      <c r="K3" s="508"/>
      <c r="L3" s="508"/>
      <c r="M3" s="508"/>
      <c r="N3" s="508"/>
      <c r="O3" s="508"/>
    </row>
    <row r="4" spans="2:15" s="15" customFormat="1" ht="12.75">
      <c r="B4" s="767" t="s">
        <v>731</v>
      </c>
      <c r="C4" s="767"/>
      <c r="D4" s="767"/>
      <c r="E4" s="767"/>
      <c r="F4" s="767"/>
      <c r="G4" s="767"/>
      <c r="H4" s="767"/>
      <c r="I4" s="508"/>
      <c r="J4" s="508"/>
      <c r="K4" s="508"/>
      <c r="L4" s="508"/>
      <c r="M4" s="508"/>
      <c r="N4" s="508"/>
      <c r="O4" s="508"/>
    </row>
    <row r="5" spans="2:15" s="15" customFormat="1" ht="12.75">
      <c r="B5" s="784" t="s">
        <v>410</v>
      </c>
      <c r="C5" s="784"/>
      <c r="D5" s="784"/>
      <c r="E5" s="784"/>
      <c r="F5" s="784"/>
      <c r="G5" s="784"/>
      <c r="H5" s="784"/>
      <c r="I5" s="508"/>
      <c r="J5" s="508"/>
      <c r="K5" s="508"/>
      <c r="L5" s="508"/>
      <c r="M5" s="508"/>
      <c r="N5" s="508"/>
      <c r="O5" s="508"/>
    </row>
    <row r="6" spans="2:15" s="22" customFormat="1" ht="30" customHeight="1">
      <c r="B6" s="103" t="s">
        <v>111</v>
      </c>
      <c r="C6" s="103" t="s">
        <v>90</v>
      </c>
      <c r="D6" s="103" t="s">
        <v>411</v>
      </c>
      <c r="E6" s="103" t="s">
        <v>183</v>
      </c>
      <c r="F6" s="103" t="s">
        <v>411</v>
      </c>
      <c r="G6" s="103" t="s">
        <v>186</v>
      </c>
      <c r="H6" s="103" t="s">
        <v>411</v>
      </c>
      <c r="I6" s="20"/>
      <c r="J6" s="20"/>
      <c r="K6" s="20"/>
      <c r="L6" s="146"/>
      <c r="M6" s="151"/>
      <c r="N6" s="20"/>
      <c r="O6" s="20"/>
    </row>
    <row r="7" spans="2:15" s="22" customFormat="1" ht="15.75" customHeight="1">
      <c r="B7" s="51">
        <v>2010</v>
      </c>
      <c r="C7" s="64">
        <v>1292649.96</v>
      </c>
      <c r="D7" s="152"/>
      <c r="E7" s="64">
        <v>596478.2009999993</v>
      </c>
      <c r="F7" s="152"/>
      <c r="G7" s="66">
        <v>1889128.1609999994</v>
      </c>
      <c r="H7" s="152"/>
      <c r="J7" s="153"/>
      <c r="K7" s="577"/>
      <c r="L7" s="153"/>
      <c r="M7" s="151"/>
      <c r="N7" s="153"/>
      <c r="O7" s="20"/>
    </row>
    <row r="8" spans="2:15" s="22" customFormat="1" ht="15.75" customHeight="1">
      <c r="B8" s="51">
        <v>2011</v>
      </c>
      <c r="C8" s="269">
        <v>1379698.1595000001</v>
      </c>
      <c r="D8" s="154">
        <f>C8/C7-1</f>
        <v>6.7340890568704292E-2</v>
      </c>
      <c r="E8" s="269">
        <v>666016.16</v>
      </c>
      <c r="F8" s="154">
        <v>0.11658088909774057</v>
      </c>
      <c r="G8" s="270">
        <v>2045714.3195000002</v>
      </c>
      <c r="H8" s="154">
        <v>8.2888054782430873E-2</v>
      </c>
      <c r="J8" s="153"/>
      <c r="K8" s="577"/>
      <c r="L8" s="153"/>
      <c r="M8" s="151"/>
      <c r="N8" s="153"/>
      <c r="O8" s="20"/>
    </row>
    <row r="9" spans="2:15" s="22" customFormat="1" ht="15.75" customHeight="1">
      <c r="B9" s="51">
        <v>2012</v>
      </c>
      <c r="C9" s="269">
        <v>1413644</v>
      </c>
      <c r="D9" s="154">
        <f t="shared" ref="D9:D19" si="0">C9/C8-1</f>
        <v>2.4603816614716445E-2</v>
      </c>
      <c r="E9" s="269">
        <v>873303.59099999967</v>
      </c>
      <c r="F9" s="154">
        <v>0.31123483700455501</v>
      </c>
      <c r="G9" s="270">
        <v>2286947.5909999995</v>
      </c>
      <c r="H9" s="154">
        <f t="shared" ref="H9:H13" si="1">(G9/G8-1)</f>
        <v>0.11792128998684426</v>
      </c>
      <c r="J9" s="153"/>
      <c r="K9" s="577"/>
      <c r="L9" s="153"/>
      <c r="M9" s="151"/>
      <c r="N9" s="153"/>
      <c r="O9" s="20"/>
    </row>
    <row r="10" spans="2:15" s="22" customFormat="1" ht="15.75" customHeight="1">
      <c r="B10" s="51">
        <v>2013</v>
      </c>
      <c r="C10" s="269">
        <v>1411057.0441826645</v>
      </c>
      <c r="D10" s="154">
        <f t="shared" si="0"/>
        <v>-1.8299910142408615E-3</v>
      </c>
      <c r="E10" s="269">
        <v>1092901.9909999999</v>
      </c>
      <c r="F10" s="154">
        <v>0.25145711326864378</v>
      </c>
      <c r="G10" s="270">
        <v>2503959.0351826642</v>
      </c>
      <c r="H10" s="154">
        <f t="shared" si="1"/>
        <v>9.4891306226992933E-2</v>
      </c>
      <c r="J10" s="153"/>
      <c r="K10" s="577"/>
      <c r="L10" s="153"/>
      <c r="M10" s="151"/>
      <c r="N10" s="153"/>
      <c r="O10" s="20"/>
    </row>
    <row r="11" spans="2:15" s="22" customFormat="1" ht="15.75" customHeight="1">
      <c r="B11" s="51">
        <v>2014</v>
      </c>
      <c r="C11" s="269">
        <v>1115732</v>
      </c>
      <c r="D11" s="154">
        <f t="shared" si="0"/>
        <v>-0.20929348349182264</v>
      </c>
      <c r="E11" s="269">
        <v>1410364.561</v>
      </c>
      <c r="F11" s="154">
        <v>0.29047670570123435</v>
      </c>
      <c r="G11" s="270">
        <v>2526096.5609999998</v>
      </c>
      <c r="H11" s="154">
        <f t="shared" si="1"/>
        <v>8.8410095797435417E-3</v>
      </c>
      <c r="J11" s="153"/>
      <c r="K11" s="577"/>
      <c r="L11" s="153"/>
      <c r="M11" s="151"/>
      <c r="N11" s="153"/>
      <c r="O11" s="20"/>
    </row>
    <row r="12" spans="2:15" s="22" customFormat="1" ht="15.75" customHeight="1">
      <c r="B12" s="51">
        <v>2015</v>
      </c>
      <c r="C12" s="269">
        <v>1517892</v>
      </c>
      <c r="D12" s="154">
        <f t="shared" si="0"/>
        <v>0.36044498141130665</v>
      </c>
      <c r="E12" s="269">
        <v>1528818.3489999999</v>
      </c>
      <c r="F12" s="154">
        <v>8.3988063282029637E-2</v>
      </c>
      <c r="G12" s="270">
        <v>3046710.3489999999</v>
      </c>
      <c r="H12" s="154">
        <f t="shared" si="1"/>
        <v>0.20609417551081499</v>
      </c>
      <c r="J12" s="153"/>
      <c r="K12" s="577"/>
      <c r="L12" s="153"/>
      <c r="M12" s="151"/>
      <c r="N12" s="153"/>
      <c r="O12" s="20"/>
    </row>
    <row r="13" spans="2:15" s="22" customFormat="1" ht="15.75" customHeight="1">
      <c r="B13" s="51">
        <v>2016</v>
      </c>
      <c r="C13" s="269">
        <v>1149039.1000000001</v>
      </c>
      <c r="D13" s="154">
        <f t="shared" si="0"/>
        <v>-0.24300338891040996</v>
      </c>
      <c r="E13" s="269">
        <v>1462676.1939999999</v>
      </c>
      <c r="F13" s="154">
        <f t="shared" ref="F13:F17" si="2">(E13/E12-1)</f>
        <v>-4.3263580034386462E-2</v>
      </c>
      <c r="G13" s="270">
        <v>2611715.2939999998</v>
      </c>
      <c r="H13" s="154">
        <f t="shared" si="1"/>
        <v>-0.14277532327376496</v>
      </c>
      <c r="J13" s="153"/>
      <c r="K13" s="577"/>
      <c r="L13" s="153"/>
      <c r="M13" s="151"/>
      <c r="N13" s="153"/>
      <c r="O13" s="20"/>
    </row>
    <row r="14" spans="2:15" s="22" customFormat="1" ht="15.75" customHeight="1">
      <c r="B14" s="51">
        <v>2017</v>
      </c>
      <c r="C14" s="269">
        <v>1039676</v>
      </c>
      <c r="D14" s="154">
        <f t="shared" si="0"/>
        <v>-9.5177875148025892E-2</v>
      </c>
      <c r="E14" s="269">
        <v>1590526.189</v>
      </c>
      <c r="F14" s="154">
        <f t="shared" si="2"/>
        <v>8.7408269529817728E-2</v>
      </c>
      <c r="G14" s="270">
        <v>2630202.1890000002</v>
      </c>
      <c r="H14" s="154">
        <f>(G14/G13-1)</f>
        <v>7.078449570085743E-3</v>
      </c>
      <c r="J14" s="153"/>
      <c r="K14" s="577"/>
      <c r="L14" s="153"/>
      <c r="M14" s="151"/>
      <c r="N14" s="153"/>
      <c r="O14" s="20"/>
    </row>
    <row r="15" spans="2:15" s="22" customFormat="1" ht="15.75" customHeight="1">
      <c r="B15" s="51">
        <v>2018</v>
      </c>
      <c r="C15" s="269">
        <v>1087909.8671827174</v>
      </c>
      <c r="D15" s="154">
        <f t="shared" si="0"/>
        <v>4.639317170225854E-2</v>
      </c>
      <c r="E15" s="269">
        <v>1918486.1880699999</v>
      </c>
      <c r="F15" s="154">
        <f t="shared" si="2"/>
        <v>0.20619591260939618</v>
      </c>
      <c r="G15" s="270">
        <v>3006396.0552527173</v>
      </c>
      <c r="H15" s="154">
        <f>(G15/G14-1)</f>
        <v>0.14302849713456656</v>
      </c>
      <c r="J15" s="11"/>
      <c r="K15" s="577"/>
      <c r="L15" s="153"/>
      <c r="M15" s="20"/>
      <c r="N15" s="153"/>
      <c r="O15" s="20"/>
    </row>
    <row r="16" spans="2:15" s="22" customFormat="1" ht="15.75" customHeight="1">
      <c r="B16" s="301">
        <v>2019</v>
      </c>
      <c r="C16" s="269">
        <v>951070</v>
      </c>
      <c r="D16" s="154">
        <f t="shared" si="0"/>
        <v>-0.12578235689421757</v>
      </c>
      <c r="E16" s="269">
        <v>2366707.7000000002</v>
      </c>
      <c r="F16" s="154">
        <f t="shared" si="2"/>
        <v>0.23363291052979207</v>
      </c>
      <c r="G16" s="270">
        <v>3317777.7</v>
      </c>
      <c r="H16" s="154">
        <f>(G16/G15-1)</f>
        <v>0.10357306190687776</v>
      </c>
      <c r="J16" s="11"/>
      <c r="K16" s="577"/>
      <c r="L16" s="153"/>
      <c r="M16" s="20"/>
      <c r="N16" s="153"/>
      <c r="O16" s="20"/>
    </row>
    <row r="17" spans="2:15" s="22" customFormat="1" ht="15.75" customHeight="1">
      <c r="B17" s="301">
        <v>2020</v>
      </c>
      <c r="C17" s="269">
        <v>565884</v>
      </c>
      <c r="D17" s="154">
        <f t="shared" si="0"/>
        <v>-0.40500278633539066</v>
      </c>
      <c r="E17" s="269">
        <v>2788006.5392800001</v>
      </c>
      <c r="F17" s="154">
        <f t="shared" si="2"/>
        <v>0.17801050771077476</v>
      </c>
      <c r="G17" s="270">
        <v>3353890.5392800001</v>
      </c>
      <c r="H17" s="154">
        <f>(G17/G16-1)</f>
        <v>1.088464705757719E-2</v>
      </c>
      <c r="J17" s="11"/>
      <c r="K17" s="577"/>
      <c r="L17" s="153"/>
      <c r="M17" s="20"/>
      <c r="N17" s="153"/>
      <c r="O17" s="20"/>
    </row>
    <row r="18" spans="2:15" s="22" customFormat="1" ht="15.75" customHeight="1">
      <c r="B18" s="301">
        <v>2021</v>
      </c>
      <c r="C18" s="269">
        <f>'33'!E25</f>
        <v>771960</v>
      </c>
      <c r="D18" s="154">
        <f t="shared" si="0"/>
        <v>0.36416650762347058</v>
      </c>
      <c r="E18" s="269">
        <v>2341186.7386500002</v>
      </c>
      <c r="F18" s="154">
        <f>(E18/E17-1)</f>
        <v>-0.16026497582942922</v>
      </c>
      <c r="G18" s="269">
        <f>C18+E18</f>
        <v>3113146.7386500002</v>
      </c>
      <c r="H18" s="154">
        <f>(G18/G17-1)</f>
        <v>-7.1780458488571286E-2</v>
      </c>
      <c r="I18" s="246"/>
      <c r="J18" s="11"/>
      <c r="K18" s="577"/>
      <c r="L18" s="153"/>
      <c r="M18" s="20"/>
      <c r="N18" s="153"/>
      <c r="O18" s="20"/>
    </row>
    <row r="19" spans="2:15" s="22" customFormat="1" ht="15.75" customHeight="1">
      <c r="B19" s="301" t="s">
        <v>646</v>
      </c>
      <c r="C19" s="269">
        <f>5902218.93270793/10</f>
        <v>590221.89327079302</v>
      </c>
      <c r="D19" s="154">
        <f t="shared" si="0"/>
        <v>-0.23542425349656326</v>
      </c>
      <c r="E19" s="752">
        <v>1246645.2269899999</v>
      </c>
      <c r="F19" s="154"/>
      <c r="G19" s="269"/>
      <c r="H19" s="154"/>
      <c r="I19" s="246"/>
      <c r="J19" s="11"/>
      <c r="K19" s="577"/>
      <c r="L19" s="153"/>
      <c r="M19" s="20"/>
      <c r="N19" s="153"/>
      <c r="O19" s="20"/>
    </row>
    <row r="20" spans="2:15" s="22" customFormat="1" ht="32.85" customHeight="1">
      <c r="B20" s="834" t="s">
        <v>759</v>
      </c>
      <c r="C20" s="835"/>
      <c r="D20" s="835"/>
      <c r="E20" s="835"/>
      <c r="F20" s="835"/>
      <c r="G20" s="835"/>
      <c r="H20" s="836"/>
      <c r="I20" s="20"/>
      <c r="J20" s="20"/>
      <c r="K20" s="20"/>
      <c r="L20" s="20"/>
      <c r="M20" s="20"/>
      <c r="N20" s="20"/>
      <c r="O20" s="20"/>
    </row>
    <row r="21" spans="2:15" s="22" customFormat="1" ht="18" customHeight="1">
      <c r="B21" s="946"/>
      <c r="C21" s="946"/>
      <c r="D21" s="946"/>
      <c r="E21" s="946"/>
      <c r="F21" s="946"/>
      <c r="G21" s="946"/>
      <c r="H21" s="946"/>
      <c r="I21" s="20"/>
      <c r="J21" s="20"/>
      <c r="K21" s="20"/>
      <c r="L21" s="20"/>
      <c r="M21" s="20"/>
      <c r="N21" s="20"/>
      <c r="O21" s="20"/>
    </row>
    <row r="22" spans="2:15" ht="12.75" customHeight="1">
      <c r="O22" s="21"/>
    </row>
    <row r="23" spans="2:15" ht="12.75" customHeight="1">
      <c r="O23" s="21"/>
    </row>
    <row r="24" spans="2:15" ht="12.75" customHeight="1">
      <c r="O24" s="21"/>
    </row>
    <row r="25" spans="2:15" ht="12.75" customHeight="1">
      <c r="O25" s="21"/>
    </row>
    <row r="26" spans="2:15" ht="12.75" customHeight="1"/>
    <row r="27" spans="2:15" ht="12.75" customHeight="1"/>
    <row r="28" spans="2:15" ht="12.75" customHeight="1"/>
    <row r="29" spans="2:15" ht="12.75" customHeight="1"/>
    <row r="30" spans="2:15" ht="12.75" customHeight="1">
      <c r="H30" s="10"/>
    </row>
    <row r="31" spans="2:15" ht="12.75" customHeight="1">
      <c r="H31" s="11"/>
      <c r="L31" s="155"/>
    </row>
    <row r="32" spans="2:15" ht="12.75" customHeight="1">
      <c r="L32" s="155"/>
    </row>
    <row r="33" spans="12:12" ht="12.75" customHeight="1">
      <c r="L33" s="155"/>
    </row>
    <row r="34" spans="12:12" ht="12.75" customHeight="1"/>
    <row r="35" spans="12:12" ht="12.75" customHeight="1"/>
    <row r="36" spans="12:12" ht="12.75" customHeight="1"/>
    <row r="37" spans="12:12" ht="12.75" customHeight="1"/>
    <row r="38" spans="12:12" ht="12.75" customHeight="1"/>
    <row r="39" spans="12:12" ht="12.75" customHeight="1"/>
    <row r="40" spans="12:12" ht="12.75" customHeight="1"/>
  </sheetData>
  <mergeCells count="6">
    <mergeCell ref="B21:H21"/>
    <mergeCell ref="B1:H1"/>
    <mergeCell ref="B3:H3"/>
    <mergeCell ref="B4:H4"/>
    <mergeCell ref="B5:H5"/>
    <mergeCell ref="B20:H20"/>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8"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pageSetUpPr fitToPage="1"/>
  </sheetPr>
  <dimension ref="A1:L48"/>
  <sheetViews>
    <sheetView topLeftCell="A14" zoomScaleNormal="100" workbookViewId="0">
      <selection activeCell="K12" sqref="K12"/>
    </sheetView>
  </sheetViews>
  <sheetFormatPr baseColWidth="10" defaultColWidth="10.90625" defaultRowHeight="18"/>
  <cols>
    <col min="1" max="1" width="1.36328125" style="1" customWidth="1"/>
    <col min="2" max="2" width="14.81640625" customWidth="1"/>
    <col min="3" max="6" width="9.36328125" customWidth="1"/>
    <col min="7" max="7" width="9.36328125" style="1" customWidth="1"/>
    <col min="8" max="8" width="7.90625" style="1" customWidth="1"/>
    <col min="9" max="9" width="8.90625" style="1" customWidth="1"/>
    <col min="10" max="11" width="7.90625" style="1" customWidth="1"/>
    <col min="12" max="16384" width="10.90625" style="1"/>
  </cols>
  <sheetData>
    <row r="1" spans="1:11" s="15" customFormat="1" ht="16.5" customHeight="1">
      <c r="B1" s="767" t="s">
        <v>189</v>
      </c>
      <c r="C1" s="767"/>
      <c r="D1" s="767"/>
      <c r="E1" s="767"/>
      <c r="F1" s="767"/>
      <c r="G1" s="767"/>
    </row>
    <row r="2" spans="1:11" s="15" customFormat="1" ht="11.25" customHeight="1">
      <c r="A2" s="17"/>
      <c r="B2" s="17"/>
      <c r="C2" s="17"/>
      <c r="D2" s="17"/>
      <c r="E2" s="16"/>
      <c r="F2" s="419"/>
      <c r="G2" s="23"/>
    </row>
    <row r="3" spans="1:11" s="15" customFormat="1" ht="15.75" customHeight="1">
      <c r="B3" s="767" t="s">
        <v>412</v>
      </c>
      <c r="C3" s="767"/>
      <c r="D3" s="767"/>
      <c r="E3" s="767"/>
      <c r="F3" s="767"/>
      <c r="G3" s="767"/>
    </row>
    <row r="4" spans="1:11" s="15" customFormat="1" ht="15.75" customHeight="1">
      <c r="B4" s="839" t="s">
        <v>641</v>
      </c>
      <c r="C4" s="839"/>
      <c r="D4" s="839"/>
      <c r="E4" s="839"/>
      <c r="F4" s="839"/>
      <c r="G4" s="839"/>
    </row>
    <row r="5" spans="1:11" s="15" customFormat="1" ht="15.75" customHeight="1">
      <c r="B5" s="784" t="s">
        <v>410</v>
      </c>
      <c r="C5" s="784"/>
      <c r="D5" s="784"/>
      <c r="E5" s="784"/>
      <c r="F5" s="784"/>
      <c r="G5" s="784"/>
    </row>
    <row r="6" spans="1:11" s="22" customFormat="1" ht="15.75" customHeight="1">
      <c r="B6" s="128" t="s">
        <v>413</v>
      </c>
      <c r="C6" s="159">
        <v>2018</v>
      </c>
      <c r="D6" s="159">
        <v>2019</v>
      </c>
      <c r="E6" s="159">
        <v>2020</v>
      </c>
      <c r="F6" s="212">
        <v>2021</v>
      </c>
      <c r="G6" s="212">
        <v>2022</v>
      </c>
      <c r="I6" s="95"/>
      <c r="J6" s="95"/>
    </row>
    <row r="7" spans="1:11" s="22" customFormat="1" ht="15.75" customHeight="1">
      <c r="B7" s="53" t="s">
        <v>200</v>
      </c>
      <c r="C7" s="67">
        <v>178988.753</v>
      </c>
      <c r="D7" s="67">
        <v>210065</v>
      </c>
      <c r="E7" s="67">
        <v>189863.11424</v>
      </c>
      <c r="F7" s="306">
        <v>169319.18</v>
      </c>
      <c r="G7" s="306">
        <v>166933.17012999998</v>
      </c>
      <c r="H7" s="241"/>
      <c r="I7" s="95"/>
      <c r="J7" s="11"/>
    </row>
    <row r="8" spans="1:11" s="22" customFormat="1" ht="15.75" customHeight="1">
      <c r="B8" s="53" t="s">
        <v>201</v>
      </c>
      <c r="C8" s="67">
        <v>116325.951</v>
      </c>
      <c r="D8" s="67">
        <v>298256.8</v>
      </c>
      <c r="E8" s="67">
        <v>210122.08674999996</v>
      </c>
      <c r="F8" s="306">
        <v>228790.80032999997</v>
      </c>
      <c r="G8" s="306">
        <v>152294.36619</v>
      </c>
      <c r="H8" s="156"/>
      <c r="I8" s="11"/>
    </row>
    <row r="9" spans="1:11" s="22" customFormat="1" ht="15.75" customHeight="1">
      <c r="B9" s="53" t="s">
        <v>202</v>
      </c>
      <c r="C9" s="67">
        <v>157653.57500000001</v>
      </c>
      <c r="D9" s="67">
        <v>120993</v>
      </c>
      <c r="E9" s="67">
        <v>236367.36278</v>
      </c>
      <c r="F9" s="306">
        <v>169998.05799999999</v>
      </c>
      <c r="G9" s="306">
        <v>134324.87856000001</v>
      </c>
      <c r="H9" s="157"/>
      <c r="I9" s="157"/>
      <c r="J9" s="211"/>
      <c r="K9" s="157"/>
    </row>
    <row r="10" spans="1:11" s="22" customFormat="1" ht="15.75" customHeight="1">
      <c r="B10" s="53" t="s">
        <v>203</v>
      </c>
      <c r="C10" s="67">
        <v>44290.14</v>
      </c>
      <c r="D10" s="67">
        <v>35949</v>
      </c>
      <c r="E10" s="67">
        <v>163687.78844</v>
      </c>
      <c r="F10" s="67">
        <v>124958.82113000001</v>
      </c>
      <c r="G10" s="306">
        <v>109000.40353999998</v>
      </c>
      <c r="H10" s="211" t="s">
        <v>663</v>
      </c>
    </row>
    <row r="11" spans="1:11" s="22" customFormat="1" ht="15.75" customHeight="1">
      <c r="B11" s="53" t="s">
        <v>204</v>
      </c>
      <c r="C11" s="67">
        <v>73076.376999999993</v>
      </c>
      <c r="D11" s="67">
        <v>156074</v>
      </c>
      <c r="E11" s="67">
        <v>154544.45334000001</v>
      </c>
      <c r="F11" s="46">
        <v>137570.77900000001</v>
      </c>
      <c r="G11" s="306">
        <v>256508.59538999994</v>
      </c>
      <c r="I11" s="95"/>
      <c r="K11" s="95"/>
    </row>
    <row r="12" spans="1:11" s="22" customFormat="1" ht="15.75" customHeight="1">
      <c r="B12" s="53" t="s">
        <v>205</v>
      </c>
      <c r="C12" s="67">
        <v>170531.42981</v>
      </c>
      <c r="D12" s="67">
        <v>132890.9</v>
      </c>
      <c r="E12" s="67">
        <v>176351.1024</v>
      </c>
      <c r="F12" s="46">
        <v>157439.008</v>
      </c>
      <c r="G12" s="306">
        <v>261464.76532999999</v>
      </c>
      <c r="H12" s="95"/>
      <c r="I12" s="95"/>
      <c r="J12" s="11"/>
      <c r="K12" s="95"/>
    </row>
    <row r="13" spans="1:11" s="22" customFormat="1" ht="15.75" customHeight="1">
      <c r="B13" s="53" t="s">
        <v>206</v>
      </c>
      <c r="C13" s="67">
        <v>252816.71930000003</v>
      </c>
      <c r="D13" s="67">
        <v>260760</v>
      </c>
      <c r="E13" s="67">
        <v>314078.46445999999</v>
      </c>
      <c r="F13" s="46">
        <v>169547.18582999997</v>
      </c>
      <c r="G13" s="306">
        <v>166119.04785</v>
      </c>
      <c r="H13" s="95"/>
      <c r="K13" s="95"/>
    </row>
    <row r="14" spans="1:11" s="22" customFormat="1" ht="15.75" customHeight="1">
      <c r="B14" s="53" t="s">
        <v>207</v>
      </c>
      <c r="C14" s="67">
        <v>176338.86595999997</v>
      </c>
      <c r="D14" s="67">
        <v>211372</v>
      </c>
      <c r="E14" s="67">
        <v>320739.91644</v>
      </c>
      <c r="F14" s="46">
        <v>176857.652</v>
      </c>
      <c r="G14" s="306"/>
      <c r="H14" s="95"/>
      <c r="K14" s="95"/>
    </row>
    <row r="15" spans="1:11" s="22" customFormat="1" ht="15.75" customHeight="1">
      <c r="B15" s="53" t="s">
        <v>208</v>
      </c>
      <c r="C15" s="67">
        <v>152839.46731000001</v>
      </c>
      <c r="D15" s="67">
        <v>225844</v>
      </c>
      <c r="E15" s="67">
        <v>269826.26050999999</v>
      </c>
      <c r="F15" s="46">
        <v>245239.02699000001</v>
      </c>
      <c r="G15" s="306"/>
      <c r="H15" s="95"/>
      <c r="I15" s="95"/>
      <c r="J15" s="95"/>
    </row>
    <row r="16" spans="1:11" s="22" customFormat="1" ht="15.75" customHeight="1">
      <c r="B16" s="53" t="s">
        <v>209</v>
      </c>
      <c r="C16" s="67">
        <v>301372.16352</v>
      </c>
      <c r="D16" s="67">
        <v>231780</v>
      </c>
      <c r="E16" s="67">
        <v>349715.25824</v>
      </c>
      <c r="F16" s="46">
        <v>285503.50107</v>
      </c>
      <c r="G16" s="306"/>
    </row>
    <row r="17" spans="2:12" s="22" customFormat="1" ht="15.75" customHeight="1">
      <c r="B17" s="53" t="s">
        <v>193</v>
      </c>
      <c r="C17" s="67">
        <v>80243.48517</v>
      </c>
      <c r="D17" s="67">
        <v>214971</v>
      </c>
      <c r="E17" s="67">
        <v>211944.91768000001</v>
      </c>
      <c r="F17" s="46">
        <v>251377.48130000001</v>
      </c>
      <c r="G17" s="46"/>
      <c r="H17" s="95"/>
      <c r="I17" s="95"/>
    </row>
    <row r="18" spans="2:12" s="22" customFormat="1" ht="15.75" customHeight="1">
      <c r="B18" s="53" t="s">
        <v>194</v>
      </c>
      <c r="C18" s="67">
        <v>214009.261</v>
      </c>
      <c r="D18" s="67">
        <v>267752</v>
      </c>
      <c r="E18" s="67">
        <v>190765.81400000001</v>
      </c>
      <c r="F18" s="46">
        <v>224585.245</v>
      </c>
      <c r="G18" s="46"/>
      <c r="H18" s="95"/>
    </row>
    <row r="19" spans="2:12" s="22" customFormat="1" ht="15.75" customHeight="1">
      <c r="B19" s="53" t="s">
        <v>195</v>
      </c>
      <c r="C19" s="46">
        <v>1918486.1880699999</v>
      </c>
      <c r="D19" s="46">
        <v>2366707.7000000002</v>
      </c>
      <c r="E19" s="46">
        <v>2788006.5392800001</v>
      </c>
      <c r="F19" s="46">
        <v>2341186.7386499997</v>
      </c>
      <c r="G19" s="46">
        <f>SUM(G7:G18)</f>
        <v>1246645.2269899999</v>
      </c>
      <c r="H19" s="95"/>
      <c r="I19" s="95"/>
    </row>
    <row r="20" spans="2:12" ht="18.95" customHeight="1">
      <c r="B20" s="792" t="s">
        <v>414</v>
      </c>
      <c r="C20" s="792"/>
      <c r="D20" s="792"/>
      <c r="E20" s="792"/>
      <c r="F20" s="792"/>
      <c r="G20" s="792"/>
      <c r="H20" s="12"/>
      <c r="I20" s="12"/>
    </row>
    <row r="21" spans="2:12" ht="18.95" customHeight="1">
      <c r="B21" s="163"/>
      <c r="C21" s="163"/>
      <c r="D21" s="163"/>
      <c r="E21" s="492"/>
      <c r="F21" s="492"/>
      <c r="G21" s="492"/>
      <c r="H21" s="12"/>
      <c r="I21" s="12"/>
    </row>
    <row r="22" spans="2:12" ht="12">
      <c r="B22" s="1"/>
      <c r="C22" s="1"/>
      <c r="D22" s="1"/>
      <c r="E22" s="1"/>
      <c r="F22" s="1"/>
    </row>
    <row r="23" spans="2:12" ht="12" customHeight="1">
      <c r="B23" s="1"/>
      <c r="C23" s="1"/>
      <c r="D23" s="1"/>
      <c r="E23" s="1"/>
      <c r="F23" s="1"/>
    </row>
    <row r="24" spans="2:12" ht="12">
      <c r="B24" s="1"/>
      <c r="C24" s="1"/>
      <c r="D24" s="1"/>
      <c r="E24" s="1"/>
      <c r="F24" s="1"/>
    </row>
    <row r="25" spans="2:12" ht="12">
      <c r="B25" s="1"/>
      <c r="C25" s="1"/>
      <c r="D25" s="1"/>
      <c r="E25" s="1"/>
      <c r="F25" s="1"/>
    </row>
    <row r="26" spans="2:12" ht="12">
      <c r="B26" s="1"/>
      <c r="C26" s="1"/>
      <c r="D26" s="1"/>
      <c r="E26" s="1"/>
      <c r="F26" s="1"/>
    </row>
    <row r="27" spans="2:12" ht="12">
      <c r="B27" s="1"/>
      <c r="C27" s="1"/>
      <c r="D27" s="1"/>
      <c r="E27" s="1"/>
      <c r="F27" s="1"/>
    </row>
    <row r="28" spans="2:12" ht="12">
      <c r="B28" s="1"/>
      <c r="C28" s="1"/>
      <c r="D28" s="1"/>
      <c r="E28" s="1"/>
      <c r="F28" s="1"/>
    </row>
    <row r="29" spans="2:12" ht="12">
      <c r="B29" s="1"/>
      <c r="C29" s="1"/>
      <c r="D29" s="1"/>
      <c r="E29" s="1"/>
      <c r="F29" s="1"/>
      <c r="L29" s="13"/>
    </row>
    <row r="30" spans="2:12" ht="12">
      <c r="B30" s="1"/>
      <c r="C30" s="1"/>
      <c r="D30" s="1"/>
      <c r="E30" s="1"/>
      <c r="F30" s="1"/>
    </row>
    <row r="31" spans="2:12" ht="12">
      <c r="B31" s="1"/>
      <c r="C31" s="1"/>
      <c r="D31" s="1"/>
      <c r="E31" s="1"/>
      <c r="F31" s="1"/>
    </row>
    <row r="32" spans="2:12" ht="12">
      <c r="B32" s="1"/>
      <c r="C32" s="1"/>
      <c r="D32" s="1"/>
      <c r="E32" s="1"/>
      <c r="F32" s="1"/>
    </row>
    <row r="33" spans="2:12" ht="12">
      <c r="B33" s="1"/>
      <c r="C33" s="1"/>
      <c r="D33" s="1"/>
      <c r="E33" s="1"/>
      <c r="F33" s="1"/>
    </row>
    <row r="34" spans="2:12" ht="12">
      <c r="B34" s="1"/>
      <c r="C34" s="1"/>
      <c r="D34" s="1"/>
      <c r="E34" s="1"/>
      <c r="F34" s="1"/>
    </row>
    <row r="35" spans="2:12" ht="12">
      <c r="B35" s="1"/>
      <c r="C35" s="1"/>
      <c r="D35" s="1"/>
      <c r="E35" s="1"/>
      <c r="F35" s="1"/>
    </row>
    <row r="36" spans="2:12" ht="12">
      <c r="B36" s="1"/>
      <c r="C36" s="1"/>
      <c r="D36" s="1"/>
      <c r="E36" s="1"/>
      <c r="F36" s="1"/>
    </row>
    <row r="37" spans="2:12" ht="12">
      <c r="B37" s="1"/>
      <c r="C37" s="1"/>
      <c r="D37" s="1"/>
      <c r="E37" s="1"/>
      <c r="F37" s="1"/>
    </row>
    <row r="38" spans="2:12" ht="12">
      <c r="B38" s="1"/>
      <c r="C38" s="1"/>
      <c r="D38" s="1"/>
      <c r="E38" s="1"/>
      <c r="F38" s="1"/>
    </row>
    <row r="39" spans="2:12" ht="44.25" customHeight="1">
      <c r="B39" s="1"/>
      <c r="C39" s="1"/>
      <c r="D39" s="1"/>
      <c r="E39" s="1"/>
      <c r="F39" s="1"/>
      <c r="I39" s="12"/>
      <c r="J39" s="12"/>
      <c r="K39" s="12"/>
      <c r="L39" s="12"/>
    </row>
    <row r="40" spans="2:12" ht="12">
      <c r="B40" s="1"/>
      <c r="C40" s="1"/>
      <c r="D40" s="1"/>
      <c r="E40" s="1"/>
      <c r="F40" s="1"/>
    </row>
    <row r="41" spans="2:12" ht="12">
      <c r="B41" s="1"/>
      <c r="C41" s="1"/>
      <c r="D41" s="1"/>
      <c r="E41" s="1"/>
      <c r="F41" s="1"/>
    </row>
    <row r="42" spans="2:12" ht="12">
      <c r="B42" s="1"/>
      <c r="C42" s="1"/>
      <c r="D42" s="1"/>
      <c r="E42" s="1"/>
      <c r="F42" s="1"/>
    </row>
    <row r="43" spans="2:12" ht="12">
      <c r="B43" s="1"/>
      <c r="C43" s="1"/>
      <c r="D43" s="1"/>
      <c r="E43" s="1"/>
      <c r="F43" s="1"/>
    </row>
    <row r="44" spans="2:12" ht="5.25" customHeight="1">
      <c r="G44" s="158"/>
      <c r="H44" s="158"/>
    </row>
    <row r="45" spans="2:12" ht="12">
      <c r="B45" s="1"/>
      <c r="C45" s="1"/>
      <c r="D45" s="1"/>
      <c r="E45" s="1"/>
      <c r="F45" s="1"/>
    </row>
    <row r="48" spans="2:12" ht="18" customHeight="1">
      <c r="B48" s="1"/>
      <c r="C48" s="1"/>
      <c r="D48" s="1"/>
      <c r="E48" s="1"/>
      <c r="F48" s="1"/>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G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64"/>
  <sheetViews>
    <sheetView topLeftCell="A14" zoomScaleNormal="100" workbookViewId="0">
      <selection activeCell="G13" sqref="G13"/>
    </sheetView>
  </sheetViews>
  <sheetFormatPr baseColWidth="10" defaultColWidth="10.90625" defaultRowHeight="12"/>
  <cols>
    <col min="1" max="1" width="1.7265625" style="1" customWidth="1"/>
    <col min="2" max="2" width="7" style="1" customWidth="1"/>
    <col min="3" max="7" width="10.26953125" style="1" customWidth="1"/>
    <col min="8" max="8" width="2.26953125" style="1" customWidth="1"/>
    <col min="9" max="9" width="4.36328125" style="1" customWidth="1"/>
    <col min="10" max="10" width="7.08984375" style="1" customWidth="1"/>
    <col min="11" max="11" width="4.7265625" style="1" bestFit="1" customWidth="1"/>
    <col min="12" max="13" width="4.36328125" style="1" customWidth="1"/>
    <col min="14" max="14" width="6.90625" style="1" customWidth="1"/>
    <col min="15" max="16384" width="10.90625" style="1"/>
  </cols>
  <sheetData>
    <row r="1" spans="2:18" s="15" customFormat="1" ht="12.75">
      <c r="B1" s="767" t="s">
        <v>86</v>
      </c>
      <c r="C1" s="767"/>
      <c r="D1" s="767"/>
      <c r="E1" s="767"/>
      <c r="F1" s="767"/>
      <c r="G1" s="767"/>
    </row>
    <row r="2" spans="2:18" s="15" customFormat="1" ht="12.75">
      <c r="B2" s="17"/>
      <c r="C2" s="17"/>
      <c r="D2" s="17"/>
      <c r="E2" s="17"/>
      <c r="F2" s="17"/>
      <c r="G2" s="17"/>
    </row>
    <row r="3" spans="2:18" s="15" customFormat="1" ht="13.7" customHeight="1">
      <c r="B3" s="783" t="s">
        <v>700</v>
      </c>
      <c r="C3" s="783"/>
      <c r="D3" s="783"/>
      <c r="E3" s="783"/>
      <c r="F3" s="783"/>
      <c r="G3" s="783"/>
    </row>
    <row r="4" spans="2:18" s="15" customFormat="1" ht="12.75" customHeight="1">
      <c r="B4" s="784" t="s">
        <v>87</v>
      </c>
      <c r="C4" s="784"/>
      <c r="D4" s="784"/>
      <c r="E4" s="784"/>
      <c r="F4" s="784"/>
      <c r="G4" s="784"/>
      <c r="H4" s="23"/>
    </row>
    <row r="5" spans="2:18" s="14" customFormat="1" ht="30" customHeight="1">
      <c r="B5" s="174" t="s">
        <v>88</v>
      </c>
      <c r="C5" s="103" t="s">
        <v>89</v>
      </c>
      <c r="D5" s="103" t="s">
        <v>90</v>
      </c>
      <c r="E5" s="103" t="s">
        <v>91</v>
      </c>
      <c r="F5" s="103" t="s">
        <v>92</v>
      </c>
      <c r="G5" s="103" t="s">
        <v>93</v>
      </c>
      <c r="H5" s="22"/>
      <c r="I5" s="15"/>
      <c r="J5" s="22"/>
      <c r="K5" s="22"/>
      <c r="L5" s="22"/>
      <c r="M5" s="22"/>
      <c r="N5" s="22"/>
      <c r="O5" s="22"/>
      <c r="P5" s="22"/>
      <c r="Q5" s="22"/>
      <c r="R5" s="22"/>
    </row>
    <row r="6" spans="2:18" s="14" customFormat="1" ht="15.75" customHeight="1">
      <c r="B6" s="618">
        <v>44682</v>
      </c>
      <c r="C6" s="32">
        <v>279.72000000000003</v>
      </c>
      <c r="D6" s="32">
        <v>774.83</v>
      </c>
      <c r="E6" s="32">
        <v>787.52</v>
      </c>
      <c r="F6" s="32">
        <v>204.89</v>
      </c>
      <c r="G6" s="32">
        <v>267.02</v>
      </c>
      <c r="H6" s="22"/>
      <c r="I6" s="26"/>
      <c r="J6" s="22"/>
      <c r="K6" s="75"/>
      <c r="L6" s="75"/>
      <c r="M6" s="75"/>
      <c r="N6" s="75"/>
      <c r="O6" s="779"/>
      <c r="P6" s="780"/>
      <c r="Q6" s="22"/>
      <c r="R6" s="22"/>
    </row>
    <row r="7" spans="2:18" s="14" customFormat="1" ht="15.75" customHeight="1">
      <c r="B7" s="618">
        <v>44713</v>
      </c>
      <c r="C7" s="644">
        <v>279.39999999999998</v>
      </c>
      <c r="D7" s="644">
        <v>773.43</v>
      </c>
      <c r="E7" s="644">
        <v>785.99</v>
      </c>
      <c r="F7" s="644">
        <v>204.59</v>
      </c>
      <c r="G7" s="644">
        <v>266.85000000000002</v>
      </c>
      <c r="H7" s="22"/>
      <c r="I7" s="26"/>
      <c r="J7" s="22"/>
      <c r="K7" s="22"/>
      <c r="L7" s="22"/>
      <c r="M7" s="22"/>
      <c r="N7" s="22"/>
      <c r="O7" s="22"/>
      <c r="P7" s="22"/>
      <c r="Q7" s="22"/>
      <c r="R7" s="22"/>
    </row>
    <row r="8" spans="2:18" s="14" customFormat="1" ht="15.75" customHeight="1">
      <c r="B8" s="618">
        <v>44743</v>
      </c>
      <c r="C8" s="32">
        <v>280.10000000000002</v>
      </c>
      <c r="D8" s="32">
        <v>771.64</v>
      </c>
      <c r="E8" s="32">
        <v>784.22</v>
      </c>
      <c r="F8" s="32">
        <v>205.47</v>
      </c>
      <c r="G8" s="32">
        <v>267.52</v>
      </c>
      <c r="H8" s="22"/>
      <c r="I8" s="22" t="s">
        <v>663</v>
      </c>
      <c r="J8" s="22"/>
      <c r="K8" s="22"/>
      <c r="L8" s="22"/>
      <c r="M8" s="22"/>
      <c r="N8" s="22"/>
      <c r="O8" s="22"/>
      <c r="P8" s="22"/>
      <c r="Q8" s="22"/>
      <c r="R8" s="22"/>
    </row>
    <row r="9" spans="2:18" s="14" customFormat="1" ht="15.75" customHeight="1">
      <c r="B9" s="618">
        <v>44774</v>
      </c>
      <c r="C9" s="32">
        <v>276.35000000000002</v>
      </c>
      <c r="D9" s="32">
        <v>779.6</v>
      </c>
      <c r="E9" s="32">
        <v>788.6</v>
      </c>
      <c r="F9" s="32">
        <v>208.65</v>
      </c>
      <c r="G9" s="32">
        <v>267.33999999999997</v>
      </c>
      <c r="H9" s="97"/>
      <c r="I9" s="94"/>
      <c r="J9" s="22"/>
      <c r="K9" s="26"/>
      <c r="L9" s="26"/>
      <c r="M9" s="22"/>
      <c r="N9" s="22"/>
      <c r="O9" s="22" t="s">
        <v>663</v>
      </c>
      <c r="P9" s="22"/>
      <c r="Q9" s="22"/>
      <c r="R9" s="22"/>
    </row>
    <row r="10" spans="2:18" s="14" customFormat="1" ht="15.75" customHeight="1">
      <c r="B10" s="618">
        <v>44805</v>
      </c>
      <c r="C10" s="336"/>
      <c r="D10" s="336"/>
      <c r="E10" s="336"/>
      <c r="F10" s="336"/>
      <c r="G10" s="336"/>
      <c r="H10" s="293"/>
      <c r="I10" s="26"/>
      <c r="J10" s="503"/>
      <c r="K10" s="22"/>
      <c r="L10" s="22"/>
      <c r="M10" s="22"/>
      <c r="N10" s="22"/>
      <c r="O10" s="22"/>
      <c r="P10" s="22"/>
      <c r="Q10" s="22"/>
      <c r="R10" s="22"/>
    </row>
    <row r="11" spans="2:18" s="14" customFormat="1" ht="15.75" customHeight="1">
      <c r="B11" s="618">
        <v>44835</v>
      </c>
      <c r="C11" s="336"/>
      <c r="D11" s="416"/>
      <c r="E11" s="416"/>
      <c r="F11" s="416"/>
      <c r="G11" s="416"/>
      <c r="H11" s="248"/>
      <c r="I11" s="26"/>
      <c r="J11" s="503"/>
      <c r="K11" s="22"/>
      <c r="L11" s="22"/>
      <c r="M11" s="22"/>
      <c r="N11" s="22"/>
      <c r="O11" s="22"/>
      <c r="P11" s="22"/>
      <c r="Q11" s="22"/>
      <c r="R11" s="22"/>
    </row>
    <row r="12" spans="2:18" s="14" customFormat="1" ht="15.75" customHeight="1">
      <c r="B12" s="618">
        <v>44866</v>
      </c>
      <c r="C12" s="416"/>
      <c r="D12" s="416"/>
      <c r="E12" s="416"/>
      <c r="F12" s="416"/>
      <c r="G12" s="416"/>
      <c r="H12" s="248"/>
      <c r="I12" s="26"/>
      <c r="J12" s="22"/>
      <c r="K12" s="22"/>
      <c r="L12" s="22"/>
      <c r="M12" s="22"/>
      <c r="N12" s="22"/>
      <c r="O12" s="22"/>
      <c r="P12" s="22"/>
      <c r="Q12" s="22"/>
      <c r="R12" s="22"/>
    </row>
    <row r="13" spans="2:18" s="14" customFormat="1" ht="15.75" customHeight="1">
      <c r="B13" s="618">
        <v>44896</v>
      </c>
      <c r="C13" s="416"/>
      <c r="D13" s="416"/>
      <c r="E13" s="416"/>
      <c r="F13" s="416"/>
      <c r="G13" s="416"/>
      <c r="H13" s="248"/>
      <c r="I13" s="504"/>
      <c r="J13" s="505"/>
      <c r="K13" s="505"/>
      <c r="L13" s="505"/>
      <c r="M13" s="505"/>
      <c r="N13" s="506"/>
      <c r="O13" s="506"/>
      <c r="P13" s="506"/>
      <c r="Q13" s="506"/>
      <c r="R13" s="506"/>
    </row>
    <row r="14" spans="2:18" s="14" customFormat="1" ht="15.75" customHeight="1">
      <c r="B14" s="618">
        <v>44927</v>
      </c>
      <c r="C14" s="416"/>
      <c r="D14" s="416"/>
      <c r="E14" s="416"/>
      <c r="F14" s="416"/>
      <c r="G14" s="416"/>
      <c r="H14" s="248"/>
      <c r="I14" s="504"/>
      <c r="J14" s="505"/>
      <c r="K14" s="505"/>
      <c r="L14" s="505"/>
      <c r="M14" s="505"/>
      <c r="N14" s="507"/>
      <c r="O14" s="22"/>
      <c r="P14" s="22"/>
      <c r="Q14" s="97"/>
      <c r="R14" s="22"/>
    </row>
    <row r="15" spans="2:18" s="14" customFormat="1" ht="15.75" customHeight="1">
      <c r="B15" s="618">
        <v>44958</v>
      </c>
      <c r="C15" s="336"/>
      <c r="D15" s="336"/>
      <c r="E15" s="336"/>
      <c r="F15" s="336"/>
      <c r="G15" s="336"/>
      <c r="H15" s="95"/>
      <c r="I15" s="26"/>
      <c r="J15" s="22"/>
      <c r="K15" s="22"/>
      <c r="L15" s="22"/>
      <c r="M15" s="22"/>
      <c r="N15" s="403"/>
      <c r="O15" s="22"/>
      <c r="P15" s="22"/>
      <c r="Q15" s="22"/>
      <c r="R15" s="22"/>
    </row>
    <row r="16" spans="2:18" s="14" customFormat="1" ht="15.75" customHeight="1">
      <c r="B16" s="618">
        <v>44986</v>
      </c>
      <c r="C16" s="336"/>
      <c r="D16" s="336"/>
      <c r="E16" s="336"/>
      <c r="F16" s="336"/>
      <c r="G16" s="336"/>
      <c r="H16" s="503"/>
      <c r="I16" s="26"/>
      <c r="J16" s="95"/>
      <c r="K16" s="503"/>
      <c r="L16" s="22"/>
      <c r="M16" s="22"/>
      <c r="N16" s="22"/>
      <c r="O16" s="22"/>
      <c r="P16" s="22"/>
      <c r="Q16" s="22"/>
      <c r="R16" s="22"/>
    </row>
    <row r="17" spans="2:16" s="14" customFormat="1" ht="15.75" customHeight="1">
      <c r="B17" s="618">
        <v>45017</v>
      </c>
      <c r="C17" s="336"/>
      <c r="D17" s="336"/>
      <c r="E17" s="336"/>
      <c r="F17" s="336"/>
      <c r="G17" s="336"/>
      <c r="H17" s="507"/>
      <c r="I17" s="71"/>
      <c r="J17" s="22"/>
      <c r="K17" s="22"/>
      <c r="L17" s="22"/>
      <c r="M17" s="22"/>
      <c r="N17" s="22"/>
      <c r="O17" s="22"/>
      <c r="P17" s="22"/>
    </row>
    <row r="18" spans="2:16" s="14" customFormat="1" ht="21" customHeight="1">
      <c r="B18" s="785" t="s">
        <v>94</v>
      </c>
      <c r="C18" s="785"/>
      <c r="D18" s="785"/>
      <c r="E18" s="785"/>
      <c r="F18" s="785"/>
      <c r="G18" s="785"/>
      <c r="H18" s="508"/>
      <c r="I18" s="22"/>
      <c r="J18" s="41"/>
      <c r="K18" s="22"/>
      <c r="L18" s="22"/>
      <c r="M18" s="22"/>
      <c r="N18" s="22"/>
      <c r="O18" s="22"/>
      <c r="P18" s="22"/>
    </row>
    <row r="19" spans="2:16" s="14" customFormat="1" ht="25.5" customHeight="1">
      <c r="B19" s="785"/>
      <c r="C19" s="785"/>
      <c r="D19" s="785"/>
      <c r="E19" s="785"/>
      <c r="F19" s="785"/>
      <c r="G19" s="785"/>
      <c r="H19" s="503"/>
      <c r="I19" s="71"/>
      <c r="J19" s="22"/>
      <c r="K19" s="22"/>
      <c r="L19" s="22"/>
      <c r="M19" s="22"/>
      <c r="N19" s="22"/>
      <c r="O19" s="22"/>
      <c r="P19" s="22"/>
    </row>
    <row r="21" spans="2:16" ht="16.5" customHeight="1">
      <c r="J21" s="41"/>
      <c r="K21" s="22"/>
      <c r="L21" s="22"/>
      <c r="M21" s="22"/>
      <c r="N21" s="22"/>
      <c r="O21" s="22"/>
    </row>
    <row r="22" spans="2:16" ht="12.75">
      <c r="J22" s="41"/>
      <c r="K22" s="22"/>
      <c r="L22" s="22"/>
      <c r="M22" s="22"/>
      <c r="N22" s="22"/>
      <c r="O22" s="22"/>
    </row>
    <row r="23" spans="2:16" ht="15" customHeight="1">
      <c r="H23" s="4"/>
      <c r="I23" s="90"/>
      <c r="J23" s="41"/>
      <c r="K23" s="22"/>
      <c r="L23" s="22"/>
      <c r="M23" s="22"/>
      <c r="N23" s="22"/>
      <c r="O23" s="22"/>
    </row>
    <row r="24" spans="2:16" ht="9.9499999999999993" customHeight="1">
      <c r="H24" s="4"/>
      <c r="J24" s="41"/>
      <c r="K24" s="22"/>
      <c r="L24" s="22"/>
      <c r="M24" s="22"/>
      <c r="N24" s="22"/>
      <c r="O24" s="22"/>
    </row>
    <row r="25" spans="2:16" ht="15" customHeight="1">
      <c r="H25" s="90"/>
      <c r="J25" s="41"/>
      <c r="K25" s="22"/>
      <c r="L25" s="22"/>
      <c r="M25" s="22"/>
      <c r="N25" s="22"/>
      <c r="O25" s="22"/>
    </row>
    <row r="26" spans="2:16" ht="15" customHeight="1">
      <c r="H26" s="4"/>
      <c r="J26" s="41"/>
      <c r="K26" s="22"/>
      <c r="L26" s="22"/>
      <c r="M26" s="22"/>
      <c r="N26" s="22"/>
      <c r="O26" s="22"/>
    </row>
    <row r="27" spans="2:16" ht="15" customHeight="1">
      <c r="H27" s="4"/>
      <c r="J27" s="41"/>
      <c r="K27" s="22"/>
      <c r="L27" s="22"/>
      <c r="M27" s="22"/>
      <c r="N27" s="22"/>
      <c r="O27" s="22"/>
    </row>
    <row r="28" spans="2:16" ht="15" customHeight="1">
      <c r="H28" s="5"/>
      <c r="J28" s="41"/>
      <c r="K28" s="22"/>
      <c r="L28" s="26"/>
      <c r="M28" s="22"/>
      <c r="N28" s="22"/>
      <c r="O28" s="22"/>
    </row>
    <row r="29" spans="2:16" ht="15" customHeight="1">
      <c r="H29" s="5"/>
      <c r="J29" s="41"/>
      <c r="K29" s="22"/>
      <c r="L29" s="22"/>
      <c r="M29" s="22"/>
      <c r="N29" s="22"/>
      <c r="O29" s="22"/>
    </row>
    <row r="30" spans="2:16" ht="15" customHeight="1">
      <c r="H30" s="5"/>
      <c r="J30" s="41"/>
      <c r="K30" s="22"/>
      <c r="L30" s="26"/>
      <c r="M30" s="26"/>
      <c r="N30" s="26"/>
      <c r="O30" s="22"/>
    </row>
    <row r="31" spans="2:16" ht="15" customHeight="1">
      <c r="H31" s="5"/>
      <c r="J31" s="41"/>
      <c r="K31" s="22"/>
      <c r="L31" s="26"/>
      <c r="M31" s="26"/>
      <c r="N31" s="22"/>
      <c r="O31" s="22"/>
      <c r="P31" s="9"/>
    </row>
    <row r="32" spans="2:16" ht="15" customHeight="1">
      <c r="H32" s="5"/>
      <c r="N32" s="9"/>
    </row>
    <row r="33" spans="2:11" ht="15" customHeight="1">
      <c r="H33" s="5"/>
    </row>
    <row r="34" spans="2:11" ht="15" customHeight="1">
      <c r="H34" s="5"/>
    </row>
    <row r="35" spans="2:11" ht="15" customHeight="1">
      <c r="H35" s="5"/>
      <c r="K35" s="12"/>
    </row>
    <row r="36" spans="2:11" ht="13.7" customHeight="1">
      <c r="B36" s="1" t="s">
        <v>95</v>
      </c>
      <c r="H36" s="5"/>
    </row>
    <row r="37" spans="2:11">
      <c r="B37" s="6"/>
      <c r="C37" s="4"/>
      <c r="D37" s="4"/>
      <c r="E37" s="4"/>
      <c r="F37" s="4"/>
      <c r="G37" s="4"/>
    </row>
    <row r="38" spans="2:11" ht="14.1" customHeight="1">
      <c r="B38" s="782"/>
      <c r="C38" s="782"/>
      <c r="D38" s="782"/>
      <c r="E38" s="782"/>
      <c r="F38" s="782"/>
      <c r="G38" s="782"/>
    </row>
    <row r="40" spans="2:11" ht="15.6" customHeight="1">
      <c r="B40" s="781"/>
      <c r="C40" s="781"/>
      <c r="D40" s="781"/>
      <c r="E40" s="781"/>
      <c r="F40" s="781"/>
      <c r="G40" s="781"/>
    </row>
    <row r="41" spans="2:11" ht="18">
      <c r="B41"/>
    </row>
    <row r="42" spans="2:11" ht="18">
      <c r="B42"/>
    </row>
    <row r="43" spans="2:11" ht="18">
      <c r="B43"/>
    </row>
    <row r="44" spans="2:11" ht="18">
      <c r="B44"/>
    </row>
    <row r="45" spans="2:11" ht="18">
      <c r="B45"/>
    </row>
    <row r="46" spans="2:11" ht="18">
      <c r="B46"/>
    </row>
    <row r="47" spans="2:11" ht="18">
      <c r="B47"/>
    </row>
    <row r="48" spans="2:11" ht="18">
      <c r="B48"/>
    </row>
    <row r="49" spans="2:9" ht="18">
      <c r="B49"/>
    </row>
    <row r="50" spans="2:9" ht="18">
      <c r="B50"/>
    </row>
    <row r="51" spans="2:9" ht="18">
      <c r="B51"/>
    </row>
    <row r="52" spans="2:9" ht="18">
      <c r="B52"/>
    </row>
    <row r="53" spans="2:9" ht="18">
      <c r="B53"/>
      <c r="I53"/>
    </row>
    <row r="54" spans="2:9" ht="30" customHeight="1">
      <c r="B54" s="97"/>
      <c r="I54" s="97"/>
    </row>
    <row r="55" spans="2:9" ht="18">
      <c r="B55"/>
    </row>
    <row r="56" spans="2:9" ht="18">
      <c r="B56"/>
    </row>
    <row r="57" spans="2:9" ht="18">
      <c r="B57"/>
    </row>
    <row r="58" spans="2:9" ht="18">
      <c r="B58"/>
    </row>
    <row r="59" spans="2:9" ht="18">
      <c r="B59"/>
    </row>
    <row r="60" spans="2:9" ht="18">
      <c r="B60"/>
    </row>
    <row r="61" spans="2:9" ht="18">
      <c r="B61"/>
    </row>
    <row r="62" spans="2:9" ht="18">
      <c r="B62"/>
    </row>
    <row r="63" spans="2:9" ht="18">
      <c r="B63"/>
    </row>
    <row r="64" spans="2:9" ht="18">
      <c r="B64"/>
    </row>
  </sheetData>
  <customSheetViews>
    <customSheetView guid="{5CDC6F58-B038-4A0E-A13D-C643B013E119}" topLeftCell="A2">
      <selection activeCell="D39" sqref="D39"/>
      <pageMargins left="0" right="0" top="0" bottom="0" header="0" footer="0"/>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paperSize="126"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pageSetUpPr fitToPage="1"/>
  </sheetPr>
  <dimension ref="B1:Y40"/>
  <sheetViews>
    <sheetView topLeftCell="A17" zoomScaleNormal="100" workbookViewId="0">
      <selection activeCell="K13" sqref="K13"/>
    </sheetView>
  </sheetViews>
  <sheetFormatPr baseColWidth="10" defaultColWidth="10.90625" defaultRowHeight="12"/>
  <cols>
    <col min="1" max="1" width="0.7265625" style="606" customWidth="1"/>
    <col min="2" max="2" width="12.81640625" style="606" customWidth="1"/>
    <col min="3" max="10" width="6.26953125" style="606" customWidth="1"/>
    <col min="11" max="17" width="10.90625" style="373" customWidth="1"/>
    <col min="18" max="25" width="10.90625" style="373"/>
    <col min="26" max="16384" width="10.90625" style="606"/>
  </cols>
  <sheetData>
    <row r="1" spans="2:25" s="603" customFormat="1" ht="12.75">
      <c r="B1" s="767" t="s">
        <v>196</v>
      </c>
      <c r="C1" s="767"/>
      <c r="D1" s="767"/>
      <c r="E1" s="767"/>
      <c r="F1" s="767"/>
      <c r="G1" s="767"/>
      <c r="H1" s="767"/>
      <c r="I1" s="767"/>
      <c r="J1" s="767"/>
      <c r="K1" s="308"/>
      <c r="L1" s="308"/>
      <c r="M1" s="308"/>
      <c r="N1" s="308"/>
      <c r="O1" s="308"/>
      <c r="P1" s="308"/>
      <c r="Q1" s="308"/>
      <c r="R1" s="308"/>
      <c r="S1" s="308"/>
      <c r="T1" s="308"/>
      <c r="U1" s="308"/>
      <c r="V1" s="308"/>
      <c r="W1" s="308"/>
      <c r="X1" s="308"/>
      <c r="Y1" s="308"/>
    </row>
    <row r="2" spans="2:25" s="603" customFormat="1" ht="18">
      <c r="B2" s="17"/>
      <c r="C2" s="17"/>
      <c r="D2" s="17"/>
      <c r="E2" s="17"/>
      <c r="F2" s="17"/>
      <c r="G2" s="17"/>
      <c r="H2" s="17"/>
      <c r="I2" s="23"/>
      <c r="J2" s="23"/>
      <c r="K2" s="625"/>
      <c r="L2" s="594"/>
      <c r="M2" s="594"/>
      <c r="N2" s="594"/>
      <c r="O2" s="626"/>
      <c r="P2" s="308"/>
      <c r="Q2" s="308"/>
      <c r="R2" s="308"/>
      <c r="S2" s="308"/>
      <c r="T2" s="308"/>
      <c r="U2" s="308"/>
      <c r="V2" s="308"/>
      <c r="W2" s="308"/>
      <c r="X2" s="308"/>
      <c r="Y2" s="308"/>
    </row>
    <row r="3" spans="2:25" s="603" customFormat="1" ht="12.75">
      <c r="B3" s="767" t="s">
        <v>415</v>
      </c>
      <c r="C3" s="767"/>
      <c r="D3" s="767"/>
      <c r="E3" s="767"/>
      <c r="F3" s="767"/>
      <c r="G3" s="767"/>
      <c r="H3" s="767"/>
      <c r="I3" s="767"/>
      <c r="J3" s="767"/>
      <c r="K3" s="308"/>
      <c r="L3" s="308"/>
      <c r="M3" s="308"/>
      <c r="N3" s="308"/>
      <c r="O3" s="308"/>
      <c r="P3" s="308"/>
      <c r="Q3" s="308"/>
      <c r="R3" s="308"/>
      <c r="S3" s="308"/>
      <c r="T3" s="308"/>
      <c r="U3" s="308"/>
      <c r="V3" s="308"/>
      <c r="W3" s="308"/>
      <c r="X3" s="308"/>
      <c r="Y3" s="308"/>
    </row>
    <row r="4" spans="2:25" s="603" customFormat="1" ht="12.75">
      <c r="B4" s="951" t="s">
        <v>636</v>
      </c>
      <c r="C4" s="951"/>
      <c r="D4" s="951"/>
      <c r="E4" s="951"/>
      <c r="F4" s="951"/>
      <c r="G4" s="951"/>
      <c r="H4" s="951"/>
      <c r="I4" s="951"/>
      <c r="J4" s="951"/>
      <c r="K4" s="308"/>
      <c r="L4" s="308"/>
      <c r="M4" s="308"/>
      <c r="N4" s="308"/>
      <c r="O4" s="308"/>
      <c r="P4" s="308"/>
      <c r="Q4" s="308"/>
      <c r="R4" s="308"/>
      <c r="S4" s="308"/>
      <c r="T4" s="308"/>
      <c r="U4" s="308"/>
      <c r="V4" s="308"/>
      <c r="W4" s="308"/>
      <c r="X4" s="308"/>
      <c r="Y4" s="308"/>
    </row>
    <row r="5" spans="2:25" s="603" customFormat="1" ht="12.75">
      <c r="B5" s="951" t="s">
        <v>410</v>
      </c>
      <c r="C5" s="951"/>
      <c r="D5" s="951"/>
      <c r="E5" s="951"/>
      <c r="F5" s="951"/>
      <c r="G5" s="951"/>
      <c r="H5" s="951"/>
      <c r="I5" s="951"/>
      <c r="J5" s="951"/>
      <c r="K5" s="308"/>
      <c r="L5" s="308"/>
      <c r="M5" s="308"/>
      <c r="N5" s="308"/>
      <c r="O5" s="308"/>
      <c r="P5" s="308"/>
      <c r="Q5" s="308"/>
      <c r="R5" s="308"/>
      <c r="S5" s="308"/>
      <c r="T5" s="308"/>
      <c r="U5" s="308"/>
      <c r="V5" s="308"/>
      <c r="W5" s="308"/>
      <c r="X5" s="308"/>
      <c r="Y5" s="308"/>
    </row>
    <row r="6" spans="2:25" s="604" customFormat="1" ht="15.75" customHeight="1">
      <c r="B6" s="948" t="s">
        <v>416</v>
      </c>
      <c r="C6" s="947" t="s">
        <v>112</v>
      </c>
      <c r="D6" s="947"/>
      <c r="E6" s="947" t="s">
        <v>119</v>
      </c>
      <c r="F6" s="947"/>
      <c r="G6" s="947" t="s">
        <v>417</v>
      </c>
      <c r="H6" s="947"/>
      <c r="I6" s="948" t="s">
        <v>195</v>
      </c>
      <c r="J6" s="948"/>
      <c r="K6" s="300"/>
      <c r="L6" s="300"/>
      <c r="M6" s="300"/>
      <c r="N6" s="300"/>
      <c r="O6" s="300"/>
      <c r="P6" s="300"/>
      <c r="Q6" s="300"/>
      <c r="R6" s="300"/>
      <c r="S6" s="300"/>
      <c r="T6" s="300"/>
      <c r="U6" s="300"/>
      <c r="V6" s="300"/>
      <c r="W6" s="300"/>
      <c r="X6" s="300"/>
      <c r="Y6" s="300"/>
    </row>
    <row r="7" spans="2:25" s="604" customFormat="1" ht="15.75" customHeight="1">
      <c r="B7" s="948"/>
      <c r="C7" s="414">
        <v>2021</v>
      </c>
      <c r="D7" s="414">
        <v>2022</v>
      </c>
      <c r="E7" s="414">
        <v>2021</v>
      </c>
      <c r="F7" s="414">
        <v>2022</v>
      </c>
      <c r="G7" s="414">
        <v>2021</v>
      </c>
      <c r="H7" s="414">
        <v>2022</v>
      </c>
      <c r="I7" s="414">
        <v>2021</v>
      </c>
      <c r="J7" s="414">
        <v>2022</v>
      </c>
      <c r="K7" s="300"/>
      <c r="L7" s="300"/>
      <c r="M7" s="300"/>
      <c r="N7" s="300"/>
      <c r="O7" s="300"/>
      <c r="P7" s="300"/>
      <c r="Q7" s="300"/>
      <c r="R7" s="300"/>
      <c r="S7" s="300"/>
      <c r="T7" s="300"/>
      <c r="U7" s="300"/>
      <c r="V7" s="300"/>
      <c r="W7" s="300"/>
      <c r="X7" s="300"/>
      <c r="Y7" s="300"/>
    </row>
    <row r="8" spans="2:25" s="604" customFormat="1" ht="15.75" customHeight="1">
      <c r="B8" s="607" t="s">
        <v>200</v>
      </c>
      <c r="C8" s="608">
        <v>51019.17</v>
      </c>
      <c r="D8" s="608">
        <v>166462.09</v>
      </c>
      <c r="E8" s="608">
        <v>20.8</v>
      </c>
      <c r="F8" s="608">
        <v>82.841170000000005</v>
      </c>
      <c r="G8" s="608">
        <v>118254.86</v>
      </c>
      <c r="H8" s="608">
        <v>0</v>
      </c>
      <c r="I8" s="608">
        <v>169319.18</v>
      </c>
      <c r="J8" s="608">
        <v>166933.17012999998</v>
      </c>
      <c r="K8" s="300"/>
      <c r="L8" s="300"/>
      <c r="M8" s="300"/>
      <c r="N8" s="300"/>
      <c r="O8" s="300"/>
      <c r="P8" s="300"/>
      <c r="Q8" s="300"/>
      <c r="R8" s="300"/>
      <c r="S8" s="300"/>
      <c r="T8" s="300"/>
      <c r="U8" s="300"/>
      <c r="V8" s="300"/>
      <c r="W8" s="300"/>
      <c r="X8" s="300"/>
      <c r="Y8" s="300"/>
    </row>
    <row r="9" spans="2:25" s="604" customFormat="1" ht="15.75" customHeight="1">
      <c r="B9" s="607" t="s">
        <v>201</v>
      </c>
      <c r="C9" s="608">
        <v>59130.37</v>
      </c>
      <c r="D9" s="608">
        <v>151536.58625999998</v>
      </c>
      <c r="E9" s="608">
        <v>120126.537</v>
      </c>
      <c r="F9" s="608">
        <v>62.430039999999998</v>
      </c>
      <c r="G9" s="608">
        <v>49219.49</v>
      </c>
      <c r="H9" s="608">
        <v>0</v>
      </c>
      <c r="I9" s="608">
        <v>228790.80032999997</v>
      </c>
      <c r="J9" s="608">
        <v>152294.36619</v>
      </c>
      <c r="K9" s="300"/>
      <c r="L9" s="300"/>
      <c r="M9" s="300"/>
      <c r="N9" s="300"/>
      <c r="O9" s="300"/>
      <c r="P9" s="300"/>
      <c r="Q9" s="300"/>
      <c r="R9" s="300"/>
      <c r="S9" s="300"/>
      <c r="T9" s="300"/>
      <c r="U9" s="300"/>
      <c r="V9" s="300"/>
      <c r="W9" s="300"/>
      <c r="X9" s="300"/>
      <c r="Y9" s="300"/>
    </row>
    <row r="10" spans="2:25" s="604" customFormat="1" ht="15.75" customHeight="1">
      <c r="B10" s="607" t="s">
        <v>202</v>
      </c>
      <c r="C10" s="608">
        <v>57169.987000000001</v>
      </c>
      <c r="D10" s="608">
        <v>133513.89000000001</v>
      </c>
      <c r="E10" s="608">
        <v>105132.518</v>
      </c>
      <c r="F10" s="608">
        <v>2.2199999999999998E-3</v>
      </c>
      <c r="G10" s="608">
        <v>7584.2340000000004</v>
      </c>
      <c r="H10" s="608">
        <v>0</v>
      </c>
      <c r="I10" s="608">
        <v>169998.05799999999</v>
      </c>
      <c r="J10" s="608">
        <v>134324.87856000001</v>
      </c>
      <c r="K10" s="300" t="s">
        <v>663</v>
      </c>
      <c r="L10" s="300"/>
      <c r="M10" s="300" t="s">
        <v>112</v>
      </c>
      <c r="N10" s="300" t="s">
        <v>418</v>
      </c>
      <c r="O10" s="300" t="s">
        <v>417</v>
      </c>
      <c r="P10" s="300" t="s">
        <v>197</v>
      </c>
      <c r="Q10" s="300"/>
      <c r="R10" s="300"/>
      <c r="S10" s="300"/>
      <c r="T10" s="300"/>
      <c r="U10" s="300"/>
      <c r="V10" s="300"/>
      <c r="W10" s="300"/>
      <c r="X10" s="300"/>
      <c r="Y10" s="300"/>
    </row>
    <row r="11" spans="2:25" s="604" customFormat="1" ht="15.75" customHeight="1">
      <c r="B11" s="607" t="s">
        <v>203</v>
      </c>
      <c r="C11" s="608">
        <v>123896.69899999999</v>
      </c>
      <c r="D11" s="608">
        <v>108940.674</v>
      </c>
      <c r="E11" s="608">
        <v>1000</v>
      </c>
      <c r="F11" s="608">
        <v>4.0000000000000001E-3</v>
      </c>
      <c r="G11" s="608">
        <v>0</v>
      </c>
      <c r="H11" s="608">
        <v>0</v>
      </c>
      <c r="I11" s="608">
        <v>124958.82113000001</v>
      </c>
      <c r="J11" s="608">
        <v>109000.40353999998</v>
      </c>
      <c r="K11" s="300"/>
      <c r="L11" s="300"/>
      <c r="M11" s="627">
        <f>D21</f>
        <v>0.98779242921681509</v>
      </c>
      <c r="N11" s="628">
        <f>F21</f>
        <v>3.3484695642551759E-4</v>
      </c>
      <c r="O11" s="628">
        <f>H21</f>
        <v>0</v>
      </c>
      <c r="P11" s="628">
        <f>100%-M11-N11-O11</f>
        <v>1.1872723826759388E-2</v>
      </c>
      <c r="Q11" s="300"/>
      <c r="R11" s="300"/>
      <c r="S11" s="300"/>
      <c r="T11" s="300"/>
      <c r="U11" s="300"/>
      <c r="V11" s="300"/>
      <c r="W11" s="300"/>
      <c r="X11" s="300"/>
      <c r="Y11" s="300"/>
    </row>
    <row r="12" spans="2:25" s="604" customFormat="1" ht="15.75" customHeight="1">
      <c r="B12" s="607" t="s">
        <v>204</v>
      </c>
      <c r="C12" s="608">
        <v>135667.22500000001</v>
      </c>
      <c r="D12" s="608">
        <v>256144.83687999999</v>
      </c>
      <c r="E12" s="608">
        <v>84.369</v>
      </c>
      <c r="F12" s="608">
        <v>62.595999999999997</v>
      </c>
      <c r="G12" s="608">
        <v>0</v>
      </c>
      <c r="H12" s="608">
        <v>0</v>
      </c>
      <c r="I12" s="608">
        <v>137570.77900000001</v>
      </c>
      <c r="J12" s="608">
        <v>256508.59538999994</v>
      </c>
      <c r="K12" s="300">
        <f>SUM(J8:J11)/SUM(I8:I11)-1</f>
        <v>-0.18831378135969379</v>
      </c>
      <c r="L12" s="300"/>
      <c r="M12" s="300" t="s">
        <v>663</v>
      </c>
      <c r="N12" s="300"/>
      <c r="O12" s="300"/>
      <c r="P12" s="300"/>
      <c r="Q12" s="300"/>
      <c r="R12" s="300"/>
      <c r="S12" s="300"/>
      <c r="T12" s="300"/>
      <c r="U12" s="300"/>
      <c r="V12" s="300"/>
      <c r="W12" s="300"/>
      <c r="X12" s="300"/>
      <c r="Y12" s="300"/>
    </row>
    <row r="13" spans="2:25" s="604" customFormat="1" ht="15.75" customHeight="1">
      <c r="B13" s="607" t="s">
        <v>205</v>
      </c>
      <c r="C13" s="608">
        <v>154370.228</v>
      </c>
      <c r="D13" s="608">
        <v>248938.62</v>
      </c>
      <c r="E13" s="608">
        <v>0</v>
      </c>
      <c r="F13" s="608">
        <v>42.184330000000003</v>
      </c>
      <c r="G13" s="608">
        <v>0</v>
      </c>
      <c r="H13" s="608">
        <v>0</v>
      </c>
      <c r="I13" s="608">
        <v>157439.008</v>
      </c>
      <c r="J13" s="608">
        <v>261464.76532999999</v>
      </c>
      <c r="K13" s="300" t="s">
        <v>663</v>
      </c>
      <c r="L13" s="300"/>
      <c r="M13" s="300"/>
      <c r="N13" s="300"/>
      <c r="O13" s="300"/>
      <c r="P13" s="300"/>
      <c r="Q13" s="300"/>
      <c r="R13" s="300"/>
      <c r="S13" s="300"/>
      <c r="T13" s="300"/>
      <c r="U13" s="300"/>
      <c r="V13" s="300"/>
      <c r="W13" s="300"/>
      <c r="X13" s="300"/>
      <c r="Y13" s="300"/>
    </row>
    <row r="14" spans="2:25" s="604" customFormat="1" ht="15.75" customHeight="1">
      <c r="B14" s="607" t="s">
        <v>206</v>
      </c>
      <c r="C14" s="608">
        <v>167630.196</v>
      </c>
      <c r="D14" s="608">
        <v>165890.01999999999</v>
      </c>
      <c r="E14" s="608">
        <v>42.185000000000002</v>
      </c>
      <c r="F14" s="608">
        <v>167.37759999999997</v>
      </c>
      <c r="G14" s="608">
        <v>0</v>
      </c>
      <c r="H14" s="608">
        <v>0</v>
      </c>
      <c r="I14" s="608">
        <v>169547.18582999997</v>
      </c>
      <c r="J14" s="608">
        <v>166119.04785</v>
      </c>
      <c r="K14" s="300"/>
      <c r="L14" s="300"/>
      <c r="M14" s="300"/>
      <c r="N14" s="300"/>
      <c r="O14" s="300"/>
      <c r="P14" s="300"/>
      <c r="Q14" s="300"/>
      <c r="R14" s="300"/>
      <c r="S14" s="300"/>
      <c r="T14" s="300"/>
      <c r="U14" s="300"/>
      <c r="V14" s="300"/>
      <c r="W14" s="300"/>
      <c r="X14" s="300"/>
      <c r="Y14" s="300"/>
    </row>
    <row r="15" spans="2:25" s="604" customFormat="1" ht="15.75" customHeight="1">
      <c r="B15" s="607" t="s">
        <v>207</v>
      </c>
      <c r="C15" s="608">
        <v>175239.367</v>
      </c>
      <c r="D15" s="608"/>
      <c r="E15" s="608">
        <v>41.731000000000002</v>
      </c>
      <c r="F15" s="608"/>
      <c r="G15" s="608">
        <v>0</v>
      </c>
      <c r="H15" s="608"/>
      <c r="I15" s="608">
        <v>176857.652</v>
      </c>
      <c r="J15" s="608"/>
      <c r="K15" s="300" t="s">
        <v>663</v>
      </c>
      <c r="L15" s="300"/>
      <c r="M15" s="300"/>
      <c r="N15" s="300"/>
      <c r="O15" s="300"/>
      <c r="P15" s="300"/>
      <c r="Q15" s="300"/>
      <c r="R15" s="300"/>
      <c r="S15" s="300"/>
      <c r="T15" s="300"/>
      <c r="U15" s="300"/>
      <c r="V15" s="300"/>
      <c r="W15" s="300"/>
      <c r="X15" s="300"/>
      <c r="Y15" s="300"/>
    </row>
    <row r="16" spans="2:25" s="604" customFormat="1" ht="15.75" customHeight="1">
      <c r="B16" s="607" t="s">
        <v>208</v>
      </c>
      <c r="C16" s="608">
        <v>243003.389</v>
      </c>
      <c r="D16" s="608"/>
      <c r="E16" s="608">
        <v>0</v>
      </c>
      <c r="F16" s="608"/>
      <c r="G16" s="608">
        <v>28</v>
      </c>
      <c r="H16" s="608"/>
      <c r="I16" s="608">
        <v>245239.02699000001</v>
      </c>
      <c r="J16" s="608"/>
      <c r="K16" s="300" t="s">
        <v>663</v>
      </c>
      <c r="L16" s="300"/>
      <c r="M16" s="300"/>
      <c r="N16" s="300"/>
      <c r="O16" s="300"/>
      <c r="P16" s="300"/>
      <c r="Q16" s="300"/>
      <c r="R16" s="300"/>
      <c r="S16" s="300"/>
      <c r="T16" s="300"/>
      <c r="U16" s="300"/>
      <c r="V16" s="300"/>
      <c r="W16" s="300"/>
      <c r="X16" s="300"/>
      <c r="Y16" s="300"/>
    </row>
    <row r="17" spans="2:25" s="604" customFormat="1" ht="15.75" customHeight="1">
      <c r="B17" s="607" t="s">
        <v>209</v>
      </c>
      <c r="C17" s="608">
        <v>282329.10600000003</v>
      </c>
      <c r="D17" s="608"/>
      <c r="E17" s="608">
        <v>0</v>
      </c>
      <c r="F17" s="608"/>
      <c r="G17" s="608">
        <v>0</v>
      </c>
      <c r="H17" s="608"/>
      <c r="I17" s="608">
        <v>285503.50107</v>
      </c>
      <c r="J17" s="608"/>
      <c r="K17" s="300"/>
      <c r="L17" s="300"/>
      <c r="M17" s="300"/>
      <c r="N17" s="300"/>
      <c r="O17" s="300"/>
      <c r="P17" s="300"/>
      <c r="Q17" s="300"/>
      <c r="R17" s="300"/>
      <c r="S17" s="300"/>
      <c r="T17" s="300"/>
      <c r="U17" s="300"/>
      <c r="V17" s="300"/>
      <c r="W17" s="300"/>
      <c r="X17" s="300"/>
      <c r="Y17" s="300"/>
    </row>
    <row r="18" spans="2:25" s="604" customFormat="1" ht="15.75" customHeight="1">
      <c r="B18" s="607" t="s">
        <v>193</v>
      </c>
      <c r="C18" s="608">
        <v>249068.67</v>
      </c>
      <c r="D18" s="608"/>
      <c r="E18" s="608">
        <v>40.823999999999998</v>
      </c>
      <c r="F18" s="608"/>
      <c r="G18" s="608">
        <v>0</v>
      </c>
      <c r="H18" s="608"/>
      <c r="I18" s="608">
        <v>251377.48130000001</v>
      </c>
      <c r="J18" s="608"/>
      <c r="K18" s="300"/>
      <c r="L18" s="629"/>
      <c r="M18" s="629"/>
      <c r="N18" s="629"/>
      <c r="O18" s="629"/>
      <c r="P18" s="300"/>
      <c r="Q18" s="300"/>
      <c r="R18" s="300"/>
      <c r="S18" s="300"/>
      <c r="T18" s="300"/>
      <c r="U18" s="300"/>
      <c r="V18" s="300"/>
      <c r="W18" s="300"/>
      <c r="X18" s="300"/>
      <c r="Y18" s="300"/>
    </row>
    <row r="19" spans="2:25" s="604" customFormat="1" ht="15.75" customHeight="1">
      <c r="B19" s="607" t="s">
        <v>194</v>
      </c>
      <c r="C19" s="608">
        <v>222700.34599999999</v>
      </c>
      <c r="D19" s="608"/>
      <c r="E19" s="608">
        <v>62.43</v>
      </c>
      <c r="F19" s="608"/>
      <c r="G19" s="608">
        <v>56</v>
      </c>
      <c r="H19" s="608"/>
      <c r="I19" s="608">
        <v>224585.245</v>
      </c>
      <c r="J19" s="609"/>
      <c r="K19" s="300"/>
      <c r="L19" s="300"/>
      <c r="M19" s="300"/>
      <c r="N19" s="300"/>
      <c r="O19" s="300"/>
      <c r="P19" s="300"/>
      <c r="Q19" s="300"/>
      <c r="R19" s="300"/>
      <c r="S19" s="300"/>
      <c r="T19" s="300"/>
      <c r="U19" s="300"/>
      <c r="V19" s="300"/>
      <c r="W19" s="300"/>
      <c r="X19" s="300"/>
      <c r="Y19" s="300"/>
    </row>
    <row r="20" spans="2:25" s="604" customFormat="1" ht="15.75" customHeight="1">
      <c r="B20" s="607" t="s">
        <v>195</v>
      </c>
      <c r="C20" s="608">
        <f>SUM(C8:C19)</f>
        <v>1921224.753</v>
      </c>
      <c r="D20" s="608">
        <f t="shared" ref="D20:I20" si="0">SUM(D8:D19)</f>
        <v>1231426.7171399998</v>
      </c>
      <c r="E20" s="608">
        <f t="shared" si="0"/>
        <v>226551.39399999997</v>
      </c>
      <c r="F20" s="608">
        <f t="shared" si="0"/>
        <v>417.43535999999995</v>
      </c>
      <c r="G20" s="608">
        <f t="shared" si="0"/>
        <v>175142.584</v>
      </c>
      <c r="H20" s="608">
        <f t="shared" si="0"/>
        <v>0</v>
      </c>
      <c r="I20" s="608">
        <f t="shared" si="0"/>
        <v>2341186.7386499997</v>
      </c>
      <c r="J20" s="608">
        <f>SUM(J8:J19)</f>
        <v>1246645.2269899999</v>
      </c>
      <c r="K20" s="630"/>
      <c r="L20" s="300"/>
      <c r="M20" s="300"/>
      <c r="N20" s="300"/>
      <c r="O20" s="300"/>
      <c r="P20" s="300"/>
      <c r="Q20" s="300"/>
      <c r="R20" s="300"/>
      <c r="S20" s="300"/>
      <c r="T20" s="300"/>
      <c r="U20" s="300"/>
      <c r="V20" s="300"/>
      <c r="W20" s="300"/>
      <c r="X20" s="300"/>
      <c r="Y20" s="300"/>
    </row>
    <row r="21" spans="2:25" s="604" customFormat="1" ht="15.75" customHeight="1">
      <c r="B21" s="610" t="s">
        <v>419</v>
      </c>
      <c r="C21" s="611">
        <f>C20/$I20</f>
        <v>0.82062003909514591</v>
      </c>
      <c r="D21" s="612">
        <f>D20/J20</f>
        <v>0.98779242921681509</v>
      </c>
      <c r="E21" s="612">
        <f>E20/$I20</f>
        <v>9.676775895742365E-2</v>
      </c>
      <c r="F21" s="612">
        <f>F20/J20</f>
        <v>3.3484695642551759E-4</v>
      </c>
      <c r="G21" s="611">
        <f>G20/I20</f>
        <v>7.4809318329298505E-2</v>
      </c>
      <c r="H21" s="611">
        <f>H20/J20</f>
        <v>0</v>
      </c>
      <c r="I21" s="613">
        <f>+I20/I20</f>
        <v>1</v>
      </c>
      <c r="J21" s="613">
        <f>J20/J20</f>
        <v>1</v>
      </c>
      <c r="K21" s="300"/>
      <c r="L21" s="300"/>
      <c r="M21" s="300"/>
      <c r="N21" s="300"/>
      <c r="O21" s="300"/>
      <c r="P21" s="300"/>
      <c r="Q21" s="300"/>
      <c r="R21" s="300"/>
      <c r="S21" s="300"/>
      <c r="T21" s="300"/>
      <c r="U21" s="300"/>
      <c r="V21" s="300"/>
      <c r="W21" s="300"/>
      <c r="X21" s="300"/>
      <c r="Y21" s="300"/>
    </row>
    <row r="22" spans="2:25" s="604" customFormat="1" ht="28.5" customHeight="1">
      <c r="B22" s="950" t="s">
        <v>420</v>
      </c>
      <c r="C22" s="950"/>
      <c r="D22" s="950"/>
      <c r="E22" s="950"/>
      <c r="F22" s="950"/>
      <c r="G22" s="950"/>
      <c r="H22" s="950"/>
      <c r="I22" s="950"/>
      <c r="J22" s="950"/>
      <c r="K22" s="300"/>
      <c r="L22" s="300"/>
      <c r="M22" s="300"/>
      <c r="N22" s="300"/>
      <c r="O22" s="300"/>
      <c r="P22" s="300"/>
      <c r="Q22" s="300"/>
      <c r="R22" s="300"/>
      <c r="S22" s="300"/>
      <c r="T22" s="300"/>
      <c r="U22" s="300"/>
      <c r="V22" s="300"/>
      <c r="W22" s="300"/>
      <c r="X22" s="300"/>
      <c r="Y22" s="300"/>
    </row>
    <row r="23" spans="2:25" ht="15" customHeight="1">
      <c r="B23" s="605"/>
      <c r="C23" s="605"/>
      <c r="D23" s="605"/>
      <c r="E23" s="605"/>
      <c r="F23" s="605"/>
      <c r="G23" s="605"/>
      <c r="H23" s="605"/>
      <c r="I23" s="605"/>
      <c r="J23" s="605"/>
    </row>
    <row r="24" spans="2:25" ht="15" customHeight="1"/>
    <row r="25" spans="2:25" ht="15" customHeight="1"/>
    <row r="26" spans="2:25" ht="15" customHeight="1"/>
    <row r="27" spans="2:25" ht="15" customHeight="1"/>
    <row r="28" spans="2:25" ht="57" customHeight="1">
      <c r="L28" s="631"/>
    </row>
    <row r="29" spans="2:25" ht="15" customHeight="1"/>
    <row r="30" spans="2:25" ht="15" customHeight="1"/>
    <row r="31" spans="2:25" ht="15" customHeight="1"/>
    <row r="32" spans="2:25" ht="15" customHeight="1"/>
    <row r="33" spans="2:10" ht="15" customHeight="1"/>
    <row r="34" spans="2:10" ht="15" customHeight="1"/>
    <row r="35" spans="2:10" ht="15" customHeight="1">
      <c r="D35" s="606" t="s">
        <v>421</v>
      </c>
    </row>
    <row r="36" spans="2:10" ht="15" customHeight="1"/>
    <row r="37" spans="2:10" ht="15" customHeight="1"/>
    <row r="38" spans="2:10" ht="15" customHeight="1"/>
    <row r="40" spans="2:10">
      <c r="B40" s="949" t="s">
        <v>420</v>
      </c>
      <c r="C40" s="949"/>
      <c r="D40" s="949"/>
      <c r="E40" s="949"/>
      <c r="F40" s="949"/>
      <c r="G40" s="949"/>
      <c r="H40" s="949"/>
      <c r="I40" s="949"/>
      <c r="J40" s="949"/>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paperSize="126" orientation="portrait" r:id="rId1"/>
  <headerFooter>
    <oddFooter>&amp;C&amp;11&amp;A</oddFooter>
  </headerFooter>
  <ignoredErrors>
    <ignoredError sqref="C21 C20:J20 K12" formulaRange="1"/>
    <ignoredError sqref="E21" formula="1" formulaRange="1"/>
    <ignoredError sqref="D21" formula="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pageSetUpPr fitToPage="1"/>
  </sheetPr>
  <dimension ref="B1:Q36"/>
  <sheetViews>
    <sheetView topLeftCell="A7" zoomScaleNormal="100" workbookViewId="0">
      <selection activeCell="G13" sqref="G13"/>
    </sheetView>
  </sheetViews>
  <sheetFormatPr baseColWidth="10" defaultColWidth="10.90625" defaultRowHeight="12"/>
  <cols>
    <col min="1" max="1" width="4.453125" style="1" customWidth="1"/>
    <col min="2" max="6" width="10.6328125" style="1" customWidth="1"/>
    <col min="7" max="16384" width="10.90625" style="1"/>
  </cols>
  <sheetData>
    <row r="1" spans="2:17" s="22" customFormat="1" ht="12.75" customHeight="1">
      <c r="B1" s="790" t="s">
        <v>212</v>
      </c>
      <c r="C1" s="790"/>
      <c r="D1" s="790"/>
      <c r="E1" s="790"/>
      <c r="F1" s="790"/>
    </row>
    <row r="2" spans="2:17" s="22" customFormat="1" ht="12.75">
      <c r="B2" s="39"/>
      <c r="C2" s="39"/>
      <c r="D2" s="39"/>
      <c r="E2" s="39"/>
      <c r="F2" s="39"/>
    </row>
    <row r="3" spans="2:17" s="22" customFormat="1" ht="12.75">
      <c r="B3" s="789" t="s">
        <v>422</v>
      </c>
      <c r="C3" s="789"/>
      <c r="D3" s="789"/>
      <c r="E3" s="789"/>
      <c r="F3" s="789"/>
    </row>
    <row r="4" spans="2:17" s="22" customFormat="1" ht="12.75">
      <c r="B4" s="952" t="s">
        <v>642</v>
      </c>
      <c r="C4" s="952"/>
      <c r="D4" s="952"/>
      <c r="E4" s="952"/>
      <c r="F4" s="952"/>
    </row>
    <row r="5" spans="2:17" s="22" customFormat="1" ht="15" customHeight="1">
      <c r="B5" s="789" t="s">
        <v>410</v>
      </c>
      <c r="C5" s="789"/>
      <c r="D5" s="789"/>
      <c r="E5" s="789"/>
      <c r="F5" s="789"/>
    </row>
    <row r="6" spans="2:17" s="22" customFormat="1" ht="60" customHeight="1">
      <c r="B6" s="159" t="s">
        <v>423</v>
      </c>
      <c r="C6" s="117" t="s">
        <v>424</v>
      </c>
      <c r="D6" s="117">
        <v>11042300</v>
      </c>
      <c r="E6" s="559" t="s">
        <v>425</v>
      </c>
      <c r="F6" s="117" t="s">
        <v>426</v>
      </c>
    </row>
    <row r="7" spans="2:17" s="22" customFormat="1" ht="39.75" customHeight="1">
      <c r="B7" s="159" t="s">
        <v>181</v>
      </c>
      <c r="C7" s="117" t="s">
        <v>427</v>
      </c>
      <c r="D7" s="117" t="s">
        <v>428</v>
      </c>
      <c r="E7" s="117" t="s">
        <v>429</v>
      </c>
      <c r="F7" s="117" t="s">
        <v>430</v>
      </c>
    </row>
    <row r="8" spans="2:17" s="22" customFormat="1" ht="15.75" customHeight="1">
      <c r="B8" s="368" t="s">
        <v>431</v>
      </c>
      <c r="C8" s="160">
        <v>1590526.189</v>
      </c>
      <c r="D8" s="160">
        <v>6718.7069999999994</v>
      </c>
      <c r="E8" s="160">
        <v>53655.113000000005</v>
      </c>
      <c r="F8" s="160">
        <v>104092</v>
      </c>
      <c r="L8" s="22" t="s">
        <v>663</v>
      </c>
      <c r="M8" s="95"/>
      <c r="N8" s="95"/>
      <c r="O8" s="95"/>
      <c r="P8" s="95"/>
      <c r="Q8" s="95"/>
    </row>
    <row r="9" spans="2:17" s="22" customFormat="1" ht="15.75" customHeight="1">
      <c r="B9" s="369" t="s">
        <v>432</v>
      </c>
      <c r="C9" s="160">
        <v>1918486.1880699999</v>
      </c>
      <c r="D9" s="160">
        <v>5892.6107100000008</v>
      </c>
      <c r="E9" s="160">
        <v>49561.083280000006</v>
      </c>
      <c r="F9" s="160">
        <v>107022.41454</v>
      </c>
      <c r="M9" s="95"/>
      <c r="N9" s="95"/>
      <c r="O9" s="95"/>
      <c r="P9" s="95"/>
      <c r="Q9" s="95"/>
    </row>
    <row r="10" spans="2:17" s="22" customFormat="1" ht="15.75" customHeight="1">
      <c r="B10" s="369" t="s">
        <v>433</v>
      </c>
      <c r="C10" s="160">
        <v>2366708</v>
      </c>
      <c r="D10" s="160">
        <v>9269.3809999999994</v>
      </c>
      <c r="E10" s="160">
        <v>30978.243129999999</v>
      </c>
      <c r="F10" s="160">
        <v>41359.577440000001</v>
      </c>
      <c r="G10" s="22" t="s">
        <v>663</v>
      </c>
      <c r="H10" s="95"/>
    </row>
    <row r="11" spans="2:17" s="22" customFormat="1" ht="15.75" customHeight="1">
      <c r="B11" s="369" t="s">
        <v>434</v>
      </c>
      <c r="C11" s="160">
        <v>2788006.5392800001</v>
      </c>
      <c r="D11" s="160">
        <v>38067.715980000001</v>
      </c>
      <c r="E11" s="160">
        <v>14745.50964</v>
      </c>
      <c r="F11" s="160">
        <v>42658.128199999999</v>
      </c>
      <c r="H11" s="95"/>
    </row>
    <row r="12" spans="2:17" s="22" customFormat="1" ht="15.75" customHeight="1">
      <c r="B12" s="369" t="s">
        <v>635</v>
      </c>
      <c r="C12" s="160">
        <v>2341186.7386499997</v>
      </c>
      <c r="D12" s="160">
        <v>150229.49423000001</v>
      </c>
      <c r="E12" s="160">
        <v>24343.472229999999</v>
      </c>
      <c r="F12" s="160">
        <v>56254.025810000006</v>
      </c>
      <c r="H12" s="95" t="s">
        <v>669</v>
      </c>
    </row>
    <row r="13" spans="2:17" s="22" customFormat="1" ht="15.75" customHeight="1">
      <c r="B13" s="369" t="s">
        <v>646</v>
      </c>
      <c r="C13" s="160">
        <v>1246645.2269899999</v>
      </c>
      <c r="D13" s="160">
        <v>100694.69413</v>
      </c>
      <c r="E13" s="160">
        <v>2981.4173799999999</v>
      </c>
      <c r="F13" s="160">
        <v>26472.243450000002</v>
      </c>
      <c r="H13" s="95"/>
    </row>
    <row r="14" spans="2:17" ht="32.1" customHeight="1">
      <c r="B14" s="792" t="s">
        <v>760</v>
      </c>
      <c r="C14" s="792"/>
      <c r="D14" s="792"/>
      <c r="E14" s="792"/>
      <c r="F14" s="792"/>
    </row>
    <row r="15" spans="2:17" s="21" customFormat="1" ht="18.95" customHeight="1">
      <c r="C15" s="146"/>
      <c r="D15" s="146"/>
      <c r="E15" s="146"/>
      <c r="F15" s="146"/>
    </row>
    <row r="16" spans="2:17" s="21" customFormat="1" ht="12" customHeight="1">
      <c r="C16" s="116"/>
      <c r="D16" s="116"/>
      <c r="E16" s="116"/>
    </row>
    <row r="17" spans="2:6" s="21" customFormat="1" ht="12" customHeight="1">
      <c r="C17" s="116"/>
      <c r="D17" s="116"/>
      <c r="E17" s="116"/>
    </row>
    <row r="32" spans="2:6">
      <c r="B32" s="29"/>
      <c r="C32" s="29"/>
      <c r="D32" s="29"/>
      <c r="E32" s="29"/>
      <c r="F32" s="29"/>
    </row>
    <row r="33" spans="2:6">
      <c r="B33" s="29"/>
      <c r="C33" s="29"/>
      <c r="D33" s="29"/>
      <c r="E33" s="29"/>
      <c r="F33" s="29"/>
    </row>
    <row r="34" spans="2:6">
      <c r="B34" s="29"/>
      <c r="C34" s="29"/>
      <c r="D34" s="29"/>
      <c r="E34" s="29"/>
      <c r="F34" s="29"/>
    </row>
    <row r="35" spans="2:6" ht="16.5" customHeight="1">
      <c r="B35" s="49"/>
      <c r="C35" s="29"/>
      <c r="D35" s="29"/>
      <c r="E35" s="29"/>
      <c r="F35" s="29"/>
    </row>
    <row r="36" spans="2:6">
      <c r="B36" s="29"/>
      <c r="C36" s="29"/>
      <c r="D36" s="29"/>
      <c r="E36" s="29"/>
      <c r="F36" s="29"/>
    </row>
  </sheetData>
  <mergeCells count="5">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B8:B12"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pageSetUpPr fitToPage="1"/>
  </sheetPr>
  <dimension ref="C1:AA37"/>
  <sheetViews>
    <sheetView topLeftCell="A7" zoomScaleNormal="100" workbookViewId="0">
      <selection activeCell="I11" sqref="I11"/>
    </sheetView>
  </sheetViews>
  <sheetFormatPr baseColWidth="10" defaultColWidth="10.90625" defaultRowHeight="12"/>
  <cols>
    <col min="1" max="1" width="1" style="1" customWidth="1"/>
    <col min="2" max="2" width="1.7265625" style="1" customWidth="1"/>
    <col min="3" max="7" width="11.7265625" style="1" customWidth="1"/>
    <col min="8" max="8" width="2.1796875" style="1" customWidth="1"/>
    <col min="9" max="16384" width="10.90625" style="1"/>
  </cols>
  <sheetData>
    <row r="1" spans="3:27" s="39" customFormat="1" ht="18" customHeight="1">
      <c r="C1" s="790" t="s">
        <v>216</v>
      </c>
      <c r="D1" s="790"/>
      <c r="E1" s="790"/>
      <c r="F1" s="790"/>
      <c r="G1" s="790"/>
      <c r="H1" s="100"/>
    </row>
    <row r="2" spans="3:27" s="39" customFormat="1" ht="12.75"/>
    <row r="3" spans="3:27" s="39" customFormat="1" ht="30" customHeight="1">
      <c r="C3" s="790" t="s">
        <v>435</v>
      </c>
      <c r="D3" s="790"/>
      <c r="E3" s="790"/>
      <c r="F3" s="790"/>
      <c r="G3" s="790"/>
      <c r="H3" s="31"/>
    </row>
    <row r="4" spans="3:27" s="39" customFormat="1" ht="18" customHeight="1">
      <c r="C4" s="952" t="s">
        <v>642</v>
      </c>
      <c r="D4" s="952"/>
      <c r="E4" s="952"/>
      <c r="F4" s="952"/>
      <c r="G4" s="952"/>
      <c r="H4" s="161"/>
    </row>
    <row r="5" spans="3:27" s="39" customFormat="1" ht="17.25" customHeight="1">
      <c r="C5" s="952" t="s">
        <v>436</v>
      </c>
      <c r="D5" s="952"/>
      <c r="E5" s="952"/>
      <c r="F5" s="952"/>
      <c r="G5" s="952"/>
      <c r="H5" s="161"/>
    </row>
    <row r="6" spans="3:27" s="22" customFormat="1" ht="44.25" customHeight="1">
      <c r="C6" s="103" t="str">
        <f>'38'!B6</f>
        <v>Código aduanas</v>
      </c>
      <c r="D6" s="103" t="str">
        <f>'38'!C6</f>
        <v>10059000 10059020 10059090</v>
      </c>
      <c r="E6" s="103">
        <f>'38'!D6</f>
        <v>11042300</v>
      </c>
      <c r="F6" s="103" t="str">
        <f>'38'!E6</f>
        <v>10070090 10079010 10079090</v>
      </c>
      <c r="G6" s="103" t="str">
        <f>'38'!F6</f>
        <v>23099060 23099080</v>
      </c>
      <c r="H6" s="100"/>
    </row>
    <row r="7" spans="3:27" s="22" customFormat="1" ht="37.5" customHeight="1">
      <c r="C7" s="128" t="s">
        <v>181</v>
      </c>
      <c r="D7" s="103" t="str">
        <f>'38'!C7</f>
        <v>Maíz grano</v>
      </c>
      <c r="E7" s="103" t="str">
        <f>'38'!D7</f>
        <v>Maíz partido</v>
      </c>
      <c r="F7" s="103" t="str">
        <f>'38'!E7</f>
        <v>Sorgo</v>
      </c>
      <c r="G7" s="103" t="str">
        <f>'38'!F7</f>
        <v>Preparaciones que contienen maíz</v>
      </c>
      <c r="H7" s="100"/>
      <c r="I7" s="22" t="s">
        <v>663</v>
      </c>
    </row>
    <row r="8" spans="3:27" s="22" customFormat="1" ht="15.75" customHeight="1">
      <c r="C8" s="560">
        <v>2017</v>
      </c>
      <c r="D8" s="67">
        <v>186</v>
      </c>
      <c r="E8" s="67">
        <v>287</v>
      </c>
      <c r="F8" s="67">
        <v>178</v>
      </c>
      <c r="G8" s="67">
        <v>351</v>
      </c>
      <c r="H8" s="162"/>
      <c r="K8" s="95"/>
      <c r="N8" s="95"/>
      <c r="O8" s="95"/>
      <c r="P8" s="95"/>
      <c r="Q8" s="95"/>
      <c r="R8" s="95"/>
      <c r="S8" s="95"/>
      <c r="T8" s="95"/>
      <c r="U8" s="95"/>
      <c r="V8" s="95"/>
      <c r="W8" s="95"/>
      <c r="X8" s="95"/>
      <c r="Y8" s="95"/>
      <c r="Z8" s="95"/>
      <c r="AA8" s="95"/>
    </row>
    <row r="9" spans="3:27" s="22" customFormat="1" ht="15.75" customHeight="1">
      <c r="C9" s="560" t="s">
        <v>432</v>
      </c>
      <c r="D9" s="67">
        <v>199.70353882694357</v>
      </c>
      <c r="E9" s="67">
        <v>342.94811407654373</v>
      </c>
      <c r="F9" s="67">
        <v>169.25566820801745</v>
      </c>
      <c r="G9" s="67">
        <v>399.55360741689088</v>
      </c>
      <c r="H9" s="162"/>
      <c r="I9" s="22" t="s">
        <v>663</v>
      </c>
      <c r="K9" s="95"/>
      <c r="L9" s="95"/>
      <c r="N9" s="95"/>
      <c r="O9" s="95"/>
      <c r="P9" s="95"/>
      <c r="Q9" s="95"/>
      <c r="R9" s="95"/>
      <c r="S9" s="95"/>
      <c r="T9" s="95"/>
      <c r="U9" s="95"/>
      <c r="V9" s="95"/>
      <c r="W9" s="95"/>
      <c r="X9" s="95"/>
      <c r="Y9" s="95"/>
      <c r="Z9" s="95"/>
      <c r="AA9" s="95"/>
    </row>
    <row r="10" spans="3:27" s="22" customFormat="1" ht="15.75" customHeight="1">
      <c r="C10" s="370" t="s">
        <v>437</v>
      </c>
      <c r="D10" s="67">
        <v>186.92843269842436</v>
      </c>
      <c r="E10" s="67">
        <v>345.8535247035349</v>
      </c>
      <c r="F10" s="67">
        <v>207.776432</v>
      </c>
      <c r="G10" s="67">
        <v>393.02788645411334</v>
      </c>
      <c r="H10" s="162"/>
      <c r="I10" s="22" t="s">
        <v>663</v>
      </c>
      <c r="L10" s="95"/>
    </row>
    <row r="11" spans="3:27" s="22" customFormat="1" ht="15.75" customHeight="1">
      <c r="C11" s="370" t="s">
        <v>434</v>
      </c>
      <c r="D11" s="371">
        <v>201.97715188307643</v>
      </c>
      <c r="E11" s="371">
        <v>257.31901991061619</v>
      </c>
      <c r="F11" s="374">
        <v>200.62101157614845</v>
      </c>
      <c r="G11" s="371">
        <v>382.46888508762504</v>
      </c>
      <c r="H11" s="162"/>
      <c r="L11" s="95"/>
    </row>
    <row r="12" spans="3:27" s="22" customFormat="1" ht="15.75" customHeight="1">
      <c r="C12" s="370" t="s">
        <v>635</v>
      </c>
      <c r="D12" s="371">
        <v>293.54630539626538</v>
      </c>
      <c r="E12" s="371">
        <v>264.49502859820183</v>
      </c>
      <c r="F12" s="374">
        <v>268.66382933764186</v>
      </c>
      <c r="G12" s="371">
        <v>470.49695920919117</v>
      </c>
      <c r="H12" s="162"/>
      <c r="L12" s="95"/>
    </row>
    <row r="13" spans="3:27" s="22" customFormat="1" ht="15.75" customHeight="1">
      <c r="C13" s="370" t="s">
        <v>646</v>
      </c>
      <c r="D13" s="371">
        <v>350.39340733040547</v>
      </c>
      <c r="E13" s="371">
        <v>299.48438975884017</v>
      </c>
      <c r="F13" s="371">
        <v>426.22410753639855</v>
      </c>
      <c r="G13" s="371">
        <v>549.0070180569644</v>
      </c>
      <c r="H13" s="162"/>
      <c r="I13" s="22" t="s">
        <v>663</v>
      </c>
      <c r="L13" s="95"/>
    </row>
    <row r="14" spans="3:27" ht="38.25" customHeight="1">
      <c r="C14" s="792" t="s">
        <v>658</v>
      </c>
      <c r="D14" s="792"/>
      <c r="E14" s="792"/>
      <c r="F14" s="792"/>
      <c r="G14" s="792"/>
      <c r="H14" s="163"/>
      <c r="I14" s="299"/>
    </row>
    <row r="15" spans="3:27" ht="19.5" customHeight="1"/>
    <row r="36" spans="3:7" ht="7.5" customHeight="1"/>
    <row r="37" spans="3:7" ht="17.25" customHeight="1">
      <c r="C37" s="847" t="s">
        <v>438</v>
      </c>
      <c r="D37" s="953"/>
      <c r="E37" s="953"/>
      <c r="F37" s="953"/>
      <c r="G37" s="953"/>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9:C12"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pageSetUpPr fitToPage="1"/>
  </sheetPr>
  <dimension ref="B1:M80"/>
  <sheetViews>
    <sheetView zoomScale="106" zoomScaleNormal="106" workbookViewId="0">
      <selection activeCell="H13" sqref="H13"/>
    </sheetView>
  </sheetViews>
  <sheetFormatPr baseColWidth="10" defaultColWidth="10.90625" defaultRowHeight="12" customHeight="1"/>
  <cols>
    <col min="1" max="1" width="0.7265625" style="1" customWidth="1"/>
    <col min="2" max="7" width="8.81640625" style="1" customWidth="1"/>
    <col min="8" max="16384" width="10.90625" style="1"/>
  </cols>
  <sheetData>
    <row r="1" spans="2:13" s="15" customFormat="1" ht="12.75">
      <c r="B1" s="767" t="s">
        <v>223</v>
      </c>
      <c r="C1" s="767"/>
      <c r="D1" s="767"/>
      <c r="E1" s="767"/>
      <c r="F1" s="767"/>
      <c r="G1" s="767"/>
    </row>
    <row r="2" spans="2:13" s="15" customFormat="1" ht="12.75"/>
    <row r="3" spans="2:13" s="15" customFormat="1" ht="12.75">
      <c r="B3" s="767" t="s">
        <v>439</v>
      </c>
      <c r="C3" s="767"/>
      <c r="D3" s="767"/>
      <c r="E3" s="767"/>
      <c r="F3" s="767"/>
      <c r="G3" s="767"/>
    </row>
    <row r="4" spans="2:13" s="15" customFormat="1" ht="12.75">
      <c r="B4" s="767" t="s">
        <v>643</v>
      </c>
      <c r="C4" s="767"/>
      <c r="D4" s="767"/>
      <c r="E4" s="767"/>
      <c r="F4" s="767"/>
      <c r="G4" s="767"/>
    </row>
    <row r="5" spans="2:13" s="15" customFormat="1" ht="12.75">
      <c r="B5" s="784" t="s">
        <v>440</v>
      </c>
      <c r="C5" s="784"/>
      <c r="D5" s="784"/>
      <c r="E5" s="784"/>
      <c r="F5" s="784"/>
      <c r="G5" s="784"/>
    </row>
    <row r="6" spans="2:13" s="22" customFormat="1" ht="15.75" customHeight="1">
      <c r="B6" s="136"/>
      <c r="C6" s="128">
        <v>2018</v>
      </c>
      <c r="D6" s="128">
        <v>2019</v>
      </c>
      <c r="E6" s="212">
        <v>2020</v>
      </c>
      <c r="F6" s="212">
        <v>2021</v>
      </c>
      <c r="G6" s="128">
        <v>2022</v>
      </c>
      <c r="H6" s="1"/>
      <c r="I6" s="561"/>
    </row>
    <row r="7" spans="2:13" s="22" customFormat="1" ht="15.75" customHeight="1">
      <c r="B7" s="53" t="s">
        <v>200</v>
      </c>
      <c r="C7" s="446">
        <v>12520.689655172413</v>
      </c>
      <c r="D7" s="446">
        <v>16500</v>
      </c>
      <c r="E7" s="446">
        <v>14667</v>
      </c>
      <c r="F7" s="446"/>
      <c r="G7" s="446"/>
      <c r="H7" s="224"/>
      <c r="I7" s="385"/>
      <c r="J7" s="224"/>
      <c r="K7" s="224"/>
      <c r="L7" s="224"/>
      <c r="M7" s="224"/>
    </row>
    <row r="8" spans="2:13" s="22" customFormat="1" ht="15.75" customHeight="1">
      <c r="B8" s="53" t="s">
        <v>201</v>
      </c>
      <c r="C8" s="446">
        <v>12833.333333333334</v>
      </c>
      <c r="D8" s="446"/>
      <c r="E8" s="446">
        <v>14667</v>
      </c>
      <c r="F8" s="446"/>
      <c r="G8" s="446"/>
      <c r="H8" s="224"/>
      <c r="I8" s="386"/>
      <c r="J8" s="224"/>
      <c r="K8" s="224"/>
      <c r="L8" s="224"/>
      <c r="M8" s="224"/>
    </row>
    <row r="9" spans="2:13" s="22" customFormat="1" ht="15.75" customHeight="1">
      <c r="B9" s="53" t="s">
        <v>202</v>
      </c>
      <c r="C9" s="446">
        <v>12913</v>
      </c>
      <c r="D9" s="446">
        <v>13061.904761904761</v>
      </c>
      <c r="E9" s="446">
        <v>15658.064516129034</v>
      </c>
      <c r="F9" s="446">
        <v>20766.666666666668</v>
      </c>
      <c r="G9" s="446">
        <v>30508.333333333332</v>
      </c>
      <c r="H9" s="224"/>
      <c r="I9" s="224"/>
      <c r="J9" s="224"/>
      <c r="K9" s="224"/>
      <c r="L9" s="224"/>
      <c r="M9" s="224"/>
    </row>
    <row r="10" spans="2:13" s="22" customFormat="1" ht="15.75" customHeight="1">
      <c r="B10" s="562" t="s">
        <v>203</v>
      </c>
      <c r="C10" s="446">
        <v>12711</v>
      </c>
      <c r="D10" s="446">
        <v>12764.516129032258</v>
      </c>
      <c r="E10" s="446">
        <v>16630</v>
      </c>
      <c r="F10" s="446">
        <v>20484.313725490196</v>
      </c>
      <c r="G10" s="446">
        <v>30635.616438356163</v>
      </c>
      <c r="H10" s="224"/>
      <c r="I10" s="224"/>
      <c r="J10" s="224" t="s">
        <v>663</v>
      </c>
      <c r="K10" s="224"/>
      <c r="L10" s="224"/>
      <c r="M10" s="224"/>
    </row>
    <row r="11" spans="2:13" s="22" customFormat="1" ht="15.75" customHeight="1">
      <c r="B11" s="53" t="s">
        <v>204</v>
      </c>
      <c r="C11" s="446">
        <v>13074</v>
      </c>
      <c r="D11" s="446">
        <v>12740</v>
      </c>
      <c r="E11" s="446">
        <v>16008</v>
      </c>
      <c r="F11" s="446">
        <v>20700</v>
      </c>
      <c r="G11" s="133">
        <v>30819.512195121952</v>
      </c>
      <c r="H11" s="224"/>
      <c r="I11" s="224"/>
      <c r="J11" s="224"/>
      <c r="K11" s="224"/>
      <c r="L11" s="224"/>
      <c r="M11" s="224"/>
    </row>
    <row r="12" spans="2:13" s="22" customFormat="1" ht="15.75" customHeight="1">
      <c r="B12" s="53" t="s">
        <v>205</v>
      </c>
      <c r="C12" s="446">
        <v>13359.259259259257</v>
      </c>
      <c r="D12" s="446">
        <v>13095.283018867925</v>
      </c>
      <c r="E12" s="446">
        <v>15900</v>
      </c>
      <c r="F12" s="446">
        <v>21105</v>
      </c>
      <c r="G12" s="133">
        <v>30119.23076923077</v>
      </c>
      <c r="H12" s="224"/>
      <c r="I12" s="224"/>
      <c r="J12" s="224"/>
      <c r="K12" s="224"/>
      <c r="L12" s="224"/>
      <c r="M12" s="224"/>
    </row>
    <row r="13" spans="2:13" s="22" customFormat="1" ht="15.75" customHeight="1">
      <c r="B13" s="53" t="s">
        <v>206</v>
      </c>
      <c r="C13" s="446">
        <v>13311</v>
      </c>
      <c r="D13" s="446">
        <v>14412.765957446809</v>
      </c>
      <c r="E13" s="446">
        <v>15500</v>
      </c>
      <c r="F13" s="446">
        <v>22454.545454545456</v>
      </c>
      <c r="G13" s="133">
        <v>30428.571428571428</v>
      </c>
      <c r="H13" s="224"/>
      <c r="I13" s="224"/>
      <c r="J13" s="224"/>
      <c r="K13" s="224"/>
      <c r="L13" s="224"/>
      <c r="M13" s="224"/>
    </row>
    <row r="14" spans="2:13" s="22" customFormat="1" ht="15.75" customHeight="1">
      <c r="B14" s="53" t="s">
        <v>207</v>
      </c>
      <c r="C14" s="446">
        <v>13489</v>
      </c>
      <c r="D14" s="446">
        <v>14592.307692307691</v>
      </c>
      <c r="E14" s="446">
        <v>15500</v>
      </c>
      <c r="F14" s="446">
        <v>23875</v>
      </c>
      <c r="G14" s="563"/>
      <c r="H14" s="224"/>
      <c r="I14" s="224"/>
      <c r="J14" s="224"/>
      <c r="K14" s="224"/>
      <c r="L14" s="224"/>
      <c r="M14" s="224"/>
    </row>
    <row r="15" spans="2:13" s="22" customFormat="1" ht="15.75" customHeight="1">
      <c r="B15" s="53" t="s">
        <v>208</v>
      </c>
      <c r="C15" s="564">
        <v>13654</v>
      </c>
      <c r="D15" s="564">
        <v>15066.666666666666</v>
      </c>
      <c r="E15" s="446">
        <v>16475</v>
      </c>
      <c r="F15" s="446">
        <v>23722.222222222223</v>
      </c>
      <c r="G15" s="563"/>
      <c r="H15" s="224"/>
      <c r="I15" s="224"/>
      <c r="J15" s="224"/>
      <c r="K15" s="224"/>
      <c r="L15" s="224"/>
      <c r="M15" s="224"/>
    </row>
    <row r="16" spans="2:13" s="22" customFormat="1" ht="15.75" customHeight="1">
      <c r="B16" s="53" t="s">
        <v>209</v>
      </c>
      <c r="C16" s="446">
        <v>13760</v>
      </c>
      <c r="D16" s="446">
        <v>14657.142857142855</v>
      </c>
      <c r="E16" s="446">
        <v>18000</v>
      </c>
      <c r="F16" s="446">
        <v>24605.263157894737</v>
      </c>
      <c r="G16" s="563"/>
      <c r="H16" s="224"/>
      <c r="I16" s="224"/>
      <c r="J16" s="224"/>
      <c r="K16" s="224"/>
      <c r="L16" s="224"/>
      <c r="M16" s="224"/>
    </row>
    <row r="17" spans="2:13" s="22" customFormat="1" ht="15.75" customHeight="1">
      <c r="B17" s="53" t="s">
        <v>193</v>
      </c>
      <c r="C17" s="446">
        <v>14340</v>
      </c>
      <c r="D17" s="446">
        <v>15112.5</v>
      </c>
      <c r="E17" s="446">
        <v>19000</v>
      </c>
      <c r="F17" s="446">
        <v>27000</v>
      </c>
      <c r="G17" s="563"/>
      <c r="H17" s="224"/>
      <c r="I17" s="224"/>
      <c r="J17" s="224"/>
      <c r="K17" s="224"/>
      <c r="L17" s="224"/>
      <c r="M17" s="224"/>
    </row>
    <row r="18" spans="2:13" s="22" customFormat="1" ht="15.75" customHeight="1">
      <c r="B18" s="53" t="s">
        <v>194</v>
      </c>
      <c r="C18" s="446">
        <v>15260</v>
      </c>
      <c r="D18" s="446">
        <v>15688.888888888889</v>
      </c>
      <c r="E18" s="446"/>
      <c r="F18" s="446"/>
      <c r="G18" s="52"/>
      <c r="H18" s="224"/>
      <c r="I18" s="224"/>
      <c r="J18" s="224"/>
      <c r="K18" s="224"/>
      <c r="L18" s="224"/>
      <c r="M18" s="224"/>
    </row>
    <row r="19" spans="2:13" s="22" customFormat="1" ht="52.5" customHeight="1">
      <c r="B19" s="834" t="s">
        <v>732</v>
      </c>
      <c r="C19" s="835"/>
      <c r="D19" s="835"/>
      <c r="E19" s="835"/>
      <c r="F19" s="835"/>
      <c r="G19" s="836"/>
      <c r="I19" s="561"/>
    </row>
    <row r="20" spans="2:13" s="22" customFormat="1" ht="12.75">
      <c r="B20" s="49"/>
      <c r="C20" s="39"/>
      <c r="D20" s="39"/>
      <c r="E20" s="39"/>
      <c r="F20" s="39"/>
      <c r="G20" s="39"/>
      <c r="I20" s="561"/>
    </row>
    <row r="21" spans="2:13" s="22" customFormat="1" ht="12.75">
      <c r="B21" s="49"/>
      <c r="C21" s="39"/>
      <c r="D21" s="39"/>
      <c r="E21" s="39"/>
      <c r="F21" s="39"/>
      <c r="G21" s="39"/>
      <c r="I21" s="561"/>
    </row>
    <row r="22" spans="2:13" ht="12.75">
      <c r="I22" s="561"/>
      <c r="J22" s="22"/>
    </row>
    <row r="23" spans="2:13" ht="12.75">
      <c r="I23" s="561"/>
      <c r="J23" s="22"/>
    </row>
    <row r="24" spans="2:13" ht="12.75">
      <c r="I24" s="561"/>
      <c r="J24" s="22"/>
    </row>
    <row r="25" spans="2:13" ht="12" customHeight="1">
      <c r="I25" s="561"/>
      <c r="J25" s="22"/>
    </row>
    <row r="26" spans="2:13" ht="12" customHeight="1">
      <c r="I26" s="561"/>
      <c r="J26" s="22"/>
    </row>
    <row r="27" spans="2:13" ht="12" customHeight="1">
      <c r="I27" s="561"/>
      <c r="J27" s="22"/>
    </row>
    <row r="28" spans="2:13" ht="12" customHeight="1">
      <c r="I28" s="561"/>
      <c r="J28" s="22"/>
    </row>
    <row r="29" spans="2:13" ht="12" customHeight="1">
      <c r="I29" s="561"/>
      <c r="J29" s="22"/>
    </row>
    <row r="30" spans="2:13" ht="12" customHeight="1">
      <c r="I30" s="561"/>
      <c r="J30" s="22"/>
    </row>
    <row r="31" spans="2:13" ht="12" customHeight="1">
      <c r="I31" s="561"/>
      <c r="J31" s="22"/>
    </row>
    <row r="32" spans="2:13" ht="12" customHeight="1">
      <c r="I32" s="561"/>
      <c r="J32" s="22"/>
    </row>
    <row r="33" spans="2:10" ht="12" customHeight="1">
      <c r="I33" s="561"/>
      <c r="J33" s="22"/>
    </row>
    <row r="34" spans="2:10" ht="12" customHeight="1">
      <c r="I34" s="561"/>
      <c r="J34" s="22"/>
    </row>
    <row r="35" spans="2:10" ht="12" customHeight="1">
      <c r="I35" s="561"/>
      <c r="J35" s="22"/>
    </row>
    <row r="36" spans="2:10" ht="12" customHeight="1">
      <c r="I36" s="561"/>
      <c r="J36" s="22"/>
    </row>
    <row r="37" spans="2:10" ht="12" customHeight="1">
      <c r="I37" s="561"/>
      <c r="J37" s="22"/>
    </row>
    <row r="38" spans="2:10" ht="12" customHeight="1">
      <c r="I38" s="561"/>
      <c r="J38" s="22"/>
    </row>
    <row r="39" spans="2:10" ht="12" customHeight="1">
      <c r="I39" s="561"/>
      <c r="J39" s="22"/>
    </row>
    <row r="40" spans="2:10" ht="12" customHeight="1">
      <c r="I40" s="561"/>
      <c r="J40" s="22"/>
    </row>
    <row r="41" spans="2:10" ht="12" customHeight="1">
      <c r="I41" s="561"/>
      <c r="J41" s="22"/>
    </row>
    <row r="42" spans="2:10" ht="3" customHeight="1">
      <c r="I42" s="561"/>
      <c r="J42" s="22"/>
    </row>
    <row r="43" spans="2:10" ht="18.95" customHeight="1">
      <c r="B43" s="847" t="s">
        <v>441</v>
      </c>
      <c r="C43" s="847"/>
      <c r="D43" s="847"/>
      <c r="E43" s="847"/>
      <c r="F43" s="847"/>
      <c r="G43" s="847"/>
      <c r="I43" s="561"/>
      <c r="J43" s="22"/>
    </row>
    <row r="44" spans="2:10" ht="12" customHeight="1">
      <c r="I44" s="561"/>
      <c r="J44" s="22"/>
    </row>
    <row r="45" spans="2:10" ht="12" customHeight="1">
      <c r="I45" s="561"/>
      <c r="J45" s="22"/>
    </row>
    <row r="46" spans="2:10" ht="12" customHeight="1">
      <c r="I46" s="561"/>
      <c r="J46" s="22"/>
    </row>
    <row r="47" spans="2:10" ht="12" customHeight="1">
      <c r="I47" s="561"/>
      <c r="J47" s="22"/>
    </row>
    <row r="48" spans="2:10" ht="12" customHeight="1">
      <c r="I48" s="561"/>
      <c r="J48" s="22"/>
    </row>
    <row r="49" spans="9:10" ht="12" customHeight="1">
      <c r="I49" s="561"/>
      <c r="J49" s="22"/>
    </row>
    <row r="50" spans="9:10" ht="12" customHeight="1">
      <c r="I50" s="561"/>
      <c r="J50" s="22"/>
    </row>
    <row r="51" spans="9:10" ht="12" customHeight="1">
      <c r="I51" s="561"/>
      <c r="J51" s="22"/>
    </row>
    <row r="52" spans="9:10" ht="12" customHeight="1">
      <c r="I52" s="561"/>
      <c r="J52" s="22"/>
    </row>
    <row r="53" spans="9:10" ht="12" customHeight="1">
      <c r="I53" s="561"/>
      <c r="J53" s="22"/>
    </row>
    <row r="54" spans="9:10" ht="12" customHeight="1">
      <c r="I54" s="561"/>
      <c r="J54" s="22"/>
    </row>
    <row r="55" spans="9:10" ht="12" customHeight="1">
      <c r="I55" s="561"/>
      <c r="J55" s="22"/>
    </row>
    <row r="56" spans="9:10" ht="12" customHeight="1">
      <c r="I56" s="561"/>
      <c r="J56" s="22"/>
    </row>
    <row r="57" spans="9:10" ht="12" customHeight="1">
      <c r="I57" s="561"/>
      <c r="J57" s="22"/>
    </row>
    <row r="58" spans="9:10" ht="12" customHeight="1">
      <c r="I58" s="561"/>
      <c r="J58" s="22"/>
    </row>
    <row r="59" spans="9:10" ht="12" customHeight="1">
      <c r="I59" s="561"/>
      <c r="J59" s="22"/>
    </row>
    <row r="60" spans="9:10" ht="12" customHeight="1">
      <c r="I60" s="561"/>
      <c r="J60" s="22"/>
    </row>
    <row r="61" spans="9:10" ht="12" customHeight="1">
      <c r="I61" s="561"/>
      <c r="J61" s="22"/>
    </row>
    <row r="62" spans="9:10" ht="12" customHeight="1">
      <c r="I62" s="561"/>
      <c r="J62" s="22"/>
    </row>
    <row r="63" spans="9:10" ht="12" customHeight="1">
      <c r="I63" s="561"/>
      <c r="J63" s="22"/>
    </row>
    <row r="64" spans="9:10" ht="12" customHeight="1">
      <c r="I64" s="164"/>
      <c r="J64" s="22"/>
    </row>
    <row r="65" spans="9:10" ht="12" customHeight="1">
      <c r="I65" s="164"/>
      <c r="J65" s="22"/>
    </row>
    <row r="66" spans="9:10" ht="12" customHeight="1">
      <c r="I66" s="164"/>
      <c r="J66" s="22"/>
    </row>
    <row r="67" spans="9:10" ht="12" customHeight="1">
      <c r="I67" s="164"/>
      <c r="J67" s="22"/>
    </row>
    <row r="68" spans="9:10" ht="12" customHeight="1">
      <c r="I68" s="164"/>
      <c r="J68" s="22"/>
    </row>
    <row r="69" spans="9:10" ht="12" customHeight="1">
      <c r="I69" s="164"/>
      <c r="J69" s="22"/>
    </row>
    <row r="70" spans="9:10" ht="12" customHeight="1">
      <c r="I70" s="164"/>
      <c r="J70" s="22"/>
    </row>
    <row r="71" spans="9:10" ht="12" customHeight="1">
      <c r="I71" s="164"/>
      <c r="J71" s="22"/>
    </row>
    <row r="72" spans="9:10" ht="12" customHeight="1">
      <c r="I72" s="164"/>
      <c r="J72" s="22"/>
    </row>
    <row r="73" spans="9:10" ht="12" customHeight="1">
      <c r="I73" s="164"/>
      <c r="J73" s="22"/>
    </row>
    <row r="74" spans="9:10" ht="12" customHeight="1">
      <c r="I74" s="164"/>
      <c r="J74" s="22"/>
    </row>
    <row r="75" spans="9:10" ht="12" customHeight="1">
      <c r="I75" s="164"/>
      <c r="J75" s="22"/>
    </row>
    <row r="76" spans="9:10" ht="12" customHeight="1">
      <c r="I76" s="164"/>
      <c r="J76" s="22"/>
    </row>
    <row r="77" spans="9:10" ht="12" customHeight="1">
      <c r="I77" s="164"/>
      <c r="J77" s="22"/>
    </row>
    <row r="78" spans="9:10" ht="12" customHeight="1">
      <c r="I78" s="164"/>
      <c r="J78" s="22"/>
    </row>
    <row r="79" spans="9:10" ht="12" customHeight="1">
      <c r="I79" s="164"/>
      <c r="J79" s="22"/>
    </row>
    <row r="80" spans="9:10" ht="12" customHeight="1">
      <c r="I80" s="164"/>
      <c r="J80" s="22"/>
    </row>
  </sheetData>
  <mergeCells count="6">
    <mergeCell ref="B1:G1"/>
    <mergeCell ref="B43:G43"/>
    <mergeCell ref="B19:G19"/>
    <mergeCell ref="B5:G5"/>
    <mergeCell ref="B4:G4"/>
    <mergeCell ref="B3:G3"/>
  </mergeCells>
  <pageMargins left="0.70866141732283472" right="0.70866141732283472" top="0.74803149606299213" bottom="0.74803149606299213" header="0.31496062992125984" footer="0.31496062992125984"/>
  <pageSetup paperSize="126" scale="97"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R21"/>
  <sheetViews>
    <sheetView topLeftCell="A5" zoomScaleNormal="100" workbookViewId="0">
      <selection activeCell="Q12" sqref="Q12"/>
    </sheetView>
  </sheetViews>
  <sheetFormatPr baseColWidth="10" defaultColWidth="10.90625" defaultRowHeight="18"/>
  <cols>
    <col min="1" max="1" width="1.7265625" customWidth="1"/>
    <col min="2" max="2" width="7" customWidth="1"/>
    <col min="3" max="14" width="4.6328125" customWidth="1"/>
    <col min="15" max="15" width="0.90625" customWidth="1"/>
  </cols>
  <sheetData>
    <row r="1" spans="2:17">
      <c r="B1" s="767" t="s">
        <v>230</v>
      </c>
      <c r="C1" s="767"/>
      <c r="D1" s="767"/>
      <c r="E1" s="767"/>
      <c r="F1" s="767"/>
      <c r="G1" s="767"/>
      <c r="H1" s="767"/>
      <c r="I1" s="767"/>
      <c r="J1" s="767"/>
      <c r="K1" s="767"/>
      <c r="L1" s="767"/>
      <c r="M1" s="767"/>
      <c r="N1" s="767"/>
    </row>
    <row r="2" spans="2:17">
      <c r="B2" s="17"/>
      <c r="C2" s="17"/>
      <c r="D2" s="17"/>
      <c r="E2" s="17"/>
      <c r="F2" s="17"/>
      <c r="G2" s="17"/>
      <c r="H2" s="17"/>
      <c r="I2" s="17"/>
      <c r="J2" s="17"/>
      <c r="K2" s="17"/>
      <c r="L2" s="17"/>
      <c r="M2" s="17"/>
      <c r="N2" s="17"/>
    </row>
    <row r="3" spans="2:17">
      <c r="B3" s="767" t="s">
        <v>442</v>
      </c>
      <c r="C3" s="767"/>
      <c r="D3" s="767"/>
      <c r="E3" s="767"/>
      <c r="F3" s="767"/>
      <c r="G3" s="767"/>
      <c r="H3" s="767"/>
      <c r="I3" s="767"/>
      <c r="J3" s="767"/>
      <c r="K3" s="767"/>
      <c r="L3" s="767"/>
      <c r="M3" s="767"/>
      <c r="N3" s="767"/>
    </row>
    <row r="4" spans="2:17">
      <c r="B4" s="767" t="s">
        <v>443</v>
      </c>
      <c r="C4" s="767"/>
      <c r="D4" s="767"/>
      <c r="E4" s="767"/>
      <c r="F4" s="767"/>
      <c r="G4" s="767"/>
      <c r="H4" s="767"/>
      <c r="I4" s="767"/>
      <c r="J4" s="767"/>
      <c r="K4" s="767"/>
      <c r="L4" s="767"/>
      <c r="M4" s="767"/>
      <c r="N4" s="767"/>
    </row>
    <row r="5" spans="2:17" ht="41.25" customHeight="1">
      <c r="B5" s="954" t="s">
        <v>416</v>
      </c>
      <c r="C5" s="866" t="s">
        <v>444</v>
      </c>
      <c r="D5" s="866"/>
      <c r="E5" s="866" t="s">
        <v>445</v>
      </c>
      <c r="F5" s="866"/>
      <c r="G5" s="866" t="s">
        <v>241</v>
      </c>
      <c r="H5" s="866"/>
      <c r="I5" s="866" t="s">
        <v>446</v>
      </c>
      <c r="J5" s="866"/>
      <c r="K5" s="866" t="s">
        <v>243</v>
      </c>
      <c r="L5" s="866"/>
      <c r="M5" s="867" t="s">
        <v>156</v>
      </c>
      <c r="N5" s="867"/>
    </row>
    <row r="6" spans="2:17" ht="15.75" customHeight="1">
      <c r="B6" s="954"/>
      <c r="C6" s="313">
        <v>2021</v>
      </c>
      <c r="D6" s="313">
        <v>2022</v>
      </c>
      <c r="E6" s="313">
        <v>2021</v>
      </c>
      <c r="F6" s="313">
        <v>2022</v>
      </c>
      <c r="G6" s="313">
        <v>2021</v>
      </c>
      <c r="H6" s="313">
        <v>2022</v>
      </c>
      <c r="I6" s="313">
        <v>2021</v>
      </c>
      <c r="J6" s="313">
        <v>2022</v>
      </c>
      <c r="K6" s="313">
        <v>2021</v>
      </c>
      <c r="L6" s="313">
        <v>2022</v>
      </c>
      <c r="M6" s="313">
        <v>2021</v>
      </c>
      <c r="N6" s="313">
        <v>2022</v>
      </c>
    </row>
    <row r="7" spans="2:17" ht="15.75" customHeight="1">
      <c r="B7" s="53" t="s">
        <v>200</v>
      </c>
      <c r="C7" s="446" t="s">
        <v>447</v>
      </c>
      <c r="D7" s="446"/>
      <c r="E7" s="446" t="s">
        <v>447</v>
      </c>
      <c r="F7" s="446"/>
      <c r="G7" s="446" t="s">
        <v>447</v>
      </c>
      <c r="H7" s="446"/>
      <c r="I7" s="446" t="s">
        <v>447</v>
      </c>
      <c r="J7" s="446"/>
      <c r="K7" s="446" t="s">
        <v>447</v>
      </c>
      <c r="L7" s="446"/>
      <c r="M7" s="446"/>
      <c r="N7" s="446"/>
    </row>
    <row r="8" spans="2:17" ht="15.75" customHeight="1">
      <c r="B8" s="53" t="s">
        <v>201</v>
      </c>
      <c r="C8" s="446" t="s">
        <v>447</v>
      </c>
      <c r="D8" s="446"/>
      <c r="E8" s="446" t="s">
        <v>447</v>
      </c>
      <c r="F8" s="446"/>
      <c r="G8" s="446" t="s">
        <v>447</v>
      </c>
      <c r="H8" s="446"/>
      <c r="I8" s="446" t="s">
        <v>447</v>
      </c>
      <c r="J8" s="446"/>
      <c r="K8" s="446" t="s">
        <v>447</v>
      </c>
      <c r="L8" s="446"/>
      <c r="M8" s="446"/>
      <c r="N8" s="446"/>
    </row>
    <row r="9" spans="2:17" ht="15.75" customHeight="1">
      <c r="B9" s="53" t="s">
        <v>202</v>
      </c>
      <c r="C9" s="446" t="s">
        <v>447</v>
      </c>
      <c r="D9" s="446" t="s">
        <v>447</v>
      </c>
      <c r="E9" s="446">
        <v>216.5</v>
      </c>
      <c r="F9" s="446">
        <v>308.125</v>
      </c>
      <c r="G9" s="446" t="s">
        <v>447</v>
      </c>
      <c r="H9" s="446">
        <v>298</v>
      </c>
      <c r="I9" s="446" t="s">
        <v>447</v>
      </c>
      <c r="J9" s="446" t="s">
        <v>447</v>
      </c>
      <c r="K9" s="446">
        <v>190</v>
      </c>
      <c r="L9" s="446" t="s">
        <v>447</v>
      </c>
      <c r="M9" s="446">
        <v>207.66666666666669</v>
      </c>
      <c r="N9" s="446">
        <v>305.08333333333331</v>
      </c>
      <c r="O9" s="242"/>
    </row>
    <row r="10" spans="2:17" ht="15.75" customHeight="1">
      <c r="B10" s="53" t="s">
        <v>203</v>
      </c>
      <c r="C10" s="446">
        <v>210</v>
      </c>
      <c r="D10" s="446">
        <v>307.57142857142861</v>
      </c>
      <c r="E10" s="446">
        <v>210.5625</v>
      </c>
      <c r="F10" s="446">
        <v>307.25</v>
      </c>
      <c r="G10" s="446">
        <v>200.83333333333331</v>
      </c>
      <c r="H10" s="446">
        <v>305.22222222222223</v>
      </c>
      <c r="I10" s="446">
        <v>198.66666666666669</v>
      </c>
      <c r="J10" s="446">
        <v>303.5</v>
      </c>
      <c r="K10" s="446">
        <v>195.71428571428572</v>
      </c>
      <c r="L10" s="446">
        <v>305.75</v>
      </c>
      <c r="M10" s="446">
        <v>204.84313725490196</v>
      </c>
      <c r="N10" s="446">
        <v>306.35616438356163</v>
      </c>
    </row>
    <row r="11" spans="2:17" ht="15.75" customHeight="1">
      <c r="B11" s="53" t="s">
        <v>204</v>
      </c>
      <c r="C11" s="656">
        <v>210.8</v>
      </c>
      <c r="D11" s="656">
        <v>309.10000000000002</v>
      </c>
      <c r="E11" s="656">
        <v>210.63157894736844</v>
      </c>
      <c r="F11" s="656">
        <v>308.75</v>
      </c>
      <c r="G11" s="656">
        <v>205.7</v>
      </c>
      <c r="H11" s="656">
        <v>306</v>
      </c>
      <c r="I11" s="656">
        <v>205.05555555555554</v>
      </c>
      <c r="J11" s="656">
        <v>308.39999999999998</v>
      </c>
      <c r="K11" s="656">
        <v>204.35714285714286</v>
      </c>
      <c r="L11" s="656">
        <v>308.81818181818181</v>
      </c>
      <c r="M11" s="656">
        <v>207</v>
      </c>
      <c r="N11" s="656">
        <v>308.19512195121951</v>
      </c>
    </row>
    <row r="12" spans="2:17" ht="15.75" customHeight="1">
      <c r="B12" s="53" t="s">
        <v>205</v>
      </c>
      <c r="C12" s="656">
        <v>211.6</v>
      </c>
      <c r="D12" s="656">
        <v>307.5</v>
      </c>
      <c r="E12" s="656">
        <v>220.42857142857142</v>
      </c>
      <c r="F12" s="656">
        <v>317.5</v>
      </c>
      <c r="G12" s="656">
        <v>206.88888888888891</v>
      </c>
      <c r="H12" s="656" t="s">
        <v>447</v>
      </c>
      <c r="I12" s="656">
        <v>209.38461538461539</v>
      </c>
      <c r="J12" s="656">
        <v>312.5</v>
      </c>
      <c r="K12" s="656">
        <v>207.45454545454544</v>
      </c>
      <c r="L12" s="656">
        <v>300</v>
      </c>
      <c r="M12" s="656">
        <v>211.05</v>
      </c>
      <c r="N12" s="656">
        <v>301.19230769230768</v>
      </c>
    </row>
    <row r="13" spans="2:17" ht="15.75" customHeight="1">
      <c r="B13" s="53" t="s">
        <v>206</v>
      </c>
      <c r="C13" s="656" t="s">
        <v>447</v>
      </c>
      <c r="D13" s="656" t="s">
        <v>447</v>
      </c>
      <c r="E13" s="656">
        <v>245</v>
      </c>
      <c r="F13" s="656" t="s">
        <v>447</v>
      </c>
      <c r="G13" s="656">
        <v>206</v>
      </c>
      <c r="H13" s="656">
        <v>308.75</v>
      </c>
      <c r="I13" s="656">
        <v>218</v>
      </c>
      <c r="J13" s="656">
        <v>309.44444444444446</v>
      </c>
      <c r="K13" s="656">
        <v>205.33333333333331</v>
      </c>
      <c r="L13" s="656" t="s">
        <v>447</v>
      </c>
      <c r="M13" s="656">
        <v>224.54545454545456</v>
      </c>
      <c r="N13" s="656">
        <v>304.28571428571428</v>
      </c>
      <c r="Q13" t="s">
        <v>663</v>
      </c>
    </row>
    <row r="14" spans="2:17" ht="15.75" customHeight="1">
      <c r="B14" s="53" t="s">
        <v>207</v>
      </c>
      <c r="C14" s="446" t="s">
        <v>447</v>
      </c>
      <c r="D14" s="446"/>
      <c r="E14" s="446">
        <v>245</v>
      </c>
      <c r="F14" s="446"/>
      <c r="G14" s="446" t="s">
        <v>447</v>
      </c>
      <c r="H14" s="446"/>
      <c r="I14" s="446">
        <v>235</v>
      </c>
      <c r="J14" s="446"/>
      <c r="K14" s="446">
        <v>220</v>
      </c>
      <c r="L14" s="446"/>
      <c r="M14" s="446">
        <v>238.75</v>
      </c>
      <c r="N14" s="446"/>
      <c r="P14" t="s">
        <v>663</v>
      </c>
    </row>
    <row r="15" spans="2:17" ht="15.75" customHeight="1">
      <c r="B15" s="53" t="s">
        <v>208</v>
      </c>
      <c r="C15" s="446" t="s">
        <v>447</v>
      </c>
      <c r="D15" s="446"/>
      <c r="E15" s="446">
        <v>245</v>
      </c>
      <c r="F15" s="446"/>
      <c r="G15" s="446" t="s">
        <v>447</v>
      </c>
      <c r="H15" s="446"/>
      <c r="I15" s="446">
        <v>235</v>
      </c>
      <c r="J15" s="446"/>
      <c r="K15" s="446">
        <v>221.66666666666669</v>
      </c>
      <c r="L15" s="446"/>
      <c r="M15" s="446">
        <v>237.22222222222223</v>
      </c>
      <c r="N15" s="446"/>
      <c r="P15" t="s">
        <v>663</v>
      </c>
    </row>
    <row r="16" spans="2:17" ht="15.75" customHeight="1">
      <c r="B16" s="53" t="s">
        <v>209</v>
      </c>
      <c r="C16" s="446" t="s">
        <v>447</v>
      </c>
      <c r="D16" s="446"/>
      <c r="E16" s="446">
        <v>250</v>
      </c>
      <c r="F16" s="446"/>
      <c r="G16" s="446">
        <v>248.75</v>
      </c>
      <c r="H16" s="446"/>
      <c r="I16" s="446">
        <v>250</v>
      </c>
      <c r="J16" s="446"/>
      <c r="K16" s="446">
        <v>225</v>
      </c>
      <c r="L16" s="446"/>
      <c r="M16" s="446">
        <v>246.05263157894737</v>
      </c>
      <c r="N16" s="446"/>
      <c r="P16" t="s">
        <v>663</v>
      </c>
    </row>
    <row r="17" spans="2:18" ht="15.75" customHeight="1">
      <c r="B17" s="53" t="s">
        <v>193</v>
      </c>
      <c r="C17" s="446" t="s">
        <v>447</v>
      </c>
      <c r="D17" s="446"/>
      <c r="E17" s="446" t="s">
        <v>447</v>
      </c>
      <c r="F17" s="446"/>
      <c r="G17" s="446" t="s">
        <v>447</v>
      </c>
      <c r="H17" s="446"/>
      <c r="I17" s="446">
        <v>280</v>
      </c>
      <c r="J17" s="446"/>
      <c r="K17" s="446">
        <v>250</v>
      </c>
      <c r="L17" s="446"/>
      <c r="M17" s="446">
        <v>270</v>
      </c>
      <c r="N17" s="446"/>
    </row>
    <row r="18" spans="2:18" ht="15.75" customHeight="1">
      <c r="B18" s="53" t="s">
        <v>194</v>
      </c>
      <c r="C18" s="446" t="s">
        <v>447</v>
      </c>
      <c r="D18" s="446"/>
      <c r="E18" s="446" t="s">
        <v>447</v>
      </c>
      <c r="F18" s="446"/>
      <c r="G18" s="446" t="s">
        <v>447</v>
      </c>
      <c r="H18" s="446"/>
      <c r="I18" s="446" t="s">
        <v>447</v>
      </c>
      <c r="J18" s="446"/>
      <c r="K18" s="446" t="s">
        <v>447</v>
      </c>
      <c r="L18" s="446"/>
      <c r="M18" s="446" t="s">
        <v>447</v>
      </c>
      <c r="N18" s="446"/>
    </row>
    <row r="19" spans="2:18" ht="51.6" customHeight="1">
      <c r="B19" s="855" t="s">
        <v>448</v>
      </c>
      <c r="C19" s="855"/>
      <c r="D19" s="855"/>
      <c r="E19" s="855"/>
      <c r="F19" s="855"/>
      <c r="G19" s="855"/>
      <c r="H19" s="855"/>
      <c r="I19" s="855"/>
      <c r="J19" s="855"/>
      <c r="K19" s="855"/>
      <c r="L19" s="855"/>
      <c r="M19" s="855"/>
      <c r="N19" s="855"/>
      <c r="R19" t="s">
        <v>663</v>
      </c>
    </row>
    <row r="20" spans="2:18">
      <c r="B20" s="1"/>
      <c r="C20" s="165"/>
      <c r="D20" s="165"/>
      <c r="E20" s="165"/>
      <c r="F20" s="165"/>
      <c r="G20" s="165"/>
      <c r="H20" s="165"/>
      <c r="I20" s="165"/>
      <c r="J20" s="165"/>
      <c r="K20" s="165"/>
      <c r="L20" s="165"/>
      <c r="M20" s="165"/>
      <c r="N20" s="165"/>
    </row>
    <row r="21" spans="2:18">
      <c r="C21" s="1"/>
      <c r="D21" s="166"/>
      <c r="E21" s="1"/>
      <c r="F21" s="166"/>
      <c r="G21" s="1"/>
      <c r="H21" s="166"/>
      <c r="I21" s="166"/>
      <c r="J21" s="166"/>
      <c r="K21" s="1"/>
      <c r="L21" s="166"/>
      <c r="M21" s="1"/>
      <c r="N21" s="166"/>
    </row>
  </sheetData>
  <mergeCells count="11">
    <mergeCell ref="B1:N1"/>
    <mergeCell ref="B3:N3"/>
    <mergeCell ref="B4:N4"/>
    <mergeCell ref="B19:N19"/>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paperSize="126" scale="97" orientation="portrait" r:id="rId1"/>
  <headerFooter>
    <oddFooter>&amp;C&amp;11&amp;A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pageSetUpPr fitToPage="1"/>
  </sheetPr>
  <dimension ref="B1:AA138"/>
  <sheetViews>
    <sheetView topLeftCell="A8" zoomScale="80" zoomScaleNormal="80" zoomScaleSheetLayoutView="75" workbookViewId="0">
      <selection activeCell="I21" sqref="I21"/>
    </sheetView>
  </sheetViews>
  <sheetFormatPr baseColWidth="10" defaultColWidth="10.90625" defaultRowHeight="12"/>
  <cols>
    <col min="1" max="1" width="0.453125" style="1" customWidth="1"/>
    <col min="2" max="2" width="10" style="4" customWidth="1"/>
    <col min="3" max="7" width="11.1796875" style="1" customWidth="1"/>
    <col min="8" max="27" width="10.90625" style="637"/>
    <col min="28" max="16384" width="10.90625" style="1"/>
  </cols>
  <sheetData>
    <row r="1" spans="2:27" s="18" customFormat="1" ht="12.75">
      <c r="B1" s="767" t="s">
        <v>233</v>
      </c>
      <c r="C1" s="767"/>
      <c r="D1" s="767"/>
      <c r="E1" s="767"/>
      <c r="F1" s="767"/>
      <c r="G1" s="767"/>
      <c r="H1" s="651"/>
      <c r="I1" s="651"/>
      <c r="J1" s="651"/>
      <c r="K1" s="651"/>
      <c r="L1" s="651"/>
      <c r="M1" s="651"/>
      <c r="N1" s="651"/>
      <c r="O1" s="651"/>
      <c r="P1" s="651"/>
      <c r="Q1" s="651"/>
      <c r="R1" s="651"/>
      <c r="S1" s="651"/>
      <c r="T1" s="651"/>
      <c r="U1" s="651"/>
      <c r="V1" s="651"/>
      <c r="W1" s="651"/>
      <c r="X1" s="651"/>
      <c r="Y1" s="651"/>
      <c r="Z1" s="651"/>
      <c r="AA1" s="651"/>
    </row>
    <row r="2" spans="2:27" s="18" customFormat="1" ht="12.75">
      <c r="B2" s="17"/>
      <c r="C2" s="15"/>
      <c r="D2" s="15"/>
      <c r="E2" s="15"/>
      <c r="F2" s="15"/>
      <c r="G2" s="15"/>
      <c r="H2" s="651"/>
      <c r="I2" s="651"/>
      <c r="J2" s="651"/>
      <c r="K2" s="651"/>
      <c r="L2" s="651"/>
      <c r="M2" s="651"/>
      <c r="N2" s="651"/>
      <c r="O2" s="651"/>
      <c r="P2" s="651"/>
      <c r="Q2" s="651"/>
      <c r="R2" s="651"/>
      <c r="S2" s="651"/>
      <c r="T2" s="651"/>
      <c r="U2" s="651"/>
      <c r="V2" s="651"/>
      <c r="W2" s="651"/>
      <c r="X2" s="651"/>
      <c r="Y2" s="651"/>
      <c r="Z2" s="651"/>
      <c r="AA2" s="651"/>
    </row>
    <row r="3" spans="2:27" s="18" customFormat="1" ht="12.75">
      <c r="B3" s="767" t="s">
        <v>52</v>
      </c>
      <c r="C3" s="767"/>
      <c r="D3" s="767"/>
      <c r="E3" s="767"/>
      <c r="F3" s="767"/>
      <c r="G3" s="767"/>
      <c r="H3" s="651"/>
      <c r="I3" s="651"/>
      <c r="J3" s="651"/>
      <c r="K3" s="651"/>
      <c r="L3" s="651"/>
      <c r="M3" s="651"/>
      <c r="N3" s="651"/>
      <c r="O3" s="651"/>
      <c r="P3" s="651"/>
      <c r="Q3" s="651"/>
      <c r="R3" s="651"/>
      <c r="S3" s="651"/>
      <c r="T3" s="651"/>
      <c r="U3" s="651"/>
      <c r="V3" s="651"/>
      <c r="W3" s="651"/>
      <c r="X3" s="651"/>
      <c r="Y3" s="651"/>
      <c r="Z3" s="651"/>
      <c r="AA3" s="651"/>
    </row>
    <row r="4" spans="2:27" s="18" customFormat="1" ht="12.75">
      <c r="B4" s="767" t="s">
        <v>449</v>
      </c>
      <c r="C4" s="767"/>
      <c r="D4" s="767"/>
      <c r="E4" s="767"/>
      <c r="F4" s="767"/>
      <c r="G4" s="767"/>
      <c r="H4" s="651"/>
      <c r="I4" s="651"/>
      <c r="J4" s="651"/>
      <c r="K4" s="651"/>
      <c r="L4" s="651"/>
      <c r="M4" s="651"/>
      <c r="N4" s="651"/>
      <c r="O4" s="651"/>
      <c r="P4" s="651"/>
      <c r="Q4" s="651"/>
      <c r="R4" s="651"/>
      <c r="S4" s="651"/>
      <c r="T4" s="651"/>
      <c r="U4" s="651"/>
      <c r="V4" s="651"/>
      <c r="W4" s="651"/>
      <c r="X4" s="651"/>
      <c r="Y4" s="651"/>
      <c r="Z4" s="651"/>
      <c r="AA4" s="651"/>
    </row>
    <row r="5" spans="2:27" s="18" customFormat="1" ht="51">
      <c r="B5" s="527" t="s">
        <v>198</v>
      </c>
      <c r="C5" s="400" t="s">
        <v>450</v>
      </c>
      <c r="D5" s="400" t="s">
        <v>451</v>
      </c>
      <c r="E5" s="400" t="s">
        <v>452</v>
      </c>
      <c r="F5" s="400" t="s">
        <v>453</v>
      </c>
      <c r="G5" s="400" t="s">
        <v>454</v>
      </c>
      <c r="H5" s="651"/>
      <c r="I5" s="651"/>
      <c r="J5" s="651"/>
      <c r="K5" s="651"/>
      <c r="L5" s="651"/>
      <c r="M5" s="651"/>
      <c r="N5" s="651"/>
      <c r="O5" s="651"/>
      <c r="P5" s="651"/>
      <c r="Q5" s="651"/>
      <c r="R5" s="651"/>
      <c r="S5" s="651"/>
      <c r="T5" s="651"/>
      <c r="U5" s="651"/>
      <c r="V5" s="651"/>
      <c r="W5" s="651"/>
      <c r="X5" s="651"/>
      <c r="Y5" s="651"/>
      <c r="Z5" s="651"/>
      <c r="AA5" s="651"/>
    </row>
    <row r="6" spans="2:27" ht="15.75" customHeight="1">
      <c r="B6" s="565">
        <v>44197</v>
      </c>
      <c r="C6" s="133">
        <v>184869.58</v>
      </c>
      <c r="D6" s="133">
        <v>177879.99039999998</v>
      </c>
      <c r="E6" s="133"/>
      <c r="F6" s="133">
        <v>211783.83736774194</v>
      </c>
      <c r="G6" s="133">
        <v>204608.6494516129</v>
      </c>
      <c r="H6" s="679"/>
      <c r="I6" s="679"/>
      <c r="J6" s="679"/>
      <c r="K6" s="679"/>
      <c r="L6" s="679"/>
    </row>
    <row r="7" spans="2:27" ht="15.75" customHeight="1">
      <c r="B7" s="565">
        <v>44228</v>
      </c>
      <c r="C7" s="133">
        <v>179089.39290000001</v>
      </c>
      <c r="D7" s="133">
        <v>182803.71109999999</v>
      </c>
      <c r="E7" s="133"/>
      <c r="F7" s="133">
        <v>207290.11847500002</v>
      </c>
      <c r="G7" s="133">
        <v>210700.34007499999</v>
      </c>
      <c r="H7" s="679"/>
      <c r="I7" s="679"/>
      <c r="J7" s="679"/>
      <c r="K7" s="679"/>
      <c r="L7" s="679"/>
    </row>
    <row r="8" spans="2:27" ht="15.75" customHeight="1">
      <c r="B8" s="565">
        <v>44256</v>
      </c>
      <c r="C8" s="133">
        <v>171009.28909999999</v>
      </c>
      <c r="D8" s="133">
        <v>182130.01380000002</v>
      </c>
      <c r="E8" s="133">
        <v>207666.66666666669</v>
      </c>
      <c r="F8" s="133">
        <v>200314.10971612902</v>
      </c>
      <c r="G8" s="133">
        <v>219557.6423870968</v>
      </c>
      <c r="H8" s="679"/>
      <c r="I8" s="679"/>
      <c r="J8" s="679"/>
      <c r="K8" s="679"/>
      <c r="L8" s="679"/>
    </row>
    <row r="9" spans="2:27" ht="15.75" customHeight="1">
      <c r="B9" s="565">
        <v>44287</v>
      </c>
      <c r="C9" s="133">
        <v>181563.52499999999</v>
      </c>
      <c r="D9" s="133">
        <v>195253.34399999998</v>
      </c>
      <c r="E9" s="133">
        <v>204843.13725490196</v>
      </c>
      <c r="F9" s="133">
        <v>214592.74980000002</v>
      </c>
      <c r="G9" s="133">
        <v>223486.54144</v>
      </c>
      <c r="H9" s="679"/>
      <c r="I9" s="679"/>
      <c r="J9" s="679"/>
      <c r="K9" s="679"/>
      <c r="L9" s="679"/>
    </row>
    <row r="10" spans="2:27" ht="15.75" customHeight="1">
      <c r="B10" s="565">
        <v>44317</v>
      </c>
      <c r="C10" s="133">
        <v>192388.54860000001</v>
      </c>
      <c r="D10" s="133">
        <v>222666.7212</v>
      </c>
      <c r="E10" s="133">
        <v>207000</v>
      </c>
      <c r="F10" s="133">
        <v>229326.1886774193</v>
      </c>
      <c r="G10" s="133">
        <v>253766.05066451611</v>
      </c>
      <c r="H10" s="679"/>
      <c r="I10" s="679"/>
      <c r="J10" s="679"/>
      <c r="K10" s="679"/>
      <c r="L10" s="679"/>
    </row>
    <row r="11" spans="2:27" ht="15.75" customHeight="1">
      <c r="B11" s="565">
        <v>44348</v>
      </c>
      <c r="C11" s="133">
        <v>180596.0478</v>
      </c>
      <c r="D11" s="133">
        <v>220533.9516</v>
      </c>
      <c r="E11" s="133">
        <v>211050</v>
      </c>
      <c r="F11" s="133">
        <v>221365.48629333329</v>
      </c>
      <c r="G11" s="133">
        <v>261293.41720666667</v>
      </c>
      <c r="H11" s="679"/>
      <c r="I11" s="679"/>
      <c r="J11" s="679"/>
      <c r="K11" s="679"/>
      <c r="L11" s="679"/>
    </row>
    <row r="12" spans="2:27" ht="15.75" customHeight="1">
      <c r="B12" s="565">
        <v>44378</v>
      </c>
      <c r="C12" s="133">
        <v>177929.32400000002</v>
      </c>
      <c r="D12" s="133">
        <v>212749.74000000002</v>
      </c>
      <c r="E12" s="133">
        <v>224545.45454545456</v>
      </c>
      <c r="F12" s="133">
        <v>218950.94433548389</v>
      </c>
      <c r="G12" s="133">
        <v>253709.40120645161</v>
      </c>
      <c r="H12" s="679"/>
      <c r="I12" s="679"/>
      <c r="J12" s="679"/>
      <c r="K12" s="679"/>
      <c r="L12" s="679"/>
    </row>
    <row r="13" spans="2:27" ht="15.75" customHeight="1">
      <c r="B13" s="565">
        <v>44409</v>
      </c>
      <c r="C13" s="133">
        <v>185521.557</v>
      </c>
      <c r="D13" s="133">
        <v>204455.82940000002</v>
      </c>
      <c r="E13" s="133">
        <v>238750</v>
      </c>
      <c r="F13" s="133">
        <v>229297.24854838711</v>
      </c>
      <c r="G13" s="133">
        <v>260123.74867419357</v>
      </c>
      <c r="H13" s="679"/>
      <c r="I13" s="679"/>
      <c r="J13" s="679"/>
      <c r="K13" s="679"/>
      <c r="L13" s="679"/>
    </row>
    <row r="14" spans="2:27" ht="15.75" customHeight="1">
      <c r="B14" s="565">
        <v>44440</v>
      </c>
      <c r="C14" s="133">
        <v>188502.19650000002</v>
      </c>
      <c r="D14" s="133">
        <v>219102.948</v>
      </c>
      <c r="E14" s="133">
        <v>237222.22222222222</v>
      </c>
      <c r="F14" s="133">
        <v>240269.99028666667</v>
      </c>
      <c r="G14" s="133">
        <v>273469.78865666664</v>
      </c>
      <c r="H14" s="679"/>
      <c r="I14" s="679" t="s">
        <v>663</v>
      </c>
      <c r="J14" s="679"/>
      <c r="K14" s="679"/>
      <c r="L14" s="679"/>
    </row>
    <row r="15" spans="2:27" ht="15.75" customHeight="1">
      <c r="B15" s="565">
        <v>44470</v>
      </c>
      <c r="C15" s="133">
        <v>195199.30009999999</v>
      </c>
      <c r="D15" s="133">
        <v>212974.7886</v>
      </c>
      <c r="E15" s="133">
        <v>246052.63157894736</v>
      </c>
      <c r="F15" s="133">
        <v>254696.19292580648</v>
      </c>
      <c r="G15" s="133">
        <v>270655.19530322577</v>
      </c>
      <c r="H15" s="679"/>
      <c r="I15" s="679"/>
      <c r="J15" s="679"/>
      <c r="K15" s="679"/>
      <c r="L15" s="679"/>
    </row>
    <row r="16" spans="2:27" ht="15.75" customHeight="1">
      <c r="B16" s="565">
        <v>44501</v>
      </c>
      <c r="C16" s="133">
        <v>204373.93</v>
      </c>
      <c r="D16" s="133">
        <v>217262.08320000002</v>
      </c>
      <c r="E16" s="133">
        <v>270000</v>
      </c>
      <c r="F16" s="133">
        <v>257811.95759666667</v>
      </c>
      <c r="G16" s="133">
        <v>268216.5852733333</v>
      </c>
      <c r="H16" s="679"/>
      <c r="I16" s="679" t="s">
        <v>663</v>
      </c>
      <c r="J16" s="679"/>
      <c r="K16" s="679"/>
      <c r="L16" s="679"/>
    </row>
    <row r="17" spans="2:14" ht="15.75" customHeight="1">
      <c r="B17" s="565">
        <v>44531</v>
      </c>
      <c r="C17" s="133">
        <v>220601.37600000002</v>
      </c>
      <c r="D17" s="133">
        <v>232463.58239999998</v>
      </c>
      <c r="E17" s="133"/>
      <c r="F17" s="133">
        <v>278468.04696774192</v>
      </c>
      <c r="G17" s="133">
        <v>309285.57103225804</v>
      </c>
      <c r="H17" s="679"/>
      <c r="I17" s="679" t="s">
        <v>663</v>
      </c>
      <c r="J17" s="679"/>
      <c r="K17" s="679"/>
      <c r="L17" s="679"/>
    </row>
    <row r="18" spans="2:14" ht="15.75" customHeight="1">
      <c r="B18" s="565">
        <v>44562</v>
      </c>
      <c r="C18" s="133">
        <v>223951.0815</v>
      </c>
      <c r="D18" s="133">
        <v>233388.21550000002</v>
      </c>
      <c r="E18" s="133"/>
      <c r="F18" s="133">
        <v>281692.06228064513</v>
      </c>
      <c r="G18" s="133">
        <v>340306.0012483871</v>
      </c>
      <c r="H18" s="679"/>
      <c r="I18" s="679"/>
      <c r="J18" s="679"/>
      <c r="K18" s="679"/>
      <c r="L18" s="679"/>
    </row>
    <row r="19" spans="2:14" ht="15.75" customHeight="1">
      <c r="B19" s="565">
        <v>44593</v>
      </c>
      <c r="C19" s="133">
        <v>231798.5747</v>
      </c>
      <c r="D19" s="133">
        <v>243073.34260000003</v>
      </c>
      <c r="E19" s="133"/>
      <c r="F19" s="133">
        <v>289365.90606785711</v>
      </c>
      <c r="G19" s="133">
        <v>307708.69703571423</v>
      </c>
      <c r="H19" s="679"/>
      <c r="I19" s="679"/>
      <c r="J19" s="679"/>
      <c r="K19" s="679"/>
      <c r="L19" s="679"/>
    </row>
    <row r="20" spans="2:14" ht="15.75" customHeight="1">
      <c r="B20" s="565">
        <v>44621</v>
      </c>
      <c r="C20" s="133">
        <v>268487.88050000003</v>
      </c>
      <c r="D20" s="133">
        <v>287860.24609999999</v>
      </c>
      <c r="E20" s="133">
        <v>305083.33333333331</v>
      </c>
      <c r="F20" s="133">
        <v>325961.54034516128</v>
      </c>
      <c r="G20" s="133">
        <v>351935.53192903224</v>
      </c>
      <c r="H20" s="11"/>
      <c r="I20" s="246"/>
      <c r="J20" s="679"/>
      <c r="K20" s="679"/>
      <c r="L20" s="679"/>
    </row>
    <row r="21" spans="2:14" ht="15.75" customHeight="1">
      <c r="B21" s="565">
        <v>44652</v>
      </c>
      <c r="C21" s="133">
        <v>257577.92</v>
      </c>
      <c r="D21" s="133">
        <v>290109.35920000001</v>
      </c>
      <c r="E21" s="133">
        <v>306181.81818181818</v>
      </c>
      <c r="F21" s="133">
        <v>313187.45085741091</v>
      </c>
      <c r="G21" s="133">
        <v>353409.80923928082</v>
      </c>
      <c r="H21" s="11"/>
      <c r="I21" s="246"/>
      <c r="J21" s="679"/>
      <c r="K21" s="679"/>
      <c r="L21" s="679"/>
    </row>
    <row r="22" spans="2:14" ht="15.75" customHeight="1">
      <c r="B22" s="565">
        <v>44682</v>
      </c>
      <c r="C22" s="133">
        <v>267303.033</v>
      </c>
      <c r="D22" s="133">
        <v>298815.402</v>
      </c>
      <c r="E22" s="133">
        <v>308195.12195121951</v>
      </c>
      <c r="F22" s="133">
        <v>328317.9417258529</v>
      </c>
      <c r="G22" s="133">
        <v>368536.53333264327</v>
      </c>
      <c r="H22" s="11"/>
      <c r="I22" s="246"/>
      <c r="J22" s="679"/>
      <c r="K22" s="679"/>
      <c r="L22" s="679"/>
    </row>
    <row r="23" spans="2:14" ht="15.75" customHeight="1">
      <c r="B23" s="565">
        <v>44713</v>
      </c>
      <c r="C23" s="133">
        <v>256130.12200000003</v>
      </c>
      <c r="D23" s="133">
        <v>293286.65975200001</v>
      </c>
      <c r="E23" s="133">
        <v>301192.30769230769</v>
      </c>
      <c r="F23" s="133">
        <v>323023.16319260158</v>
      </c>
      <c r="G23" s="133">
        <v>358602.98037731141</v>
      </c>
      <c r="H23" s="11"/>
      <c r="I23" s="246"/>
      <c r="J23" s="679"/>
      <c r="K23" s="679"/>
      <c r="L23" s="679"/>
    </row>
    <row r="24" spans="2:14" ht="15.75" customHeight="1">
      <c r="B24" s="565">
        <v>44743</v>
      </c>
      <c r="C24" s="133">
        <v>284777.80600000004</v>
      </c>
      <c r="D24" s="133">
        <v>326090.23429599998</v>
      </c>
      <c r="E24" s="133">
        <v>304285.71428571426</v>
      </c>
      <c r="F24" s="133">
        <v>332483.92989805754</v>
      </c>
      <c r="G24" s="133">
        <v>374141.28018188762</v>
      </c>
      <c r="H24" s="11"/>
      <c r="I24" s="246"/>
      <c r="J24" s="679"/>
      <c r="K24" s="679"/>
      <c r="L24" s="679"/>
    </row>
    <row r="25" spans="2:14" ht="15" customHeight="1">
      <c r="B25" s="955" t="s">
        <v>455</v>
      </c>
      <c r="C25" s="956"/>
      <c r="D25" s="956"/>
      <c r="E25" s="956"/>
      <c r="F25" s="956"/>
      <c r="G25" s="957"/>
    </row>
    <row r="26" spans="2:14" ht="15" customHeight="1">
      <c r="B26" s="1"/>
      <c r="C26" s="167"/>
      <c r="D26" s="11"/>
      <c r="F26" s="167"/>
      <c r="G26" s="11"/>
    </row>
    <row r="27" spans="2:14" ht="12" customHeight="1">
      <c r="C27" s="168"/>
      <c r="D27" s="168"/>
      <c r="E27" s="168"/>
      <c r="F27" s="168"/>
      <c r="G27" s="168"/>
    </row>
    <row r="28" spans="2:14" ht="15" customHeight="1">
      <c r="I28" s="680"/>
      <c r="J28" s="680"/>
      <c r="K28" s="680"/>
      <c r="L28" s="680"/>
      <c r="M28" s="680"/>
      <c r="N28" s="680"/>
    </row>
    <row r="29" spans="2:14" ht="15" customHeight="1">
      <c r="I29" s="680"/>
      <c r="J29" s="680"/>
      <c r="K29" s="680"/>
      <c r="L29" s="680"/>
      <c r="M29" s="680"/>
      <c r="N29" s="680"/>
    </row>
    <row r="30" spans="2:14" ht="15" customHeight="1">
      <c r="I30" s="680"/>
      <c r="J30" s="680"/>
      <c r="K30" s="680"/>
      <c r="L30" s="680"/>
      <c r="M30" s="680"/>
      <c r="N30" s="680"/>
    </row>
    <row r="31" spans="2:14" ht="15" customHeight="1">
      <c r="I31" s="680"/>
      <c r="J31" s="680"/>
      <c r="K31" s="680"/>
      <c r="L31" s="680"/>
      <c r="M31" s="680"/>
      <c r="N31" s="680"/>
    </row>
    <row r="32" spans="2:14" ht="15" customHeight="1">
      <c r="I32" s="680"/>
      <c r="J32" s="680"/>
      <c r="K32" s="680"/>
      <c r="L32" s="680"/>
      <c r="M32" s="680"/>
      <c r="N32" s="680"/>
    </row>
    <row r="33" spans="2:14" ht="15" customHeight="1">
      <c r="I33" s="680"/>
      <c r="J33" s="680"/>
      <c r="K33" s="680"/>
      <c r="L33" s="680"/>
      <c r="M33" s="680"/>
      <c r="N33" s="680"/>
    </row>
    <row r="34" spans="2:14" ht="15" customHeight="1">
      <c r="I34" s="680"/>
      <c r="J34" s="680"/>
      <c r="K34" s="680"/>
      <c r="L34" s="680"/>
      <c r="M34" s="680"/>
      <c r="N34" s="680"/>
    </row>
    <row r="35" spans="2:14" ht="15" customHeight="1">
      <c r="I35" s="680"/>
      <c r="J35" s="680"/>
      <c r="K35" s="680"/>
      <c r="L35" s="680"/>
      <c r="M35" s="680"/>
      <c r="N35" s="680"/>
    </row>
    <row r="36" spans="2:14" ht="15" customHeight="1">
      <c r="I36" s="680"/>
      <c r="J36" s="680"/>
      <c r="K36" s="680"/>
      <c r="L36" s="680"/>
      <c r="M36" s="680"/>
      <c r="N36" s="680"/>
    </row>
    <row r="37" spans="2:14" ht="15" customHeight="1">
      <c r="I37" s="680"/>
      <c r="J37" s="680"/>
      <c r="K37" s="680"/>
      <c r="L37" s="680"/>
      <c r="M37" s="680"/>
      <c r="N37" s="680"/>
    </row>
    <row r="38" spans="2:14" ht="13.7" customHeight="1">
      <c r="I38" s="680"/>
      <c r="J38" s="680"/>
      <c r="K38" s="680"/>
      <c r="L38" s="680"/>
      <c r="M38" s="680"/>
      <c r="N38" s="680"/>
    </row>
    <row r="39" spans="2:14" ht="13.7" customHeight="1">
      <c r="I39" s="680"/>
      <c r="J39" s="680"/>
      <c r="K39" s="680"/>
      <c r="L39" s="680"/>
      <c r="M39" s="680"/>
      <c r="N39" s="680"/>
    </row>
    <row r="40" spans="2:14" ht="13.7" customHeight="1">
      <c r="I40" s="680"/>
      <c r="J40" s="680"/>
      <c r="K40" s="680"/>
      <c r="L40" s="680"/>
      <c r="M40" s="680"/>
      <c r="N40" s="680"/>
    </row>
    <row r="41" spans="2:14" ht="13.7" customHeight="1">
      <c r="I41" s="680"/>
      <c r="J41" s="680"/>
      <c r="K41" s="680"/>
      <c r="L41" s="680"/>
      <c r="M41" s="680"/>
      <c r="N41" s="680"/>
    </row>
    <row r="42" spans="2:14" ht="13.7" customHeight="1">
      <c r="I42" s="680"/>
      <c r="J42" s="680"/>
      <c r="K42" s="680"/>
      <c r="L42" s="680"/>
      <c r="M42" s="680"/>
      <c r="N42" s="680"/>
    </row>
    <row r="43" spans="2:14" ht="13.7" customHeight="1">
      <c r="I43" s="680"/>
      <c r="J43" s="680"/>
      <c r="K43" s="680"/>
      <c r="L43" s="680"/>
      <c r="M43" s="680"/>
      <c r="N43" s="680"/>
    </row>
    <row r="44" spans="2:14" ht="15.75" customHeight="1"/>
    <row r="45" spans="2:14" ht="9.9499999999999993" customHeight="1"/>
    <row r="46" spans="2:14" ht="13.7" customHeight="1">
      <c r="B46" s="1"/>
    </row>
    <row r="47" spans="2:14" ht="13.7" customHeight="1"/>
    <row r="48" spans="2:14" ht="13.7" customHeight="1"/>
    <row r="49" spans="3:13" ht="13.7" customHeight="1"/>
    <row r="50" spans="3:13" ht="13.7" customHeight="1" thickBot="1"/>
    <row r="51" spans="3:13" ht="13.7" customHeight="1" thickBot="1">
      <c r="C51" s="169"/>
      <c r="D51" s="170"/>
      <c r="E51" s="170"/>
      <c r="F51" s="170"/>
      <c r="G51" s="171"/>
      <c r="H51" s="681"/>
      <c r="I51" s="681"/>
      <c r="J51" s="681"/>
      <c r="K51" s="681"/>
      <c r="L51" s="681"/>
      <c r="M51" s="681"/>
    </row>
    <row r="52" spans="3:13" ht="13.7" customHeight="1" thickBot="1">
      <c r="C52" s="172"/>
      <c r="D52" s="173"/>
      <c r="E52" s="173"/>
      <c r="F52" s="173"/>
      <c r="G52" s="171"/>
    </row>
    <row r="53" spans="3:13" ht="13.7" customHeight="1" thickBot="1">
      <c r="C53" s="172"/>
      <c r="D53" s="173"/>
      <c r="E53" s="173"/>
      <c r="F53" s="173"/>
      <c r="G53" s="171"/>
    </row>
    <row r="54" spans="3:13" ht="13.7" customHeight="1" thickBot="1">
      <c r="C54" s="172"/>
      <c r="D54" s="173"/>
      <c r="E54" s="173"/>
      <c r="F54" s="173"/>
      <c r="G54" s="171"/>
    </row>
    <row r="55" spans="3:13" ht="13.7" customHeight="1" thickBot="1">
      <c r="C55" s="172"/>
      <c r="D55" s="173"/>
      <c r="E55" s="173"/>
      <c r="F55" s="173"/>
      <c r="G55" s="171"/>
    </row>
    <row r="56" spans="3:13" ht="13.7" customHeight="1" thickBot="1">
      <c r="C56" s="172"/>
      <c r="D56" s="173"/>
      <c r="E56" s="173"/>
      <c r="F56" s="173"/>
      <c r="G56" s="171"/>
    </row>
    <row r="57" spans="3:13" ht="13.7" customHeight="1"/>
    <row r="58" spans="3:13" ht="13.7" customHeight="1"/>
    <row r="59" spans="3:13" ht="13.7" customHeight="1"/>
    <row r="60" spans="3:13" ht="13.7" customHeight="1"/>
    <row r="61" spans="3:13" ht="13.7" customHeight="1"/>
    <row r="62" spans="3:13" ht="13.7" customHeight="1"/>
    <row r="63" spans="3:13" ht="13.7" customHeight="1"/>
    <row r="64" spans="3:13"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ht="13.7" customHeight="1"/>
    <row r="82" ht="13.7" customHeight="1"/>
    <row r="83" ht="13.7" customHeight="1"/>
    <row r="84" ht="13.7" customHeight="1"/>
    <row r="85" ht="13.7" customHeight="1"/>
    <row r="86" ht="13.7" customHeight="1"/>
    <row r="87" ht="13.7" customHeight="1"/>
    <row r="88" ht="13.7" customHeight="1"/>
    <row r="89" ht="13.7" customHeight="1"/>
    <row r="90" ht="13.7" customHeight="1"/>
    <row r="91" ht="13.7" customHeight="1"/>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ht="13.7" customHeight="1"/>
    <row r="114" ht="13.7" customHeight="1"/>
    <row r="115" ht="13.7" customHeight="1"/>
    <row r="116" ht="13.7" customHeight="1"/>
    <row r="117" ht="13.7" customHeight="1"/>
    <row r="118" ht="13.7" customHeight="1"/>
    <row r="119" ht="13.7" customHeight="1"/>
    <row r="120" ht="13.7" customHeight="1"/>
    <row r="121" ht="13.7" customHeight="1"/>
    <row r="122" ht="13.7" customHeight="1"/>
    <row r="123" ht="13.7" customHeight="1"/>
    <row r="124" ht="13.7" customHeight="1"/>
    <row r="125" ht="13.7" customHeight="1"/>
    <row r="126" ht="13.7" customHeight="1"/>
    <row r="127" ht="13.7" customHeight="1"/>
    <row r="128" ht="13.7" customHeight="1"/>
    <row r="129" ht="13.7" customHeight="1"/>
    <row r="130" ht="13.7" customHeight="1"/>
    <row r="131" ht="13.7" customHeight="1"/>
    <row r="132" ht="13.7" customHeight="1"/>
    <row r="133" ht="13.7" customHeight="1"/>
    <row r="134" ht="13.7" customHeight="1"/>
    <row r="135" ht="13.7" customHeight="1"/>
    <row r="136" ht="13.7" customHeight="1"/>
    <row r="137" ht="13.7" customHeight="1"/>
    <row r="138" ht="13.7" customHeight="1"/>
  </sheetData>
  <mergeCells count="4">
    <mergeCell ref="B1:G1"/>
    <mergeCell ref="B3:G3"/>
    <mergeCell ref="B4:G4"/>
    <mergeCell ref="B25:G25"/>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pageSetUpPr fitToPage="1"/>
  </sheetPr>
  <dimension ref="F1:AE83"/>
  <sheetViews>
    <sheetView zoomScale="80" zoomScaleNormal="80" workbookViewId="0">
      <pane ySplit="1" topLeftCell="A2" activePane="bottomLeft" state="frozen"/>
      <selection activeCell="F47" sqref="F47"/>
      <selection pane="bottomLeft" activeCell="G20" sqref="G20"/>
    </sheetView>
  </sheetViews>
  <sheetFormatPr baseColWidth="10" defaultColWidth="10.90625" defaultRowHeight="12.75"/>
  <cols>
    <col min="1" max="1" width="9" style="617" customWidth="1"/>
    <col min="2" max="4" width="10.90625" style="617"/>
    <col min="5" max="5" width="16.1796875" style="617" customWidth="1"/>
    <col min="6" max="6" width="9.90625" style="703" customWidth="1"/>
    <col min="7" max="7" width="14.453125" style="703" customWidth="1"/>
    <col min="8" max="12" width="6.08984375" style="703" hidden="1" customWidth="1"/>
    <col min="13" max="17" width="8.26953125" style="703" hidden="1" customWidth="1"/>
    <col min="18" max="21" width="8.26953125" style="703" customWidth="1"/>
    <col min="22" max="22" width="7.08984375" style="703" customWidth="1"/>
    <col min="23" max="25" width="8.453125" style="703" customWidth="1"/>
    <col min="26" max="31" width="10.90625" style="703"/>
    <col min="32" max="16384" width="10.90625" style="617"/>
  </cols>
  <sheetData>
    <row r="1" spans="6:26">
      <c r="H1" s="704">
        <v>44256</v>
      </c>
      <c r="I1" s="704">
        <v>44317</v>
      </c>
      <c r="J1" s="704">
        <v>44378</v>
      </c>
      <c r="K1" s="704">
        <v>44440</v>
      </c>
      <c r="L1" s="704">
        <v>44531</v>
      </c>
      <c r="M1" s="704">
        <v>44621</v>
      </c>
      <c r="N1" s="704">
        <v>44652</v>
      </c>
      <c r="O1" s="704">
        <v>44682</v>
      </c>
      <c r="P1" s="704">
        <v>44713</v>
      </c>
      <c r="Q1" s="704">
        <v>44743</v>
      </c>
      <c r="R1" s="704">
        <v>44774</v>
      </c>
      <c r="S1" s="704">
        <v>44805</v>
      </c>
      <c r="T1" s="704">
        <v>44835</v>
      </c>
      <c r="U1" s="704">
        <v>44866</v>
      </c>
      <c r="V1" s="704">
        <v>44896</v>
      </c>
      <c r="W1" s="704">
        <v>44986</v>
      </c>
      <c r="X1" s="704">
        <v>45170</v>
      </c>
      <c r="Y1" s="704">
        <v>45261</v>
      </c>
      <c r="Z1" s="704">
        <v>45352</v>
      </c>
    </row>
    <row r="2" spans="6:26">
      <c r="F2" s="705"/>
      <c r="G2" s="705">
        <v>44256</v>
      </c>
      <c r="H2" s="706">
        <v>215.53979999999999</v>
      </c>
      <c r="I2" s="706">
        <v>211.89825999999999</v>
      </c>
      <c r="J2" s="706">
        <v>207.46935999999999</v>
      </c>
      <c r="K2" s="706">
        <v>191.23005999999998</v>
      </c>
      <c r="L2" s="706">
        <v>184.53749999999999</v>
      </c>
      <c r="M2" s="706">
        <v>175.08516</v>
      </c>
      <c r="N2" s="706"/>
      <c r="O2" s="706"/>
      <c r="P2" s="706"/>
      <c r="Q2" s="706"/>
      <c r="R2" s="706"/>
      <c r="S2" s="706"/>
      <c r="T2" s="706"/>
      <c r="U2" s="706"/>
    </row>
    <row r="3" spans="6:26">
      <c r="F3" s="705"/>
      <c r="G3" s="705">
        <v>44263</v>
      </c>
      <c r="H3" s="706">
        <v>222.42919999999998</v>
      </c>
      <c r="I3" s="706">
        <v>215.34295999999998</v>
      </c>
      <c r="J3" s="706">
        <v>211.01247999999998</v>
      </c>
      <c r="K3" s="706">
        <v>196.93841999999998</v>
      </c>
      <c r="L3" s="706">
        <v>189.55691999999999</v>
      </c>
      <c r="M3" s="706">
        <v>179.67815999999999</v>
      </c>
      <c r="N3" s="706"/>
      <c r="O3" s="706"/>
      <c r="P3" s="706"/>
      <c r="Q3" s="706"/>
      <c r="R3" s="706"/>
      <c r="S3" s="706"/>
      <c r="T3" s="706"/>
      <c r="U3" s="706"/>
    </row>
    <row r="4" spans="6:26">
      <c r="F4" s="705"/>
      <c r="G4" s="705">
        <v>44270</v>
      </c>
      <c r="I4" s="706">
        <v>216.32715999999999</v>
      </c>
      <c r="J4" s="706">
        <v>211.70141999999998</v>
      </c>
      <c r="K4" s="706">
        <v>196.05264</v>
      </c>
      <c r="L4" s="706">
        <v>188.4743</v>
      </c>
      <c r="M4" s="706">
        <v>178.6677</v>
      </c>
      <c r="N4" s="706"/>
      <c r="O4" s="706"/>
      <c r="P4" s="706"/>
      <c r="Q4" s="706"/>
      <c r="R4" s="706"/>
      <c r="S4" s="706"/>
      <c r="T4" s="706"/>
      <c r="U4" s="706"/>
    </row>
    <row r="5" spans="6:26">
      <c r="F5" s="705"/>
      <c r="G5" s="705">
        <v>44277</v>
      </c>
      <c r="I5" s="706">
        <v>216.13031999999998</v>
      </c>
      <c r="J5" s="706">
        <v>209.24091999999999</v>
      </c>
      <c r="K5" s="706">
        <v>190.63953999999998</v>
      </c>
      <c r="L5" s="706">
        <v>184.24223999999998</v>
      </c>
      <c r="M5" s="706">
        <v>174.90144000000001</v>
      </c>
      <c r="N5" s="706"/>
      <c r="O5" s="706"/>
      <c r="P5" s="706"/>
      <c r="Q5" s="706"/>
      <c r="R5" s="706"/>
      <c r="S5" s="706"/>
      <c r="T5" s="706"/>
      <c r="U5" s="706"/>
    </row>
    <row r="6" spans="6:26">
      <c r="F6" s="705"/>
      <c r="G6" s="705">
        <v>44284</v>
      </c>
      <c r="I6" s="706">
        <v>215.24453999999997</v>
      </c>
      <c r="J6" s="706">
        <v>209.14249999999998</v>
      </c>
      <c r="K6" s="706">
        <v>188.57271999999998</v>
      </c>
      <c r="L6" s="706">
        <v>181.58489999999998</v>
      </c>
      <c r="M6" s="706">
        <v>172.42122000000001</v>
      </c>
      <c r="N6" s="706"/>
      <c r="O6" s="706"/>
      <c r="P6" s="706"/>
      <c r="Q6" s="706"/>
      <c r="R6" s="706"/>
      <c r="S6" s="706"/>
      <c r="T6" s="706"/>
      <c r="U6" s="706"/>
    </row>
    <row r="7" spans="6:26">
      <c r="G7" s="705">
        <v>44291</v>
      </c>
      <c r="I7" s="706">
        <v>217.80345999999997</v>
      </c>
      <c r="J7" s="706">
        <v>212.29193999999998</v>
      </c>
      <c r="K7" s="706">
        <v>197.82419999999999</v>
      </c>
      <c r="L7" s="706">
        <v>192.31268</v>
      </c>
      <c r="M7" s="706">
        <v>182.25023999999999</v>
      </c>
      <c r="N7" s="706"/>
      <c r="O7" s="706"/>
      <c r="P7" s="706"/>
      <c r="Q7" s="706"/>
      <c r="R7" s="706"/>
      <c r="S7" s="706"/>
      <c r="T7" s="706"/>
      <c r="U7" s="706"/>
    </row>
    <row r="8" spans="6:26">
      <c r="F8" s="705"/>
      <c r="G8" s="705">
        <v>44298</v>
      </c>
      <c r="I8" s="706">
        <v>224.00391999999999</v>
      </c>
      <c r="J8" s="706">
        <v>218.88607999999999</v>
      </c>
      <c r="K8" s="706">
        <v>199.89102</v>
      </c>
      <c r="L8" s="706">
        <v>195.46212</v>
      </c>
      <c r="M8" s="706">
        <v>184.91417999999999</v>
      </c>
      <c r="N8" s="706"/>
      <c r="O8" s="706"/>
      <c r="P8" s="706"/>
      <c r="Q8" s="706"/>
      <c r="R8" s="706"/>
      <c r="S8" s="706"/>
      <c r="T8" s="706"/>
      <c r="U8" s="706"/>
    </row>
    <row r="9" spans="6:26">
      <c r="F9" s="705"/>
      <c r="G9" s="705">
        <v>44305</v>
      </c>
      <c r="I9" s="706">
        <v>233.05855999999997</v>
      </c>
      <c r="J9" s="706">
        <v>228.53124</v>
      </c>
      <c r="K9" s="706">
        <v>211.60299999999998</v>
      </c>
      <c r="L9" s="706">
        <v>204.81201999999999</v>
      </c>
      <c r="M9" s="706">
        <v>193.64087999999998</v>
      </c>
      <c r="N9" s="706"/>
      <c r="O9" s="706"/>
      <c r="P9" s="706"/>
      <c r="Q9" s="706"/>
      <c r="R9" s="706"/>
      <c r="S9" s="706"/>
      <c r="T9" s="706"/>
      <c r="U9" s="706"/>
    </row>
    <row r="10" spans="6:26">
      <c r="F10" s="705"/>
      <c r="G10" s="705">
        <v>44312</v>
      </c>
      <c r="I10" s="706">
        <v>267.89923999999996</v>
      </c>
      <c r="J10" s="706">
        <v>258.84459999999996</v>
      </c>
      <c r="K10" s="706">
        <v>233.45223999999999</v>
      </c>
      <c r="L10" s="706">
        <v>223.70865999999998</v>
      </c>
      <c r="M10" s="706">
        <v>210.35939999999999</v>
      </c>
      <c r="N10" s="706"/>
      <c r="O10" s="706"/>
      <c r="P10" s="706"/>
      <c r="Q10" s="706"/>
      <c r="R10" s="706"/>
      <c r="S10" s="706"/>
      <c r="T10" s="706"/>
      <c r="U10" s="706"/>
    </row>
    <row r="11" spans="6:26">
      <c r="F11" s="753"/>
      <c r="G11" s="705">
        <v>44319</v>
      </c>
      <c r="I11" s="706">
        <v>288.27217999999999</v>
      </c>
      <c r="J11" s="706">
        <v>267.50556</v>
      </c>
      <c r="K11" s="706">
        <v>232.96014</v>
      </c>
      <c r="L11" s="706">
        <v>221.64183999999997</v>
      </c>
      <c r="M11" s="706">
        <v>208.70591999999999</v>
      </c>
      <c r="N11" s="706"/>
      <c r="O11" s="706"/>
      <c r="P11" s="706"/>
      <c r="Q11" s="706">
        <v>570</v>
      </c>
      <c r="R11" s="706"/>
      <c r="S11" s="706"/>
      <c r="T11" s="706"/>
      <c r="U11" s="706"/>
    </row>
    <row r="12" spans="6:26">
      <c r="F12" s="705"/>
      <c r="G12" s="705">
        <v>44326</v>
      </c>
      <c r="I12" s="706">
        <v>294.47263999999996</v>
      </c>
      <c r="J12" s="706">
        <v>280.20173999999997</v>
      </c>
      <c r="K12" s="706">
        <v>247.62472</v>
      </c>
      <c r="L12" s="706">
        <v>239.84953999999999</v>
      </c>
      <c r="M12" s="706">
        <v>225.60816</v>
      </c>
      <c r="N12" s="706"/>
      <c r="O12" s="706"/>
      <c r="P12" s="706"/>
      <c r="Q12" s="706">
        <v>611.75</v>
      </c>
      <c r="R12" s="706"/>
      <c r="S12" s="706"/>
      <c r="T12" s="706"/>
      <c r="U12" s="706"/>
    </row>
    <row r="13" spans="6:26">
      <c r="F13" s="705"/>
      <c r="G13" s="705">
        <v>44333</v>
      </c>
      <c r="J13" s="706">
        <v>256.87619999999998</v>
      </c>
      <c r="K13" s="706">
        <v>223.01971999999998</v>
      </c>
      <c r="L13" s="706">
        <v>211.50457999999998</v>
      </c>
      <c r="M13" s="706">
        <v>199.42805999999999</v>
      </c>
      <c r="N13" s="706"/>
      <c r="O13" s="706"/>
      <c r="P13" s="706"/>
      <c r="Q13" s="706">
        <v>545.5</v>
      </c>
      <c r="R13" s="706"/>
      <c r="S13" s="706"/>
      <c r="T13" s="706"/>
      <c r="U13" s="706"/>
    </row>
    <row r="14" spans="6:26">
      <c r="F14" s="705"/>
      <c r="G14" s="705">
        <v>44340</v>
      </c>
      <c r="J14" s="706">
        <v>258.74617999999998</v>
      </c>
      <c r="K14" s="706">
        <v>223.80707999999998</v>
      </c>
      <c r="L14" s="706">
        <v>212.68562</v>
      </c>
      <c r="M14" s="706">
        <v>200.80596</v>
      </c>
      <c r="N14" s="706"/>
      <c r="O14" s="706"/>
      <c r="P14" s="706"/>
      <c r="Q14" s="706">
        <v>548.25</v>
      </c>
      <c r="R14" s="706"/>
      <c r="S14" s="706"/>
      <c r="T14" s="706"/>
      <c r="U14" s="706"/>
    </row>
    <row r="15" spans="6:26">
      <c r="F15" s="705"/>
      <c r="G15" s="705">
        <v>44348</v>
      </c>
      <c r="J15" s="706">
        <v>271.14709999999997</v>
      </c>
      <c r="K15" s="706">
        <v>236.99535999999998</v>
      </c>
      <c r="L15" s="706">
        <v>227.15335999999999</v>
      </c>
      <c r="M15" s="706">
        <v>214.30938</v>
      </c>
      <c r="N15" s="706"/>
      <c r="O15" s="706"/>
      <c r="P15" s="706"/>
      <c r="Q15" s="706">
        <v>215.22798</v>
      </c>
      <c r="R15" s="706"/>
      <c r="S15" s="706">
        <v>191.16066000000001</v>
      </c>
      <c r="T15" s="706"/>
      <c r="U15" s="706"/>
    </row>
    <row r="16" spans="6:26">
      <c r="F16" s="705"/>
      <c r="G16" s="705">
        <v>44354</v>
      </c>
      <c r="J16" s="706">
        <v>267.40713999999997</v>
      </c>
      <c r="K16" s="706">
        <v>244.47528</v>
      </c>
      <c r="L16" s="706">
        <v>237.29061999999999</v>
      </c>
      <c r="M16" s="706">
        <v>223.58723999999998</v>
      </c>
      <c r="N16" s="706"/>
      <c r="O16" s="706"/>
      <c r="P16" s="706"/>
      <c r="Q16" s="706">
        <v>224.32211999999998</v>
      </c>
      <c r="R16" s="706"/>
      <c r="S16" s="706">
        <v>197.22342</v>
      </c>
      <c r="T16" s="706"/>
      <c r="U16" s="706"/>
    </row>
    <row r="17" spans="6:22">
      <c r="F17" s="705"/>
      <c r="G17" s="705">
        <v>44361</v>
      </c>
      <c r="J17" s="706">
        <v>259.53353999999996</v>
      </c>
      <c r="K17" s="706">
        <v>235.61747999999997</v>
      </c>
      <c r="L17" s="706">
        <v>228.82649999999998</v>
      </c>
      <c r="M17" s="706">
        <v>216.05472</v>
      </c>
      <c r="N17" s="706"/>
      <c r="O17" s="706"/>
      <c r="P17" s="706"/>
      <c r="Q17" s="706">
        <v>217.89192</v>
      </c>
      <c r="R17" s="706"/>
      <c r="S17" s="706">
        <v>195.01877999999999</v>
      </c>
      <c r="T17" s="706"/>
      <c r="U17" s="706"/>
    </row>
    <row r="18" spans="6:22">
      <c r="F18" s="754"/>
      <c r="G18" s="705">
        <v>44368</v>
      </c>
      <c r="J18" s="706">
        <v>259.53353999999996</v>
      </c>
      <c r="K18" s="706">
        <v>224.88969999999998</v>
      </c>
      <c r="L18" s="706">
        <v>219.27975999999998</v>
      </c>
      <c r="M18" s="706">
        <v>207.23615999999998</v>
      </c>
      <c r="N18" s="706"/>
      <c r="O18" s="706"/>
      <c r="P18" s="706"/>
      <c r="Q18" s="706">
        <v>209.07335999999998</v>
      </c>
      <c r="R18" s="706"/>
      <c r="S18" s="706">
        <v>188.22113999999999</v>
      </c>
      <c r="T18" s="706"/>
      <c r="U18" s="706"/>
    </row>
    <row r="19" spans="6:22">
      <c r="F19" s="754"/>
      <c r="G19" s="705">
        <v>44375</v>
      </c>
      <c r="J19" s="706">
        <v>265.93083999999999</v>
      </c>
      <c r="K19" s="706">
        <v>219.77185999999998</v>
      </c>
      <c r="L19" s="706">
        <v>215.44137999999998</v>
      </c>
      <c r="M19" s="706">
        <v>203.83733999999998</v>
      </c>
      <c r="N19" s="706"/>
      <c r="O19" s="706"/>
      <c r="P19" s="706"/>
      <c r="Q19" s="706">
        <v>205.95012</v>
      </c>
      <c r="R19" s="706"/>
      <c r="S19" s="706">
        <v>185.37348</v>
      </c>
      <c r="T19" s="706"/>
      <c r="U19" s="706"/>
    </row>
    <row r="20" spans="6:22">
      <c r="F20" s="754"/>
      <c r="G20" s="705">
        <v>44383</v>
      </c>
      <c r="J20" s="706">
        <v>258.25407999999999</v>
      </c>
      <c r="K20" s="706">
        <v>217.31135999999998</v>
      </c>
      <c r="L20" s="706">
        <v>212.48877999999999</v>
      </c>
      <c r="M20" s="706">
        <v>200.7141</v>
      </c>
      <c r="N20" s="706"/>
      <c r="O20" s="706"/>
      <c r="P20" s="706"/>
      <c r="Q20" s="706">
        <v>201.72456</v>
      </c>
      <c r="R20" s="706"/>
      <c r="S20" s="706">
        <v>182.98511999999999</v>
      </c>
      <c r="T20" s="706"/>
      <c r="U20" s="706"/>
      <c r="V20" s="706"/>
    </row>
    <row r="21" spans="6:22">
      <c r="G21" s="705">
        <v>44389</v>
      </c>
      <c r="J21" s="706">
        <v>263.47033999999996</v>
      </c>
      <c r="K21" s="706">
        <v>214.65401999999997</v>
      </c>
      <c r="L21" s="706">
        <v>209.83143999999999</v>
      </c>
      <c r="M21" s="706">
        <v>198.60131999999999</v>
      </c>
      <c r="N21" s="706"/>
      <c r="O21" s="706"/>
      <c r="P21" s="706"/>
      <c r="Q21" s="706">
        <v>200.89782</v>
      </c>
      <c r="R21" s="706"/>
      <c r="S21" s="706">
        <v>184.6386</v>
      </c>
      <c r="T21" s="706"/>
      <c r="U21" s="706"/>
      <c r="V21" s="706"/>
    </row>
    <row r="22" spans="6:22">
      <c r="G22" s="705">
        <v>44396</v>
      </c>
      <c r="J22" s="706"/>
      <c r="K22" s="706">
        <v>218.88607999999999</v>
      </c>
      <c r="L22" s="706">
        <v>217.40977999999998</v>
      </c>
      <c r="M22" s="706">
        <v>205.67454000000001</v>
      </c>
      <c r="N22" s="706"/>
      <c r="O22" s="706"/>
      <c r="P22" s="706"/>
      <c r="Q22" s="706">
        <v>207.32801999999998</v>
      </c>
      <c r="R22" s="706"/>
      <c r="S22" s="706">
        <v>188.03742</v>
      </c>
      <c r="T22" s="706"/>
      <c r="U22" s="706"/>
      <c r="V22" s="706"/>
    </row>
    <row r="23" spans="6:22">
      <c r="G23" s="705">
        <v>44403</v>
      </c>
      <c r="J23" s="706"/>
      <c r="K23" s="706">
        <v>216.42558</v>
      </c>
      <c r="L23" s="706">
        <v>215.24453999999997</v>
      </c>
      <c r="M23" s="706">
        <v>203.74547999999999</v>
      </c>
      <c r="N23" s="706"/>
      <c r="O23" s="706"/>
      <c r="P23" s="706"/>
      <c r="Q23" s="706">
        <v>205.39895999999999</v>
      </c>
      <c r="R23" s="706"/>
      <c r="S23" s="706">
        <v>188.7723</v>
      </c>
      <c r="T23" s="706"/>
      <c r="U23" s="706"/>
      <c r="V23" s="706"/>
    </row>
    <row r="24" spans="6:22">
      <c r="G24" s="705">
        <v>44410</v>
      </c>
      <c r="J24" s="706"/>
      <c r="K24" s="706">
        <v>219.96869999999998</v>
      </c>
      <c r="L24" s="706">
        <v>220.16553999999999</v>
      </c>
      <c r="M24" s="706">
        <v>208.43034</v>
      </c>
      <c r="N24" s="706"/>
      <c r="O24" s="706"/>
      <c r="P24" s="706"/>
      <c r="Q24" s="706">
        <v>210.17568</v>
      </c>
      <c r="R24" s="706"/>
      <c r="S24" s="706">
        <v>191.89553999999998</v>
      </c>
      <c r="T24" s="706"/>
      <c r="U24" s="706"/>
      <c r="V24" s="706"/>
    </row>
    <row r="25" spans="6:22">
      <c r="F25" s="705"/>
      <c r="G25" s="705">
        <v>44417</v>
      </c>
      <c r="H25" s="706"/>
      <c r="I25" s="706"/>
      <c r="J25" s="706"/>
      <c r="K25" s="706">
        <v>216.62241999999998</v>
      </c>
      <c r="L25" s="706">
        <v>218.00029999999998</v>
      </c>
      <c r="M25" s="706">
        <v>206.40941999999998</v>
      </c>
      <c r="N25" s="706"/>
      <c r="O25" s="706"/>
      <c r="P25" s="706"/>
      <c r="Q25" s="706">
        <v>208.61405999999999</v>
      </c>
      <c r="R25" s="706"/>
      <c r="S25" s="706">
        <v>196.12109999999998</v>
      </c>
      <c r="T25" s="706"/>
      <c r="U25" s="706"/>
      <c r="V25" s="706">
        <v>190.88507999999999</v>
      </c>
    </row>
    <row r="26" spans="6:22">
      <c r="F26" s="705"/>
      <c r="G26" s="705">
        <v>44424</v>
      </c>
      <c r="H26" s="706"/>
      <c r="I26" s="706"/>
      <c r="J26" s="706"/>
      <c r="K26" s="706">
        <v>222.33077999999998</v>
      </c>
      <c r="L26" s="706">
        <v>223.90549999999999</v>
      </c>
      <c r="M26" s="706">
        <v>211.7373</v>
      </c>
      <c r="N26" s="706"/>
      <c r="O26" s="706"/>
      <c r="P26" s="706"/>
      <c r="Q26" s="706">
        <v>213.11519999999999</v>
      </c>
      <c r="R26" s="706"/>
      <c r="S26" s="706">
        <v>194.65134</v>
      </c>
      <c r="T26" s="706"/>
      <c r="U26" s="706"/>
      <c r="V26" s="706">
        <v>190.15019999999998</v>
      </c>
    </row>
    <row r="27" spans="6:22">
      <c r="F27" s="705"/>
      <c r="G27" s="705">
        <v>44431</v>
      </c>
      <c r="H27" s="706"/>
      <c r="I27" s="706"/>
      <c r="J27" s="706"/>
      <c r="K27" s="706">
        <v>211.79983999999999</v>
      </c>
      <c r="L27" s="706">
        <v>210.81563999999997</v>
      </c>
      <c r="M27" s="706">
        <v>199.61177999999998</v>
      </c>
      <c r="N27" s="706"/>
      <c r="O27" s="706"/>
      <c r="P27" s="706"/>
      <c r="Q27" s="706">
        <v>200.7141</v>
      </c>
      <c r="R27" s="706"/>
      <c r="S27" s="706">
        <v>187.39439999999999</v>
      </c>
      <c r="T27" s="706"/>
      <c r="U27" s="706"/>
      <c r="V27" s="706">
        <v>183.90371999999999</v>
      </c>
    </row>
    <row r="28" spans="6:22">
      <c r="F28" s="705"/>
      <c r="G28" s="705">
        <v>44438</v>
      </c>
      <c r="H28" s="706"/>
      <c r="I28" s="706"/>
      <c r="J28" s="706"/>
      <c r="K28" s="706">
        <v>212.68562</v>
      </c>
      <c r="L28" s="706">
        <v>213.66981999999999</v>
      </c>
      <c r="M28" s="706">
        <v>202.36758</v>
      </c>
      <c r="N28" s="706"/>
      <c r="O28" s="706"/>
      <c r="P28" s="706"/>
      <c r="Q28" s="706">
        <v>204.02106000000001</v>
      </c>
      <c r="R28" s="706"/>
      <c r="S28" s="706">
        <v>191.34438</v>
      </c>
      <c r="T28" s="706"/>
      <c r="U28" s="706"/>
      <c r="V28" s="706">
        <v>187.66997999999998</v>
      </c>
    </row>
    <row r="29" spans="6:22">
      <c r="F29" s="705"/>
      <c r="G29" s="705">
        <v>44446</v>
      </c>
      <c r="H29" s="706"/>
      <c r="I29" s="706"/>
      <c r="J29" s="706"/>
      <c r="K29" s="706">
        <v>195.16685999999999</v>
      </c>
      <c r="L29" s="706">
        <v>201.07205999999999</v>
      </c>
      <c r="M29" s="706">
        <v>191.25252</v>
      </c>
      <c r="N29" s="706"/>
      <c r="O29" s="706"/>
      <c r="P29" s="706"/>
      <c r="Q29" s="706">
        <v>193.91646</v>
      </c>
      <c r="R29" s="706"/>
      <c r="S29" s="706">
        <v>183.16883999999999</v>
      </c>
      <c r="T29" s="706"/>
      <c r="U29" s="706"/>
      <c r="V29" s="706">
        <v>182.70954</v>
      </c>
    </row>
    <row r="30" spans="6:22">
      <c r="F30" s="705"/>
      <c r="G30" s="705">
        <v>44452</v>
      </c>
      <c r="H30" s="706"/>
      <c r="I30" s="706"/>
      <c r="J30" s="706"/>
      <c r="K30" s="706"/>
      <c r="L30" s="706">
        <v>202.05625999999998</v>
      </c>
      <c r="M30" s="706">
        <v>191.80367999999999</v>
      </c>
      <c r="N30" s="706"/>
      <c r="O30" s="706"/>
      <c r="P30" s="706"/>
      <c r="Q30" s="706">
        <v>193.45715999999999</v>
      </c>
      <c r="R30" s="706"/>
      <c r="S30" s="706">
        <v>184.08743999999999</v>
      </c>
      <c r="T30" s="706"/>
      <c r="U30" s="706"/>
      <c r="V30" s="706">
        <v>183.16883999999999</v>
      </c>
    </row>
    <row r="31" spans="6:22">
      <c r="F31" s="705"/>
      <c r="G31" s="705">
        <v>44459</v>
      </c>
      <c r="L31" s="706">
        <v>205.40253999999999</v>
      </c>
      <c r="M31" s="706">
        <v>194.65134</v>
      </c>
      <c r="N31" s="706"/>
      <c r="O31" s="706"/>
      <c r="P31" s="706"/>
      <c r="Q31" s="706">
        <v>196.02923999999999</v>
      </c>
      <c r="R31" s="706"/>
      <c r="S31" s="706">
        <v>185.74091999999999</v>
      </c>
      <c r="T31" s="706"/>
      <c r="U31" s="706"/>
      <c r="V31" s="706">
        <v>184.36302000000001</v>
      </c>
    </row>
    <row r="32" spans="6:22">
      <c r="F32" s="705"/>
      <c r="G32" s="705">
        <v>44466</v>
      </c>
      <c r="L32" s="706">
        <v>212.39035999999999</v>
      </c>
      <c r="M32" s="706">
        <v>200.98967999999999</v>
      </c>
      <c r="N32" s="706"/>
      <c r="O32" s="706"/>
      <c r="P32" s="706"/>
      <c r="Q32" s="706">
        <v>202.5513</v>
      </c>
      <c r="R32" s="706"/>
      <c r="S32" s="706">
        <v>192.17112</v>
      </c>
      <c r="T32" s="706"/>
      <c r="U32" s="706"/>
      <c r="V32" s="706">
        <v>190.33392000000001</v>
      </c>
    </row>
    <row r="33" spans="6:25">
      <c r="F33" s="705"/>
      <c r="G33" s="705">
        <v>44473</v>
      </c>
      <c r="L33" s="706">
        <v>212.88245999999998</v>
      </c>
      <c r="M33" s="706">
        <v>202.00013999999999</v>
      </c>
      <c r="N33" s="706"/>
      <c r="O33" s="706"/>
      <c r="P33" s="706"/>
      <c r="Q33" s="706">
        <v>204.11292</v>
      </c>
      <c r="R33" s="706"/>
      <c r="S33" s="706">
        <v>197.95829999999998</v>
      </c>
      <c r="T33" s="706"/>
      <c r="U33" s="706"/>
      <c r="V33" s="706">
        <v>196.30482000000001</v>
      </c>
    </row>
    <row r="34" spans="6:25">
      <c r="F34" s="705"/>
      <c r="G34" s="705">
        <v>44480</v>
      </c>
      <c r="L34" s="706">
        <v>209.83143999999999</v>
      </c>
      <c r="M34" s="706">
        <v>199.24433999999999</v>
      </c>
      <c r="N34" s="706"/>
      <c r="O34" s="706"/>
      <c r="P34" s="706"/>
      <c r="Q34" s="706">
        <v>201.54084</v>
      </c>
      <c r="R34" s="706"/>
      <c r="S34" s="706">
        <v>195.01877999999999</v>
      </c>
      <c r="T34" s="706"/>
      <c r="U34" s="706"/>
      <c r="V34" s="706">
        <v>193.73274000000001</v>
      </c>
    </row>
    <row r="35" spans="6:25">
      <c r="G35" s="705">
        <v>44487</v>
      </c>
      <c r="L35" s="706">
        <v>209.73301999999998</v>
      </c>
      <c r="M35" s="706">
        <v>198.60131999999999</v>
      </c>
      <c r="N35" s="706"/>
      <c r="O35" s="706"/>
      <c r="P35" s="706"/>
      <c r="Q35" s="706">
        <v>199.97922</v>
      </c>
      <c r="R35" s="706"/>
      <c r="S35" s="706">
        <v>195.01877999999999</v>
      </c>
      <c r="T35" s="706"/>
      <c r="U35" s="706"/>
      <c r="V35" s="706">
        <v>193.91646</v>
      </c>
    </row>
    <row r="36" spans="6:25">
      <c r="G36" s="705">
        <v>44494</v>
      </c>
      <c r="L36" s="706">
        <v>211.79983999999999</v>
      </c>
      <c r="M36" s="706">
        <v>200.89782</v>
      </c>
      <c r="N36" s="706"/>
      <c r="O36" s="706"/>
      <c r="P36" s="706"/>
      <c r="Q36" s="706">
        <v>202.5513</v>
      </c>
      <c r="R36" s="706"/>
      <c r="S36" s="706">
        <v>196.76411999999999</v>
      </c>
      <c r="T36" s="706"/>
      <c r="U36" s="706"/>
      <c r="V36" s="706">
        <v>195.93737999999999</v>
      </c>
    </row>
    <row r="37" spans="6:25">
      <c r="G37" s="705">
        <v>44501</v>
      </c>
      <c r="L37" s="706">
        <v>227.94072</v>
      </c>
      <c r="M37" s="706">
        <v>215.68727999999999</v>
      </c>
      <c r="N37" s="706"/>
      <c r="O37" s="706"/>
      <c r="P37" s="706"/>
      <c r="Q37" s="706">
        <v>216.42215999999999</v>
      </c>
      <c r="R37" s="706"/>
      <c r="S37" s="706">
        <v>206.59314000000001</v>
      </c>
      <c r="T37" s="706"/>
      <c r="U37" s="706"/>
      <c r="V37" s="706">
        <v>204.02106000000001</v>
      </c>
    </row>
    <row r="38" spans="6:25">
      <c r="G38" s="705">
        <v>44508</v>
      </c>
      <c r="L38" s="706">
        <v>217.11452</v>
      </c>
      <c r="M38" s="706">
        <v>206.13383999999999</v>
      </c>
      <c r="N38" s="706"/>
      <c r="O38" s="706"/>
      <c r="P38" s="706"/>
      <c r="Q38" s="706">
        <v>208.79777999999999</v>
      </c>
      <c r="R38" s="706"/>
      <c r="S38" s="706">
        <v>200.62224000000001</v>
      </c>
      <c r="T38" s="706"/>
      <c r="U38" s="706"/>
      <c r="V38" s="706">
        <v>197.86643999999998</v>
      </c>
    </row>
    <row r="39" spans="6:25">
      <c r="G39" s="705">
        <v>44515</v>
      </c>
      <c r="L39" s="706">
        <v>226.95651999999998</v>
      </c>
      <c r="M39" s="706">
        <v>214.58496</v>
      </c>
      <c r="N39" s="706"/>
      <c r="O39" s="706"/>
      <c r="P39" s="706"/>
      <c r="Q39" s="706">
        <v>216.51401999999999</v>
      </c>
      <c r="R39" s="706"/>
      <c r="S39" s="706">
        <v>206.685</v>
      </c>
      <c r="T39" s="706"/>
      <c r="U39" s="706"/>
      <c r="V39" s="706">
        <v>202.5513</v>
      </c>
    </row>
    <row r="40" spans="6:25">
      <c r="G40" s="705">
        <v>44522</v>
      </c>
      <c r="L40" s="706">
        <v>227.05493999999999</v>
      </c>
      <c r="M40" s="706">
        <v>214.67681999999999</v>
      </c>
      <c r="N40" s="706"/>
      <c r="O40" s="706"/>
      <c r="P40" s="706"/>
      <c r="Q40" s="706">
        <v>216.60587999999998</v>
      </c>
      <c r="R40" s="706"/>
      <c r="S40" s="706">
        <v>208.43034</v>
      </c>
      <c r="T40" s="706"/>
      <c r="U40" s="706"/>
      <c r="V40" s="706">
        <v>205.30709999999999</v>
      </c>
    </row>
    <row r="41" spans="6:25">
      <c r="G41" s="705">
        <v>44529</v>
      </c>
      <c r="L41" s="706">
        <v>228.72807999999998</v>
      </c>
      <c r="M41" s="706">
        <v>213.94193999999999</v>
      </c>
      <c r="N41" s="706"/>
      <c r="O41" s="706"/>
      <c r="P41" s="706"/>
      <c r="Q41" s="706">
        <v>215.50355999999999</v>
      </c>
      <c r="R41" s="706"/>
      <c r="S41" s="706">
        <v>207.6036</v>
      </c>
      <c r="T41" s="706"/>
      <c r="U41" s="706"/>
      <c r="V41" s="706">
        <v>204.38849999999999</v>
      </c>
    </row>
    <row r="42" spans="6:25">
      <c r="G42" s="705">
        <v>44536</v>
      </c>
      <c r="L42" s="706">
        <v>229.71227999999999</v>
      </c>
      <c r="M42" s="706">
        <v>214.40124</v>
      </c>
      <c r="N42" s="706"/>
      <c r="O42" s="706"/>
      <c r="P42" s="706"/>
      <c r="Q42" s="706">
        <v>215.22798</v>
      </c>
      <c r="R42" s="706"/>
      <c r="S42" s="706">
        <v>206.77686</v>
      </c>
      <c r="T42" s="706"/>
      <c r="U42" s="706"/>
      <c r="V42" s="706">
        <v>203.01059999999998</v>
      </c>
    </row>
    <row r="43" spans="6:25">
      <c r="G43" s="705">
        <v>44543</v>
      </c>
      <c r="M43" s="706">
        <v>214.95239999999998</v>
      </c>
      <c r="N43" s="706"/>
      <c r="O43" s="706">
        <v>215.77913999999998</v>
      </c>
      <c r="P43" s="706"/>
      <c r="Q43" s="706">
        <v>215.68727999999999</v>
      </c>
      <c r="R43" s="706"/>
      <c r="S43" s="706">
        <v>205.12338</v>
      </c>
      <c r="T43" s="706"/>
      <c r="U43" s="706"/>
      <c r="V43" s="706">
        <v>199.33619999999999</v>
      </c>
      <c r="W43" s="706"/>
      <c r="X43" s="706"/>
      <c r="Y43" s="706"/>
    </row>
    <row r="44" spans="6:25">
      <c r="G44" s="705">
        <v>44550</v>
      </c>
      <c r="M44" s="706">
        <v>217.15703999999999</v>
      </c>
      <c r="N44" s="706"/>
      <c r="O44" s="706">
        <v>217.52447999999998</v>
      </c>
      <c r="P44" s="706"/>
      <c r="Q44" s="706">
        <v>216.69773999999998</v>
      </c>
      <c r="R44" s="706"/>
      <c r="S44" s="706">
        <v>205.95012</v>
      </c>
      <c r="T44" s="706"/>
      <c r="U44" s="706"/>
      <c r="V44" s="706">
        <v>200.16293999999999</v>
      </c>
      <c r="W44" s="706"/>
      <c r="X44" s="706"/>
      <c r="Y44" s="706"/>
    </row>
    <row r="45" spans="6:25">
      <c r="G45" s="705">
        <v>44557</v>
      </c>
      <c r="M45" s="706">
        <v>225.88373999999999</v>
      </c>
      <c r="N45" s="706"/>
      <c r="O45" s="706">
        <v>226.61861999999999</v>
      </c>
      <c r="P45" s="706"/>
      <c r="Q45" s="706">
        <v>226.25118000000001</v>
      </c>
      <c r="R45" s="706"/>
      <c r="S45" s="706">
        <v>212.38031999999998</v>
      </c>
      <c r="T45" s="706"/>
      <c r="U45" s="706"/>
      <c r="V45" s="706">
        <v>204.66407999999998</v>
      </c>
      <c r="W45" s="706"/>
      <c r="X45" s="706"/>
      <c r="Y45" s="706"/>
    </row>
    <row r="46" spans="6:25">
      <c r="G46" s="705">
        <v>44564</v>
      </c>
      <c r="M46" s="706">
        <v>216.51401999999999</v>
      </c>
      <c r="N46" s="706"/>
      <c r="O46" s="706">
        <v>217.15703999999999</v>
      </c>
      <c r="P46" s="706"/>
      <c r="Q46" s="706">
        <v>216.69773999999998</v>
      </c>
      <c r="R46" s="706"/>
      <c r="S46" s="706">
        <v>206.50127999999998</v>
      </c>
      <c r="T46" s="706"/>
      <c r="U46" s="706"/>
      <c r="V46" s="706">
        <v>201.17339999999999</v>
      </c>
      <c r="W46" s="706">
        <v>203.83733999999998</v>
      </c>
      <c r="X46" s="706"/>
      <c r="Y46" s="706"/>
    </row>
    <row r="47" spans="6:25">
      <c r="G47" s="705">
        <v>44571</v>
      </c>
      <c r="M47" s="706">
        <v>220.37214</v>
      </c>
      <c r="N47" s="706"/>
      <c r="O47" s="706">
        <v>220.92329999999998</v>
      </c>
      <c r="P47" s="706"/>
      <c r="Q47" s="706">
        <v>220.09655999999998</v>
      </c>
      <c r="R47" s="706"/>
      <c r="S47" s="706">
        <v>209.16522000000001</v>
      </c>
      <c r="T47" s="706"/>
      <c r="U47" s="706"/>
      <c r="V47" s="706">
        <v>204.66407999999998</v>
      </c>
      <c r="W47" s="706">
        <v>207.51174</v>
      </c>
      <c r="X47" s="706"/>
      <c r="Y47" s="706"/>
    </row>
    <row r="48" spans="6:25">
      <c r="G48" s="705">
        <v>44579</v>
      </c>
      <c r="M48" s="706">
        <v>220.28028</v>
      </c>
      <c r="N48" s="706"/>
      <c r="O48" s="706">
        <v>220.464</v>
      </c>
      <c r="P48" s="706"/>
      <c r="Q48" s="706">
        <v>219.17795999999998</v>
      </c>
      <c r="R48" s="706"/>
      <c r="S48" s="706">
        <v>209.62451999999999</v>
      </c>
      <c r="T48" s="706"/>
      <c r="U48" s="706"/>
      <c r="V48" s="706">
        <v>204.93966</v>
      </c>
      <c r="W48" s="706">
        <v>207.78731999999999</v>
      </c>
      <c r="X48" s="706"/>
      <c r="Y48" s="706"/>
    </row>
    <row r="49" spans="7:27">
      <c r="G49" s="705">
        <v>44585</v>
      </c>
      <c r="M49" s="706">
        <v>228.18024</v>
      </c>
      <c r="N49" s="706"/>
      <c r="O49" s="706">
        <v>226.89419999999998</v>
      </c>
      <c r="P49" s="706"/>
      <c r="Q49" s="706">
        <v>224.41397999999998</v>
      </c>
      <c r="R49" s="706"/>
      <c r="S49" s="706">
        <v>213.20705999999998</v>
      </c>
      <c r="T49" s="706"/>
      <c r="U49" s="706"/>
      <c r="V49" s="706">
        <v>208.5222</v>
      </c>
      <c r="W49" s="706">
        <v>211.27799999999999</v>
      </c>
      <c r="X49" s="706"/>
      <c r="Y49" s="706"/>
    </row>
    <row r="50" spans="7:27">
      <c r="G50" s="705">
        <v>44592</v>
      </c>
      <c r="M50" s="706">
        <v>230.01743999999999</v>
      </c>
      <c r="N50" s="706"/>
      <c r="O50" s="706">
        <v>229.46627999999998</v>
      </c>
      <c r="P50" s="706"/>
      <c r="Q50" s="706">
        <v>227.53721999999999</v>
      </c>
      <c r="R50" s="706"/>
      <c r="S50" s="706">
        <v>215.13612000000001</v>
      </c>
      <c r="T50" s="706"/>
      <c r="U50" s="706"/>
      <c r="V50" s="706">
        <v>210.72683999999998</v>
      </c>
      <c r="W50" s="706">
        <v>213.48264</v>
      </c>
      <c r="X50" s="706"/>
      <c r="Y50" s="706"/>
    </row>
    <row r="51" spans="7:27">
      <c r="G51" s="705">
        <v>44599</v>
      </c>
      <c r="M51" s="706">
        <v>233.41625999999999</v>
      </c>
      <c r="N51" s="706"/>
      <c r="O51" s="706">
        <v>234.15114</v>
      </c>
      <c r="P51" s="706"/>
      <c r="Q51" s="706">
        <v>232.86509999999998</v>
      </c>
      <c r="R51" s="706"/>
      <c r="S51" s="706">
        <v>218.81052</v>
      </c>
      <c r="T51" s="706"/>
      <c r="U51" s="706"/>
      <c r="V51" s="706">
        <v>213.48264</v>
      </c>
      <c r="W51" s="706">
        <v>215.96286000000001</v>
      </c>
      <c r="X51" s="706"/>
      <c r="Y51" s="706"/>
    </row>
    <row r="52" spans="7:27">
      <c r="G52" s="705">
        <v>44606</v>
      </c>
      <c r="M52" s="706">
        <v>240.94878</v>
      </c>
      <c r="N52" s="706"/>
      <c r="O52" s="706">
        <v>240.76506000000001</v>
      </c>
      <c r="P52" s="706"/>
      <c r="Q52" s="706">
        <v>239.01972000000001</v>
      </c>
      <c r="R52" s="706"/>
      <c r="S52" s="706">
        <v>224.5977</v>
      </c>
      <c r="T52" s="706"/>
      <c r="U52" s="706"/>
      <c r="V52" s="706">
        <v>219.82097999999999</v>
      </c>
      <c r="W52" s="706">
        <v>222.39305999999999</v>
      </c>
      <c r="X52" s="706"/>
      <c r="Y52" s="706"/>
    </row>
    <row r="53" spans="7:27">
      <c r="G53" s="705">
        <v>44614</v>
      </c>
      <c r="M53" s="706">
        <v>247.93013999999999</v>
      </c>
      <c r="N53" s="706"/>
      <c r="O53" s="706">
        <v>247.10339999999999</v>
      </c>
      <c r="P53" s="706"/>
      <c r="Q53" s="706">
        <v>244.43946</v>
      </c>
      <c r="R53" s="706"/>
      <c r="S53" s="706">
        <v>228.18024</v>
      </c>
      <c r="T53" s="706"/>
      <c r="U53" s="706"/>
      <c r="V53" s="706">
        <v>222.57677999999999</v>
      </c>
      <c r="W53" s="706">
        <v>225.14885999999998</v>
      </c>
      <c r="X53" s="706"/>
      <c r="Y53" s="706"/>
    </row>
    <row r="54" spans="7:27">
      <c r="G54" s="705">
        <v>44620</v>
      </c>
      <c r="M54" s="706">
        <v>256.2894</v>
      </c>
      <c r="N54" s="706"/>
      <c r="O54" s="706">
        <v>253.80918</v>
      </c>
      <c r="P54" s="706"/>
      <c r="Q54" s="706">
        <v>248.75688</v>
      </c>
      <c r="R54" s="706"/>
      <c r="S54" s="706">
        <v>228.63953999999998</v>
      </c>
      <c r="T54" s="706"/>
      <c r="U54" s="706"/>
      <c r="V54" s="706">
        <v>223.12794</v>
      </c>
      <c r="W54" s="706">
        <v>224.96513999999999</v>
      </c>
      <c r="X54" s="706"/>
      <c r="Y54" s="706"/>
    </row>
    <row r="55" spans="7:27">
      <c r="G55" s="705">
        <v>44627</v>
      </c>
      <c r="O55" s="706">
        <v>275.85557999999997</v>
      </c>
      <c r="P55" s="706"/>
      <c r="Q55" s="706">
        <v>267.22073999999998</v>
      </c>
      <c r="R55" s="706"/>
      <c r="S55" s="706">
        <v>247.74642</v>
      </c>
      <c r="T55" s="706"/>
      <c r="U55" s="706"/>
      <c r="V55" s="706">
        <v>236.17205999999999</v>
      </c>
      <c r="W55" s="706">
        <v>234.97788</v>
      </c>
      <c r="X55" s="706"/>
      <c r="Y55" s="706"/>
      <c r="Z55" s="706">
        <v>214.12565999999998</v>
      </c>
    </row>
    <row r="56" spans="7:27">
      <c r="G56" s="705">
        <v>44634</v>
      </c>
      <c r="O56" s="706">
        <v>274.93698000000001</v>
      </c>
      <c r="P56" s="706"/>
      <c r="Q56" s="706">
        <v>264.00563999999997</v>
      </c>
      <c r="R56" s="706"/>
      <c r="S56" s="706">
        <v>246.46037999999999</v>
      </c>
      <c r="T56" s="706"/>
      <c r="U56" s="706"/>
      <c r="V56" s="706">
        <v>239.75459999999998</v>
      </c>
      <c r="W56" s="706">
        <v>239.01972000000001</v>
      </c>
      <c r="X56" s="706"/>
      <c r="Y56" s="706"/>
      <c r="Z56" s="706">
        <v>218.35121999999998</v>
      </c>
    </row>
    <row r="57" spans="7:27">
      <c r="G57" s="705">
        <v>44641</v>
      </c>
      <c r="O57" s="706">
        <v>277.87649999999996</v>
      </c>
      <c r="P57" s="706"/>
      <c r="Q57" s="706">
        <v>267.58817999999997</v>
      </c>
      <c r="R57" s="706"/>
      <c r="S57" s="706">
        <v>250.50221999999999</v>
      </c>
      <c r="T57" s="706"/>
      <c r="U57" s="706"/>
      <c r="V57" s="706">
        <v>243.98015999999998</v>
      </c>
      <c r="W57" s="706">
        <v>244.25574</v>
      </c>
      <c r="X57" s="706"/>
      <c r="Y57" s="706"/>
      <c r="Z57" s="706">
        <v>221.3826</v>
      </c>
    </row>
    <row r="58" spans="7:27">
      <c r="G58" s="705">
        <v>44648</v>
      </c>
      <c r="O58" s="706">
        <v>275.02884</v>
      </c>
      <c r="P58" s="706"/>
      <c r="Q58" s="706">
        <v>268.41492</v>
      </c>
      <c r="R58" s="706"/>
      <c r="S58" s="706">
        <v>250.50221999999999</v>
      </c>
      <c r="T58" s="706"/>
      <c r="U58" s="706"/>
      <c r="V58" s="706">
        <v>244.16388000000001</v>
      </c>
      <c r="W58" s="706">
        <v>244.80689999999998</v>
      </c>
      <c r="X58" s="706"/>
      <c r="Y58" s="706"/>
      <c r="Z58" s="706">
        <v>225.42444</v>
      </c>
    </row>
    <row r="59" spans="7:27">
      <c r="G59" s="705">
        <v>44655</v>
      </c>
      <c r="O59" s="706">
        <v>275.76371999999998</v>
      </c>
      <c r="P59" s="706"/>
      <c r="Q59" s="706">
        <v>271.63002</v>
      </c>
      <c r="R59" s="706"/>
      <c r="S59" s="706">
        <v>261.43356</v>
      </c>
      <c r="T59" s="706"/>
      <c r="U59" s="706"/>
      <c r="V59" s="706">
        <v>256.84055999999998</v>
      </c>
      <c r="W59" s="706">
        <v>257.57544000000001</v>
      </c>
      <c r="X59" s="706"/>
      <c r="Y59" s="706"/>
      <c r="Z59" s="706">
        <v>237.36624</v>
      </c>
    </row>
    <row r="60" spans="7:27">
      <c r="G60" s="705">
        <v>44662</v>
      </c>
      <c r="O60" s="706">
        <v>280.90787999999998</v>
      </c>
      <c r="P60" s="706"/>
      <c r="Q60" s="706">
        <v>278.79509999999999</v>
      </c>
      <c r="R60" s="706"/>
      <c r="S60" s="706">
        <v>268.13934</v>
      </c>
      <c r="T60" s="706"/>
      <c r="U60" s="706"/>
      <c r="V60" s="706">
        <v>263.82191999999998</v>
      </c>
      <c r="W60" s="706">
        <v>264.37308000000002</v>
      </c>
      <c r="X60" s="706"/>
      <c r="Y60" s="706"/>
      <c r="Z60" s="706">
        <v>245.08248</v>
      </c>
    </row>
    <row r="61" spans="7:27">
      <c r="G61" s="705">
        <v>44669</v>
      </c>
      <c r="O61" s="706">
        <v>298.82058000000001</v>
      </c>
      <c r="P61" s="706"/>
      <c r="Q61" s="706">
        <v>296.52407999999997</v>
      </c>
      <c r="R61" s="706"/>
      <c r="S61" s="706">
        <v>281.45904000000002</v>
      </c>
      <c r="T61" s="706"/>
      <c r="U61" s="706"/>
      <c r="V61" s="706">
        <v>275.48813999999999</v>
      </c>
      <c r="W61" s="706">
        <v>276.03929999999997</v>
      </c>
      <c r="X61" s="706"/>
      <c r="Y61" s="706"/>
      <c r="Z61" s="706">
        <v>254.26847999999998</v>
      </c>
    </row>
    <row r="62" spans="7:27">
      <c r="G62" s="705">
        <v>44676</v>
      </c>
      <c r="O62" s="706">
        <v>294.04386</v>
      </c>
      <c r="P62" s="706"/>
      <c r="Q62" s="706">
        <v>293.21711999999997</v>
      </c>
      <c r="R62" s="706"/>
      <c r="S62" s="706">
        <v>276.13115999999997</v>
      </c>
      <c r="T62" s="706"/>
      <c r="U62" s="706"/>
      <c r="V62" s="706">
        <v>269.70096000000001</v>
      </c>
      <c r="W62" s="706">
        <v>270.98699999999997</v>
      </c>
      <c r="X62" s="706"/>
      <c r="Y62" s="706"/>
      <c r="Z62" s="706">
        <v>253.34987999999998</v>
      </c>
    </row>
    <row r="63" spans="7:27">
      <c r="G63" s="705">
        <v>44683</v>
      </c>
      <c r="O63" s="706">
        <v>298.73</v>
      </c>
      <c r="P63" s="706">
        <v>0</v>
      </c>
      <c r="Q63" s="706">
        <v>295.24</v>
      </c>
      <c r="R63" s="706"/>
      <c r="S63" s="706">
        <v>278.43</v>
      </c>
      <c r="T63" s="706">
        <v>0</v>
      </c>
      <c r="U63" s="706"/>
      <c r="V63" s="706">
        <v>272.73</v>
      </c>
      <c r="W63" s="706">
        <v>274.11</v>
      </c>
      <c r="X63" s="706"/>
      <c r="Y63" s="706"/>
      <c r="Z63" s="706">
        <v>253.07</v>
      </c>
      <c r="AA63" s="706"/>
    </row>
    <row r="64" spans="7:27">
      <c r="G64" s="705">
        <v>44690</v>
      </c>
      <c r="O64" s="706">
        <v>288.25668000000002</v>
      </c>
      <c r="P64" s="706">
        <v>0</v>
      </c>
      <c r="Q64" s="706">
        <v>283.66368</v>
      </c>
      <c r="R64" s="706"/>
      <c r="S64" s="706">
        <v>267.86376000000001</v>
      </c>
      <c r="T64" s="706">
        <v>0</v>
      </c>
      <c r="U64" s="706"/>
      <c r="V64" s="706">
        <v>261.15798000000001</v>
      </c>
      <c r="W64" s="706">
        <v>262.62774000000002</v>
      </c>
      <c r="X64" s="706"/>
      <c r="Y64" s="706"/>
      <c r="Z64" s="706">
        <v>241.59180000000001</v>
      </c>
      <c r="AA64" s="706"/>
    </row>
    <row r="65" spans="7:27">
      <c r="G65" s="705">
        <v>44697</v>
      </c>
      <c r="O65" s="706">
        <v>0</v>
      </c>
      <c r="P65" s="706">
        <v>0</v>
      </c>
      <c r="Q65" s="706">
        <v>297.44268</v>
      </c>
      <c r="R65" s="706"/>
      <c r="S65" s="706">
        <v>285.86831999999998</v>
      </c>
      <c r="T65" s="706">
        <v>0</v>
      </c>
      <c r="U65" s="706"/>
      <c r="V65" s="706">
        <v>281.27531999999997</v>
      </c>
      <c r="W65" s="706">
        <v>282.19391999999999</v>
      </c>
      <c r="X65" s="706"/>
      <c r="Y65" s="706"/>
      <c r="Z65" s="706">
        <v>251.78825999999998</v>
      </c>
      <c r="AA65" s="706"/>
    </row>
    <row r="66" spans="7:27">
      <c r="G66" s="657">
        <v>44704</v>
      </c>
      <c r="P66" s="706"/>
      <c r="Q66" s="706">
        <v>288.8997</v>
      </c>
      <c r="R66" s="706"/>
      <c r="S66" s="706">
        <v>277.32533999999998</v>
      </c>
      <c r="T66" s="706"/>
      <c r="U66" s="706"/>
      <c r="V66" s="706">
        <v>271.53816</v>
      </c>
      <c r="W66" s="706">
        <v>272.64047999999997</v>
      </c>
      <c r="X66" s="706"/>
      <c r="Y66" s="706"/>
      <c r="Z66" s="706">
        <v>247.10339999999999</v>
      </c>
      <c r="AA66" s="706"/>
    </row>
    <row r="67" spans="7:27">
      <c r="G67" s="657">
        <v>44712</v>
      </c>
      <c r="P67" s="706"/>
      <c r="Q67" s="706">
        <v>276.86604</v>
      </c>
      <c r="R67" s="706"/>
      <c r="S67" s="706">
        <v>266.39400000000001</v>
      </c>
      <c r="T67" s="706"/>
      <c r="U67" s="706"/>
      <c r="V67" s="706">
        <v>261.43356</v>
      </c>
      <c r="W67" s="706">
        <v>263.27076</v>
      </c>
      <c r="X67" s="706"/>
      <c r="Y67" s="706"/>
      <c r="Z67" s="706">
        <v>241.59180000000001</v>
      </c>
      <c r="AA67" s="706"/>
    </row>
    <row r="68" spans="7:27">
      <c r="G68" s="657">
        <v>44718</v>
      </c>
      <c r="P68" s="706"/>
      <c r="Q68" s="706">
        <v>272.82420000000002</v>
      </c>
      <c r="R68" s="706"/>
      <c r="S68" s="706">
        <v>262.44401999999997</v>
      </c>
      <c r="T68" s="706"/>
      <c r="U68" s="706"/>
      <c r="V68" s="706">
        <v>258.1266</v>
      </c>
      <c r="W68" s="706">
        <v>259.87194</v>
      </c>
      <c r="X68" s="706"/>
      <c r="Y68" s="706"/>
      <c r="Z68" s="706">
        <v>239.38715999999999</v>
      </c>
      <c r="AA68" s="706"/>
    </row>
    <row r="69" spans="7:27">
      <c r="G69" s="657">
        <v>44725</v>
      </c>
      <c r="P69" s="706"/>
      <c r="Q69" s="706">
        <v>282.64999999999998</v>
      </c>
      <c r="R69" s="706"/>
      <c r="S69" s="706">
        <v>268.51</v>
      </c>
      <c r="T69" s="706"/>
      <c r="U69" s="706"/>
      <c r="V69" s="706">
        <v>265.11</v>
      </c>
      <c r="W69" s="706">
        <v>266.95</v>
      </c>
      <c r="X69" s="706">
        <v>247.65</v>
      </c>
      <c r="Y69" s="706"/>
      <c r="Z69" s="706"/>
      <c r="AA69" s="706"/>
    </row>
    <row r="70" spans="7:27">
      <c r="G70" s="657">
        <v>44733</v>
      </c>
      <c r="Q70" s="706">
        <v>279.52997999999997</v>
      </c>
      <c r="R70" s="706"/>
      <c r="S70" s="706">
        <v>260.60681999999997</v>
      </c>
      <c r="T70" s="706"/>
      <c r="U70" s="706"/>
      <c r="V70" s="706">
        <v>257.75916000000001</v>
      </c>
      <c r="W70" s="706">
        <v>259.68822</v>
      </c>
      <c r="X70" s="706">
        <v>239.2953</v>
      </c>
      <c r="Y70" s="706"/>
      <c r="Z70" s="706"/>
    </row>
    <row r="71" spans="7:27">
      <c r="G71" s="657">
        <v>44739</v>
      </c>
      <c r="Q71" s="706">
        <v>273.46722</v>
      </c>
      <c r="R71" s="706"/>
      <c r="S71" s="706">
        <v>242.96969999999999</v>
      </c>
      <c r="T71" s="706"/>
      <c r="U71" s="706"/>
      <c r="V71" s="706">
        <v>239.93832</v>
      </c>
      <c r="W71" s="706">
        <v>242.14295999999999</v>
      </c>
      <c r="X71" s="706">
        <v>227.62907999999999</v>
      </c>
      <c r="Y71" s="706"/>
      <c r="Z71" s="706"/>
    </row>
    <row r="72" spans="7:27">
      <c r="G72" s="657">
        <v>44747</v>
      </c>
      <c r="Q72" s="706">
        <v>270.43583999999998</v>
      </c>
      <c r="R72" s="706"/>
      <c r="S72" s="706">
        <v>217.61633999999998</v>
      </c>
      <c r="T72" s="706"/>
      <c r="U72" s="706"/>
      <c r="V72" s="706">
        <v>212.56404000000001</v>
      </c>
      <c r="W72" s="706">
        <v>214.95239999999998</v>
      </c>
      <c r="X72" s="706">
        <v>206.59314000000001</v>
      </c>
      <c r="Y72" s="706">
        <v>202.73501999999999</v>
      </c>
      <c r="Z72" s="706"/>
    </row>
    <row r="73" spans="7:27">
      <c r="G73" s="657">
        <v>44753</v>
      </c>
      <c r="Q73" s="706">
        <v>287.0625</v>
      </c>
      <c r="R73" s="706"/>
      <c r="S73" s="706">
        <v>234.05928</v>
      </c>
      <c r="T73" s="706"/>
      <c r="U73" s="706"/>
      <c r="V73" s="706">
        <v>231.11975999999999</v>
      </c>
      <c r="W73" s="706">
        <v>232.77323999999999</v>
      </c>
      <c r="X73" s="706">
        <v>216.97332</v>
      </c>
      <c r="Y73" s="706">
        <v>210.63497999999998</v>
      </c>
      <c r="Z73" s="706"/>
    </row>
    <row r="74" spans="7:27">
      <c r="G74" s="657">
        <v>44760</v>
      </c>
      <c r="Q74" s="706"/>
      <c r="R74" s="706"/>
      <c r="S74" s="706">
        <v>224.96513999999999</v>
      </c>
      <c r="T74" s="706"/>
      <c r="U74" s="706"/>
      <c r="V74" s="706">
        <v>224.41397999999998</v>
      </c>
      <c r="W74" s="706">
        <v>226.52676</v>
      </c>
      <c r="X74" s="706">
        <v>215.68727999999999</v>
      </c>
      <c r="Y74" s="706">
        <v>210.72683999999998</v>
      </c>
      <c r="Z74" s="706"/>
    </row>
    <row r="75" spans="7:27">
      <c r="G75" s="657">
        <v>44767</v>
      </c>
      <c r="S75" s="706">
        <v>213.11519999999999</v>
      </c>
      <c r="T75" s="706"/>
      <c r="U75" s="706"/>
      <c r="V75" s="706">
        <v>214.4931</v>
      </c>
      <c r="W75" s="706">
        <v>217.06518</v>
      </c>
      <c r="X75" s="706">
        <v>208.15475999999998</v>
      </c>
      <c r="Y75" s="706">
        <v>203.65361999999999</v>
      </c>
      <c r="Z75" s="706"/>
    </row>
    <row r="76" spans="7:27">
      <c r="G76" s="657">
        <v>44774</v>
      </c>
      <c r="S76" s="706">
        <v>223.03608</v>
      </c>
      <c r="T76" s="706"/>
      <c r="U76" s="706"/>
      <c r="V76" s="706">
        <v>224.04653999999999</v>
      </c>
      <c r="W76" s="706">
        <v>226.61861999999999</v>
      </c>
      <c r="X76" s="706">
        <v>217.24889999999999</v>
      </c>
      <c r="Y76" s="706">
        <v>212.38031999999998</v>
      </c>
      <c r="Z76" s="706"/>
    </row>
    <row r="77" spans="7:27">
      <c r="G77" s="657">
        <v>44781</v>
      </c>
      <c r="S77" s="706">
        <v>223.58723999999998</v>
      </c>
      <c r="T77" s="706"/>
      <c r="U77" s="706"/>
      <c r="V77" s="706">
        <v>223.12794</v>
      </c>
      <c r="W77" s="706">
        <v>226.06745999999998</v>
      </c>
      <c r="X77" s="706">
        <v>217.06518</v>
      </c>
      <c r="Y77" s="706">
        <v>213.20705999999998</v>
      </c>
      <c r="Z77" s="706"/>
    </row>
    <row r="78" spans="7:27">
      <c r="G78" s="657">
        <v>44788</v>
      </c>
      <c r="S78" s="706">
        <v>230.29301999999998</v>
      </c>
      <c r="T78" s="706"/>
      <c r="U78" s="706"/>
      <c r="V78" s="706">
        <v>230.84417999999999</v>
      </c>
      <c r="W78" s="706">
        <v>233.59997999999999</v>
      </c>
      <c r="X78" s="706">
        <v>222.57677999999999</v>
      </c>
      <c r="Y78" s="706">
        <v>219.08609999999999</v>
      </c>
      <c r="Z78" s="706"/>
    </row>
    <row r="79" spans="7:27">
      <c r="G79" s="657">
        <v>44795</v>
      </c>
      <c r="S79" s="706">
        <v>232.77323999999999</v>
      </c>
      <c r="T79" s="706"/>
      <c r="U79" s="706"/>
      <c r="V79" s="706">
        <v>231.11975999999999</v>
      </c>
      <c r="W79" s="706">
        <v>233.78369999999998</v>
      </c>
      <c r="X79" s="706">
        <v>222.20934</v>
      </c>
      <c r="Y79" s="706">
        <v>219.45354</v>
      </c>
      <c r="Z79" s="706"/>
    </row>
    <row r="80" spans="7:27">
      <c r="G80" s="657"/>
    </row>
    <row r="81" spans="7:7">
      <c r="G81" s="657"/>
    </row>
    <row r="82" spans="7:7">
      <c r="G82" s="657"/>
    </row>
    <row r="83" spans="7:7">
      <c r="G83" s="657"/>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pageSetUpPr fitToPage="1"/>
  </sheetPr>
  <dimension ref="A1:K42"/>
  <sheetViews>
    <sheetView topLeftCell="A16" workbookViewId="0">
      <selection activeCell="F47" sqref="F47"/>
    </sheetView>
  </sheetViews>
  <sheetFormatPr baseColWidth="10" defaultColWidth="11.08984375" defaultRowHeight="15" customHeight="1"/>
  <cols>
    <col min="1" max="1" width="4.453125" style="252" customWidth="1"/>
    <col min="2" max="2" width="8.90625" style="252" customWidth="1"/>
    <col min="3" max="5" width="10.26953125" style="252" customWidth="1"/>
    <col min="6" max="6" width="7.453125" style="252" customWidth="1"/>
    <col min="7" max="7" width="5.453125" style="252" customWidth="1"/>
    <col min="8" max="8" width="6.36328125" style="252" customWidth="1"/>
    <col min="9" max="16384" width="11.08984375" style="252"/>
  </cols>
  <sheetData>
    <row r="1" spans="1:8" s="253" customFormat="1" ht="9.9499999999999993" customHeight="1">
      <c r="A1" s="777"/>
      <c r="B1" s="777"/>
      <c r="C1" s="777"/>
      <c r="D1" s="777"/>
      <c r="E1" s="777"/>
      <c r="F1" s="777"/>
      <c r="G1" s="777"/>
      <c r="H1" s="361"/>
    </row>
    <row r="2" spans="1:8" s="253" customFormat="1" ht="15" customHeight="1">
      <c r="A2" s="789" t="s">
        <v>456</v>
      </c>
      <c r="B2" s="789"/>
      <c r="C2" s="789"/>
      <c r="D2" s="789"/>
      <c r="E2" s="789"/>
      <c r="F2" s="789"/>
      <c r="G2" s="789"/>
      <c r="H2" s="361"/>
    </row>
    <row r="3" spans="1:8" s="253" customFormat="1" ht="15" customHeight="1">
      <c r="A3" s="777" t="s">
        <v>457</v>
      </c>
      <c r="B3" s="777"/>
      <c r="C3" s="777"/>
      <c r="D3" s="777"/>
      <c r="E3" s="777"/>
      <c r="F3" s="777"/>
      <c r="G3" s="777"/>
      <c r="H3" s="361"/>
    </row>
    <row r="4" spans="1:8" s="253" customFormat="1" ht="15" customHeight="1">
      <c r="A4" s="264"/>
      <c r="B4" s="264"/>
      <c r="C4" s="264"/>
      <c r="D4" s="264"/>
      <c r="E4" s="264"/>
      <c r="F4" s="264"/>
      <c r="G4" s="264"/>
      <c r="H4" s="361"/>
    </row>
    <row r="5" spans="1:8" s="253" customFormat="1" ht="15" customHeight="1">
      <c r="A5" s="254"/>
      <c r="B5" s="255" t="s">
        <v>17</v>
      </c>
      <c r="C5" s="255"/>
      <c r="D5" s="255"/>
      <c r="E5" s="255"/>
      <c r="F5" s="255"/>
      <c r="G5" s="256" t="s">
        <v>18</v>
      </c>
      <c r="H5" s="101"/>
    </row>
    <row r="6" spans="1:8" s="253" customFormat="1" ht="9.9499999999999993" customHeight="1">
      <c r="A6" s="257"/>
      <c r="B6" s="257"/>
      <c r="C6" s="257"/>
      <c r="D6" s="257"/>
      <c r="E6" s="257"/>
      <c r="F6" s="257"/>
      <c r="G6" s="251"/>
      <c r="H6" s="361"/>
    </row>
    <row r="7" spans="1:8" s="253" customFormat="1" ht="27" customHeight="1">
      <c r="A7" s="265" t="s">
        <v>458</v>
      </c>
      <c r="B7" s="963" t="s">
        <v>459</v>
      </c>
      <c r="C7" s="963"/>
      <c r="D7" s="963"/>
      <c r="E7" s="963"/>
      <c r="F7" s="963"/>
      <c r="G7" s="358">
        <v>44</v>
      </c>
      <c r="H7" s="361"/>
    </row>
    <row r="8" spans="1:8" s="253" customFormat="1" ht="15" customHeight="1">
      <c r="A8" s="265" t="s">
        <v>460</v>
      </c>
      <c r="B8" s="958" t="s">
        <v>461</v>
      </c>
      <c r="C8" s="958"/>
      <c r="D8" s="958"/>
      <c r="E8" s="958"/>
      <c r="F8" s="958"/>
      <c r="G8" s="358">
        <v>45</v>
      </c>
      <c r="H8" s="361"/>
    </row>
    <row r="9" spans="1:8" s="253" customFormat="1" ht="15" customHeight="1">
      <c r="A9" s="265" t="s">
        <v>462</v>
      </c>
      <c r="B9" s="958" t="s">
        <v>463</v>
      </c>
      <c r="C9" s="958"/>
      <c r="D9" s="958"/>
      <c r="E9" s="958"/>
      <c r="F9" s="958"/>
      <c r="G9" s="358">
        <v>46</v>
      </c>
      <c r="H9" s="361"/>
    </row>
    <row r="10" spans="1:8" s="253" customFormat="1" ht="12.75">
      <c r="A10" s="265" t="s">
        <v>464</v>
      </c>
      <c r="B10" s="958" t="s">
        <v>465</v>
      </c>
      <c r="C10" s="958"/>
      <c r="D10" s="958"/>
      <c r="E10" s="958"/>
      <c r="F10" s="958"/>
      <c r="G10" s="358">
        <v>47</v>
      </c>
      <c r="H10" s="361"/>
    </row>
    <row r="11" spans="1:8" s="253" customFormat="1" ht="27" customHeight="1">
      <c r="A11" s="265" t="s">
        <v>466</v>
      </c>
      <c r="B11" s="958" t="s">
        <v>467</v>
      </c>
      <c r="C11" s="958"/>
      <c r="D11" s="958"/>
      <c r="E11" s="958"/>
      <c r="F11" s="958"/>
      <c r="G11" s="358">
        <v>48</v>
      </c>
      <c r="H11" s="361"/>
    </row>
    <row r="12" spans="1:8" s="253" customFormat="1" ht="15" customHeight="1">
      <c r="A12" s="265" t="s">
        <v>468</v>
      </c>
      <c r="B12" s="958" t="s">
        <v>469</v>
      </c>
      <c r="C12" s="958"/>
      <c r="D12" s="958"/>
      <c r="E12" s="958"/>
      <c r="F12" s="958"/>
      <c r="G12" s="358">
        <v>49</v>
      </c>
      <c r="H12" s="361"/>
    </row>
    <row r="13" spans="1:8" s="253" customFormat="1" ht="15" customHeight="1">
      <c r="A13" s="265" t="s">
        <v>470</v>
      </c>
      <c r="B13" s="958" t="s">
        <v>471</v>
      </c>
      <c r="C13" s="958"/>
      <c r="D13" s="958"/>
      <c r="E13" s="958"/>
      <c r="F13" s="958"/>
      <c r="G13" s="358">
        <v>50</v>
      </c>
      <c r="H13" s="361"/>
    </row>
    <row r="14" spans="1:8" s="253" customFormat="1" ht="15" customHeight="1">
      <c r="A14" s="265" t="s">
        <v>472</v>
      </c>
      <c r="B14" s="959" t="s">
        <v>473</v>
      </c>
      <c r="C14" s="959"/>
      <c r="D14" s="959"/>
      <c r="E14" s="959"/>
      <c r="F14" s="959"/>
      <c r="G14" s="358">
        <v>51</v>
      </c>
      <c r="H14" s="361"/>
    </row>
    <row r="15" spans="1:8" s="253" customFormat="1" ht="15" customHeight="1">
      <c r="A15" s="265" t="s">
        <v>474</v>
      </c>
      <c r="B15" s="959" t="s">
        <v>475</v>
      </c>
      <c r="C15" s="959"/>
      <c r="D15" s="959"/>
      <c r="E15" s="959"/>
      <c r="F15" s="959"/>
      <c r="G15" s="358">
        <v>52</v>
      </c>
      <c r="H15" s="361"/>
    </row>
    <row r="16" spans="1:8" s="253" customFormat="1" ht="15" customHeight="1">
      <c r="A16" s="265" t="s">
        <v>476</v>
      </c>
      <c r="B16" s="959" t="s">
        <v>477</v>
      </c>
      <c r="C16" s="959"/>
      <c r="D16" s="959"/>
      <c r="E16" s="959"/>
      <c r="F16" s="959"/>
      <c r="G16" s="358">
        <v>53</v>
      </c>
      <c r="H16" s="361"/>
    </row>
    <row r="17" spans="1:8" s="253" customFormat="1" ht="15" customHeight="1">
      <c r="A17" s="265" t="s">
        <v>478</v>
      </c>
      <c r="B17" s="958" t="s">
        <v>479</v>
      </c>
      <c r="C17" s="958"/>
      <c r="D17" s="958"/>
      <c r="E17" s="958"/>
      <c r="F17" s="958"/>
      <c r="G17" s="358">
        <v>54</v>
      </c>
      <c r="H17" s="361"/>
    </row>
    <row r="18" spans="1:8" s="253" customFormat="1" ht="15" customHeight="1">
      <c r="A18" s="265" t="s">
        <v>480</v>
      </c>
      <c r="B18" s="958" t="s">
        <v>234</v>
      </c>
      <c r="C18" s="958"/>
      <c r="D18" s="958"/>
      <c r="E18" s="958"/>
      <c r="F18" s="958"/>
      <c r="G18" s="358">
        <v>55</v>
      </c>
      <c r="H18" s="361"/>
    </row>
    <row r="19" spans="1:8" s="253" customFormat="1" ht="15" customHeight="1">
      <c r="A19" s="265" t="s">
        <v>481</v>
      </c>
      <c r="B19" s="958" t="s">
        <v>50</v>
      </c>
      <c r="C19" s="958"/>
      <c r="D19" s="958"/>
      <c r="E19" s="958"/>
      <c r="F19" s="958"/>
      <c r="G19" s="358">
        <v>56</v>
      </c>
      <c r="H19" s="361"/>
    </row>
    <row r="20" spans="1:8" s="253" customFormat="1" ht="15" customHeight="1">
      <c r="A20" s="265" t="s">
        <v>482</v>
      </c>
      <c r="B20" s="958" t="s">
        <v>483</v>
      </c>
      <c r="C20" s="958"/>
      <c r="D20" s="958"/>
      <c r="E20" s="958"/>
      <c r="F20" s="958"/>
      <c r="G20" s="358">
        <v>57</v>
      </c>
      <c r="H20" s="361"/>
    </row>
    <row r="21" spans="1:8" s="253" customFormat="1" ht="30.75" customHeight="1">
      <c r="A21" s="262" t="s">
        <v>484</v>
      </c>
      <c r="B21" s="958" t="s">
        <v>485</v>
      </c>
      <c r="C21" s="958"/>
      <c r="D21" s="958"/>
      <c r="E21" s="958"/>
      <c r="F21" s="958"/>
      <c r="G21" s="358">
        <v>59</v>
      </c>
      <c r="H21" s="361"/>
    </row>
    <row r="22" spans="1:8" s="253" customFormat="1" ht="15" customHeight="1">
      <c r="A22" s="361"/>
      <c r="B22" s="257"/>
      <c r="C22" s="257"/>
      <c r="D22" s="257"/>
      <c r="E22" s="257"/>
      <c r="F22" s="257"/>
      <c r="G22" s="359"/>
      <c r="H22" s="361"/>
    </row>
    <row r="23" spans="1:8" s="253" customFormat="1" ht="15" customHeight="1">
      <c r="A23" s="254" t="s">
        <v>72</v>
      </c>
      <c r="B23" s="255" t="s">
        <v>17</v>
      </c>
      <c r="C23" s="255"/>
      <c r="D23" s="255"/>
      <c r="E23" s="255"/>
      <c r="F23" s="255"/>
      <c r="G23" s="256" t="s">
        <v>18</v>
      </c>
      <c r="H23" s="361"/>
    </row>
    <row r="24" spans="1:8" s="253" customFormat="1" ht="12" customHeight="1">
      <c r="A24" s="361"/>
      <c r="B24" s="257"/>
      <c r="C24" s="257"/>
      <c r="D24" s="257"/>
      <c r="E24" s="257"/>
      <c r="F24" s="257"/>
      <c r="G24" s="251"/>
      <c r="H24" s="361"/>
    </row>
    <row r="25" spans="1:8" s="253" customFormat="1" ht="15.75" customHeight="1">
      <c r="A25" s="265" t="s">
        <v>458</v>
      </c>
      <c r="B25" s="919" t="s">
        <v>486</v>
      </c>
      <c r="C25" s="919"/>
      <c r="D25" s="919"/>
      <c r="E25" s="919"/>
      <c r="F25" s="919"/>
      <c r="G25" s="360">
        <v>44</v>
      </c>
      <c r="H25" s="361"/>
    </row>
    <row r="26" spans="1:8" s="253" customFormat="1" ht="15.75" customHeight="1">
      <c r="A26" s="265" t="s">
        <v>460</v>
      </c>
      <c r="B26" s="962" t="s">
        <v>487</v>
      </c>
      <c r="C26" s="962"/>
      <c r="D26" s="962"/>
      <c r="E26" s="962"/>
      <c r="F26" s="962"/>
      <c r="G26" s="360">
        <v>45</v>
      </c>
      <c r="H26" s="361"/>
    </row>
    <row r="27" spans="1:8" s="253" customFormat="1" ht="30.75" customHeight="1">
      <c r="A27" s="265" t="s">
        <v>462</v>
      </c>
      <c r="B27" s="958" t="s">
        <v>488</v>
      </c>
      <c r="C27" s="958"/>
      <c r="D27" s="958"/>
      <c r="E27" s="958"/>
      <c r="F27" s="958"/>
      <c r="G27" s="360">
        <v>47</v>
      </c>
      <c r="H27" s="361"/>
    </row>
    <row r="28" spans="1:8" s="253" customFormat="1" ht="18" customHeight="1">
      <c r="A28" s="541" t="s">
        <v>464</v>
      </c>
      <c r="B28" s="962" t="s">
        <v>489</v>
      </c>
      <c r="C28" s="962"/>
      <c r="D28" s="962"/>
      <c r="E28" s="962"/>
      <c r="F28" s="962"/>
      <c r="G28" s="360">
        <v>50</v>
      </c>
      <c r="H28" s="361"/>
    </row>
    <row r="29" spans="1:8" s="253" customFormat="1" ht="18.95" customHeight="1">
      <c r="A29" s="541" t="s">
        <v>466</v>
      </c>
      <c r="B29" s="919" t="s">
        <v>490</v>
      </c>
      <c r="C29" s="921"/>
      <c r="D29" s="921"/>
      <c r="E29" s="921"/>
      <c r="F29" s="921"/>
      <c r="G29" s="360">
        <v>51</v>
      </c>
      <c r="H29" s="361"/>
    </row>
    <row r="30" spans="1:8" s="253" customFormat="1" ht="17.25" customHeight="1">
      <c r="A30" s="541" t="s">
        <v>468</v>
      </c>
      <c r="B30" s="919" t="s">
        <v>491</v>
      </c>
      <c r="C30" s="921"/>
      <c r="D30" s="921"/>
      <c r="E30" s="921"/>
      <c r="F30" s="921"/>
      <c r="G30" s="360">
        <v>52</v>
      </c>
      <c r="H30" s="361"/>
    </row>
    <row r="31" spans="1:8" s="253" customFormat="1" ht="15" customHeight="1">
      <c r="A31" s="541" t="s">
        <v>470</v>
      </c>
      <c r="B31" s="960" t="s">
        <v>492</v>
      </c>
      <c r="C31" s="961"/>
      <c r="D31" s="961"/>
      <c r="E31" s="961"/>
      <c r="F31" s="961"/>
      <c r="G31" s="360">
        <v>53</v>
      </c>
      <c r="H31" s="361"/>
    </row>
    <row r="32" spans="1:8" s="253" customFormat="1" ht="15" customHeight="1">
      <c r="A32" s="541" t="s">
        <v>472</v>
      </c>
      <c r="B32" s="962" t="s">
        <v>493</v>
      </c>
      <c r="C32" s="962"/>
      <c r="D32" s="962"/>
      <c r="E32" s="962"/>
      <c r="F32" s="962"/>
      <c r="G32" s="360">
        <v>54</v>
      </c>
      <c r="H32" s="361"/>
    </row>
    <row r="33" spans="1:11" s="253" customFormat="1" ht="15" customHeight="1">
      <c r="A33" s="541" t="s">
        <v>474</v>
      </c>
      <c r="B33" s="962" t="s">
        <v>494</v>
      </c>
      <c r="C33" s="962"/>
      <c r="D33" s="962"/>
      <c r="E33" s="962"/>
      <c r="F33" s="962"/>
      <c r="G33" s="360">
        <v>55</v>
      </c>
      <c r="H33" s="361"/>
      <c r="I33" s="361"/>
      <c r="J33" s="361"/>
      <c r="K33" s="361"/>
    </row>
    <row r="34" spans="1:11" s="253" customFormat="1" ht="19.5" customHeight="1">
      <c r="A34" s="541" t="s">
        <v>476</v>
      </c>
      <c r="B34" s="962" t="s">
        <v>495</v>
      </c>
      <c r="C34" s="962"/>
      <c r="D34" s="962"/>
      <c r="E34" s="962"/>
      <c r="F34" s="962"/>
      <c r="G34" s="360">
        <v>57</v>
      </c>
      <c r="H34" s="361"/>
      <c r="I34" s="361"/>
      <c r="J34" s="361"/>
      <c r="K34" s="361"/>
    </row>
    <row r="35" spans="1:11" s="253" customFormat="1" ht="16.5" customHeight="1">
      <c r="A35" s="361" t="s">
        <v>478</v>
      </c>
      <c r="B35" s="960" t="s">
        <v>496</v>
      </c>
      <c r="C35" s="961"/>
      <c r="D35" s="961"/>
      <c r="E35" s="961"/>
      <c r="F35" s="961"/>
      <c r="G35" s="360">
        <v>58</v>
      </c>
      <c r="H35" s="361"/>
      <c r="I35" s="361"/>
      <c r="J35" s="361"/>
      <c r="K35" s="361"/>
    </row>
    <row r="36" spans="1:11" s="253" customFormat="1" ht="30.75" customHeight="1">
      <c r="A36" s="361" t="s">
        <v>480</v>
      </c>
      <c r="B36" s="960" t="s">
        <v>497</v>
      </c>
      <c r="C36" s="960"/>
      <c r="D36" s="960"/>
      <c r="E36" s="960"/>
      <c r="F36" s="960"/>
      <c r="G36" s="360">
        <v>60</v>
      </c>
      <c r="H36" s="361"/>
      <c r="I36" s="361"/>
      <c r="J36" s="361"/>
      <c r="K36" s="361"/>
    </row>
    <row r="37" spans="1:11" s="253" customFormat="1" ht="37.5" customHeight="1">
      <c r="A37" s="361" t="s">
        <v>481</v>
      </c>
      <c r="B37" s="960" t="s">
        <v>498</v>
      </c>
      <c r="C37" s="960"/>
      <c r="D37" s="960"/>
      <c r="E37" s="960"/>
      <c r="F37" s="960"/>
      <c r="G37" s="360">
        <v>61</v>
      </c>
      <c r="H37" s="361"/>
      <c r="I37" s="361"/>
      <c r="J37" s="361"/>
      <c r="K37" s="447"/>
    </row>
    <row r="38" spans="1:11" s="253" customFormat="1" ht="12" customHeight="1">
      <c r="A38" s="260"/>
      <c r="B38" s="361"/>
      <c r="C38" s="361"/>
      <c r="D38" s="361"/>
      <c r="E38" s="361"/>
      <c r="F38" s="361"/>
      <c r="G38" s="361"/>
      <c r="H38" s="361"/>
      <c r="I38" s="361"/>
      <c r="J38" s="361"/>
      <c r="K38" s="447"/>
    </row>
    <row r="39" spans="1:11" s="253" customFormat="1" ht="12" customHeight="1">
      <c r="A39" s="361"/>
      <c r="B39" s="102"/>
      <c r="C39" s="361"/>
      <c r="D39" s="361"/>
      <c r="E39" s="361"/>
      <c r="F39" s="361"/>
      <c r="G39" s="361"/>
      <c r="H39" s="361"/>
      <c r="I39" s="361"/>
      <c r="J39" s="361"/>
      <c r="K39" s="447"/>
    </row>
    <row r="40" spans="1:11" ht="15" customHeight="1">
      <c r="B40" s="361"/>
      <c r="C40" s="361"/>
      <c r="D40" s="361"/>
      <c r="E40" s="361"/>
      <c r="F40" s="361"/>
      <c r="G40" s="361"/>
      <c r="H40" s="361"/>
    </row>
    <row r="41" spans="1:11" ht="15" customHeight="1">
      <c r="A41" s="262"/>
    </row>
    <row r="42" spans="1:11" ht="15" customHeight="1">
      <c r="B42" s="920"/>
      <c r="C42" s="920"/>
      <c r="D42" s="920"/>
      <c r="E42" s="920"/>
      <c r="F42" s="920"/>
    </row>
  </sheetData>
  <mergeCells count="32">
    <mergeCell ref="B42:F42"/>
    <mergeCell ref="B26:F26"/>
    <mergeCell ref="B27:F27"/>
    <mergeCell ref="B28:F28"/>
    <mergeCell ref="B29:F29"/>
    <mergeCell ref="B34:F34"/>
    <mergeCell ref="B35:F35"/>
    <mergeCell ref="B36:F36"/>
    <mergeCell ref="B37:F37"/>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phoneticPr fontId="47" type="noConversion"/>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 ref="G37" location="'61'!A1" display="'61'!A1" xr:uid="{E2CE65FC-9153-4DB8-A450-CDF82036A244}"/>
  </hyperlinks>
  <pageMargins left="0.70866141732283472" right="0.70866141732283472" top="1.299212598425197" bottom="0.74803149606299213" header="0.31496062992125984" footer="0.31496062992125984"/>
  <pageSetup paperSize="126"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BC56"/>
  <sheetViews>
    <sheetView topLeftCell="A9" zoomScale="80" zoomScaleNormal="80" workbookViewId="0">
      <selection activeCell="U23" sqref="U23"/>
    </sheetView>
  </sheetViews>
  <sheetFormatPr baseColWidth="10" defaultColWidth="10.90625" defaultRowHeight="12"/>
  <cols>
    <col min="1" max="1" width="0.6328125" style="1" customWidth="1"/>
    <col min="2" max="2" width="10.08984375" style="1" customWidth="1"/>
    <col min="3" max="7" width="10.7265625" style="1" customWidth="1"/>
    <col min="8" max="8" width="4.36328125" style="1" customWidth="1"/>
    <col min="9" max="9" width="7.90625" style="1" hidden="1" customWidth="1"/>
    <col min="10" max="10" width="5.453125" style="1" hidden="1" customWidth="1"/>
    <col min="11" max="15" width="7.90625" style="1" hidden="1" customWidth="1"/>
    <col min="16" max="16" width="5.453125" style="1" hidden="1" customWidth="1"/>
    <col min="17" max="17" width="6.6328125" style="1" hidden="1" customWidth="1"/>
    <col min="18" max="19" width="7.90625" style="1" hidden="1" customWidth="1"/>
    <col min="20" max="16384" width="10.90625" style="1"/>
  </cols>
  <sheetData>
    <row r="1" spans="2:55" s="15" customFormat="1" ht="12.75">
      <c r="B1" s="767" t="s">
        <v>86</v>
      </c>
      <c r="C1" s="767"/>
      <c r="D1" s="767"/>
      <c r="E1" s="767"/>
      <c r="F1" s="767"/>
      <c r="G1" s="767"/>
      <c r="I1" s="970" t="s">
        <v>499</v>
      </c>
      <c r="J1" s="965"/>
      <c r="K1" s="965"/>
      <c r="L1" s="965"/>
      <c r="M1" s="965"/>
      <c r="N1" s="965"/>
      <c r="O1" s="965"/>
      <c r="P1" s="965"/>
      <c r="Q1" s="965"/>
      <c r="R1" s="965"/>
      <c r="S1" s="965"/>
    </row>
    <row r="2" spans="2:55" s="15" customFormat="1" ht="12.75">
      <c r="B2" s="17"/>
      <c r="C2" s="17"/>
      <c r="D2" s="17"/>
      <c r="E2" s="17"/>
      <c r="F2" s="17"/>
      <c r="G2" s="17"/>
    </row>
    <row r="3" spans="2:55" s="15" customFormat="1" ht="13.7" customHeight="1">
      <c r="B3" s="858" t="s">
        <v>712</v>
      </c>
      <c r="C3" s="858"/>
      <c r="D3" s="858"/>
      <c r="E3" s="858"/>
      <c r="F3" s="858"/>
      <c r="G3" s="858"/>
      <c r="I3" s="964" t="s">
        <v>500</v>
      </c>
      <c r="J3" s="965"/>
      <c r="K3" s="965"/>
      <c r="L3" s="965"/>
      <c r="M3" s="965"/>
      <c r="N3" s="965"/>
      <c r="O3" s="965"/>
      <c r="P3" s="965"/>
      <c r="Q3" s="965"/>
      <c r="R3" s="965"/>
      <c r="S3" s="965"/>
    </row>
    <row r="4" spans="2:55" s="15" customFormat="1" ht="12.75">
      <c r="B4" s="767" t="s">
        <v>87</v>
      </c>
      <c r="C4" s="767"/>
      <c r="D4" s="767"/>
      <c r="E4" s="767"/>
      <c r="F4" s="767"/>
      <c r="G4" s="767"/>
    </row>
    <row r="5" spans="2:55" s="22" customFormat="1" ht="30" customHeight="1">
      <c r="B5" s="174" t="s">
        <v>88</v>
      </c>
      <c r="C5" s="103" t="s">
        <v>376</v>
      </c>
      <c r="D5" s="103" t="s">
        <v>90</v>
      </c>
      <c r="E5" s="103" t="s">
        <v>91</v>
      </c>
      <c r="F5" s="103" t="s">
        <v>92</v>
      </c>
      <c r="G5" s="103" t="s">
        <v>377</v>
      </c>
      <c r="H5" s="15"/>
      <c r="I5" s="964" t="s">
        <v>501</v>
      </c>
      <c r="J5" s="965"/>
      <c r="K5" s="965"/>
      <c r="L5" s="965"/>
      <c r="M5" s="965"/>
      <c r="N5" s="965"/>
      <c r="O5" s="965"/>
      <c r="P5" s="965"/>
      <c r="Q5" s="965"/>
      <c r="R5" s="965"/>
      <c r="S5" s="965"/>
    </row>
    <row r="6" spans="2:55" s="22" customFormat="1" ht="15.6" customHeight="1">
      <c r="B6" s="618">
        <v>44682</v>
      </c>
      <c r="C6" s="337">
        <v>190.07</v>
      </c>
      <c r="D6" s="337">
        <v>514.63</v>
      </c>
      <c r="E6" s="337">
        <v>518.44000000000005</v>
      </c>
      <c r="F6" s="337">
        <v>54.2</v>
      </c>
      <c r="G6" s="337">
        <v>186.26</v>
      </c>
    </row>
    <row r="7" spans="2:55" s="22" customFormat="1" ht="15.75" customHeight="1">
      <c r="B7" s="618">
        <v>44713</v>
      </c>
      <c r="C7" s="337">
        <v>187.31</v>
      </c>
      <c r="D7" s="337">
        <v>515.35</v>
      </c>
      <c r="E7" s="337">
        <v>519.22</v>
      </c>
      <c r="F7" s="337">
        <v>54.2</v>
      </c>
      <c r="G7" s="337">
        <v>183.44</v>
      </c>
      <c r="H7" s="26"/>
      <c r="I7" s="964" t="s">
        <v>502</v>
      </c>
      <c r="J7" s="965"/>
      <c r="K7" s="965"/>
      <c r="L7" s="965"/>
      <c r="M7" s="965"/>
      <c r="N7" s="965"/>
      <c r="O7" s="965"/>
      <c r="P7" s="965"/>
      <c r="Q7" s="965"/>
      <c r="R7" s="965"/>
      <c r="S7" s="965"/>
    </row>
    <row r="8" spans="2:55" s="22" customFormat="1" ht="15.75" customHeight="1" thickBot="1">
      <c r="B8" s="618">
        <v>44743</v>
      </c>
      <c r="C8" s="337">
        <v>186.64</v>
      </c>
      <c r="D8" s="337">
        <v>514.76</v>
      </c>
      <c r="E8" s="337">
        <v>518.63</v>
      </c>
      <c r="F8" s="337">
        <v>54.61</v>
      </c>
      <c r="G8" s="337">
        <v>182.76</v>
      </c>
      <c r="I8" s="175"/>
      <c r="J8" s="175"/>
      <c r="K8" s="175"/>
      <c r="L8" s="175"/>
      <c r="M8" s="175"/>
      <c r="N8" s="175"/>
      <c r="O8" s="175"/>
      <c r="P8" s="175"/>
      <c r="Q8" s="175"/>
      <c r="R8" s="175"/>
      <c r="S8" s="175"/>
    </row>
    <row r="9" spans="2:55" s="22" customFormat="1" ht="15.75" customHeight="1" thickTop="1" thickBot="1">
      <c r="B9" s="618">
        <v>44774</v>
      </c>
      <c r="C9" s="337">
        <v>184.82</v>
      </c>
      <c r="D9" s="337">
        <v>512.44000000000005</v>
      </c>
      <c r="E9" s="337">
        <v>518.74</v>
      </c>
      <c r="F9" s="337">
        <v>54.67</v>
      </c>
      <c r="G9" s="337">
        <v>178.52</v>
      </c>
      <c r="I9" s="966" t="s">
        <v>503</v>
      </c>
      <c r="J9" s="967"/>
      <c r="K9" s="176" t="s">
        <v>504</v>
      </c>
      <c r="L9" s="176" t="s">
        <v>505</v>
      </c>
      <c r="M9" s="176" t="s">
        <v>506</v>
      </c>
      <c r="N9" s="176" t="s">
        <v>507</v>
      </c>
      <c r="O9" s="176" t="s">
        <v>508</v>
      </c>
      <c r="P9" s="968" t="s">
        <v>509</v>
      </c>
      <c r="Q9" s="969"/>
      <c r="R9" s="175"/>
      <c r="S9" s="175"/>
    </row>
    <row r="10" spans="2:55" s="22" customFormat="1" ht="15.75" customHeight="1" thickTop="1">
      <c r="B10" s="618">
        <v>44805</v>
      </c>
      <c r="C10" s="336"/>
      <c r="D10" s="336"/>
      <c r="E10" s="336"/>
      <c r="F10" s="336"/>
      <c r="G10" s="336"/>
      <c r="H10" s="26" t="s">
        <v>663</v>
      </c>
      <c r="I10" s="177"/>
      <c r="J10" s="178"/>
      <c r="K10" s="179"/>
      <c r="L10" s="179"/>
      <c r="M10" s="179"/>
      <c r="N10" s="179"/>
      <c r="O10" s="179"/>
      <c r="P10" s="971"/>
      <c r="Q10" s="972"/>
      <c r="R10" s="175"/>
      <c r="S10" s="175"/>
      <c r="T10" s="180"/>
      <c r="U10" s="180"/>
      <c r="V10" s="180"/>
      <c r="W10" s="180"/>
      <c r="X10" s="180"/>
      <c r="Y10" s="181"/>
      <c r="Z10" s="97"/>
    </row>
    <row r="11" spans="2:55" s="22" customFormat="1" ht="15.75" customHeight="1">
      <c r="B11" s="618">
        <v>44835</v>
      </c>
      <c r="C11" s="336"/>
      <c r="D11" s="336"/>
      <c r="E11" s="336"/>
      <c r="F11" s="336"/>
      <c r="G11" s="336"/>
      <c r="H11" s="26"/>
      <c r="I11" s="973" t="s">
        <v>510</v>
      </c>
      <c r="J11" s="182" t="s">
        <v>511</v>
      </c>
      <c r="K11" s="183">
        <v>103.46</v>
      </c>
      <c r="L11" s="183">
        <v>469.5</v>
      </c>
      <c r="M11" s="183">
        <v>39.659999999999997</v>
      </c>
      <c r="N11" s="183">
        <v>483.68</v>
      </c>
      <c r="O11" s="183">
        <v>41.62</v>
      </c>
      <c r="P11" s="974">
        <v>89.28</v>
      </c>
      <c r="Q11" s="965"/>
      <c r="R11" s="175"/>
      <c r="S11" s="175"/>
      <c r="T11" s="184"/>
      <c r="U11" s="431"/>
      <c r="V11" s="184"/>
      <c r="W11" s="184"/>
      <c r="X11" s="184"/>
      <c r="Y11" s="185"/>
      <c r="Z11" s="186"/>
    </row>
    <row r="12" spans="2:55" s="22" customFormat="1" ht="15.75" customHeight="1">
      <c r="B12" s="618">
        <v>44866</v>
      </c>
      <c r="C12" s="336"/>
      <c r="D12" s="336"/>
      <c r="E12" s="336"/>
      <c r="F12" s="336"/>
      <c r="G12" s="336"/>
      <c r="H12" s="26"/>
      <c r="I12" s="965"/>
      <c r="J12" s="182" t="s">
        <v>512</v>
      </c>
      <c r="K12" s="183">
        <v>103.65</v>
      </c>
      <c r="L12" s="183">
        <v>471.09</v>
      </c>
      <c r="M12" s="183">
        <v>40.020000000000003</v>
      </c>
      <c r="N12" s="183">
        <v>484.23</v>
      </c>
      <c r="O12" s="183">
        <v>41.66</v>
      </c>
      <c r="P12" s="974">
        <v>90.51</v>
      </c>
      <c r="Q12" s="965"/>
      <c r="R12" s="175"/>
      <c r="S12" s="175"/>
      <c r="T12" s="184"/>
      <c r="U12" s="184"/>
      <c r="V12" s="184"/>
      <c r="W12" s="184"/>
      <c r="X12" s="184"/>
      <c r="Y12" s="185"/>
      <c r="Z12" s="186"/>
    </row>
    <row r="13" spans="2:55" s="22" customFormat="1" ht="15.75" customHeight="1">
      <c r="B13" s="618">
        <v>44896</v>
      </c>
      <c r="C13" s="336"/>
      <c r="D13" s="569"/>
      <c r="E13" s="569"/>
      <c r="F13" s="336"/>
      <c r="G13" s="336"/>
      <c r="H13" s="26"/>
      <c r="I13" s="973" t="s">
        <v>513</v>
      </c>
      <c r="J13" s="182" t="s">
        <v>511</v>
      </c>
      <c r="K13" s="183">
        <v>1.55</v>
      </c>
      <c r="L13" s="183">
        <v>6.11</v>
      </c>
      <c r="M13" s="183">
        <v>0.76</v>
      </c>
      <c r="N13" s="183">
        <v>3.85</v>
      </c>
      <c r="O13" s="183">
        <v>3.24</v>
      </c>
      <c r="P13" s="974">
        <v>1.33</v>
      </c>
      <c r="Q13" s="965"/>
      <c r="R13" s="175"/>
      <c r="S13" s="175"/>
    </row>
    <row r="14" spans="2:55" s="22" customFormat="1" ht="15.75" customHeight="1">
      <c r="B14" s="618">
        <v>44927</v>
      </c>
      <c r="C14" s="436"/>
      <c r="D14" s="436"/>
      <c r="E14" s="436"/>
      <c r="F14" s="436"/>
      <c r="G14" s="436"/>
      <c r="H14" s="95"/>
      <c r="I14" s="965"/>
      <c r="J14" s="182" t="s">
        <v>512</v>
      </c>
      <c r="K14" s="183">
        <v>1.55</v>
      </c>
      <c r="L14" s="183">
        <v>6.11</v>
      </c>
      <c r="M14" s="183">
        <v>0.76</v>
      </c>
      <c r="N14" s="183">
        <v>3.85</v>
      </c>
      <c r="O14" s="183">
        <v>3.18</v>
      </c>
      <c r="P14" s="974">
        <v>1.39</v>
      </c>
      <c r="Q14" s="965"/>
      <c r="R14" s="175"/>
      <c r="S14" s="175"/>
      <c r="T14" s="184"/>
      <c r="U14" s="184"/>
      <c r="V14" s="184"/>
      <c r="W14" s="184"/>
      <c r="X14" s="184"/>
      <c r="Y14" s="184"/>
      <c r="Z14" s="184"/>
      <c r="AA14" s="184"/>
      <c r="AB14" s="184"/>
      <c r="AC14" s="184"/>
    </row>
    <row r="15" spans="2:55" s="187" customFormat="1" ht="15.75" customHeight="1">
      <c r="B15" s="618">
        <v>44958</v>
      </c>
      <c r="C15" s="338"/>
      <c r="D15" s="338"/>
      <c r="E15" s="338"/>
      <c r="F15" s="338"/>
      <c r="G15" s="338"/>
      <c r="H15" s="22"/>
      <c r="I15" s="973" t="s">
        <v>514</v>
      </c>
      <c r="J15" s="182" t="s">
        <v>511</v>
      </c>
      <c r="K15" s="183">
        <v>101.91</v>
      </c>
      <c r="L15" s="183">
        <v>463.39</v>
      </c>
      <c r="M15" s="183">
        <v>38.9</v>
      </c>
      <c r="N15" s="183">
        <v>479.82</v>
      </c>
      <c r="O15" s="183">
        <v>38.380000000000003</v>
      </c>
      <c r="P15" s="974">
        <v>87.96</v>
      </c>
      <c r="Q15" s="965"/>
      <c r="R15" s="175"/>
      <c r="S15" s="175"/>
      <c r="T15" s="184"/>
      <c r="U15" s="184"/>
      <c r="V15" s="184"/>
      <c r="W15" s="184"/>
      <c r="X15" s="184"/>
      <c r="Y15" s="184"/>
      <c r="Z15" s="184"/>
      <c r="AA15" s="184"/>
      <c r="AB15" s="184"/>
      <c r="AC15" s="184"/>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row>
    <row r="16" spans="2:55" s="187" customFormat="1" ht="15.75" customHeight="1">
      <c r="B16" s="618">
        <v>44986</v>
      </c>
      <c r="C16" s="338"/>
      <c r="D16" s="338"/>
      <c r="E16" s="338"/>
      <c r="F16" s="338"/>
      <c r="G16" s="338"/>
      <c r="H16" s="97"/>
      <c r="I16" s="973"/>
      <c r="J16" s="182"/>
      <c r="K16" s="183"/>
      <c r="L16" s="183"/>
      <c r="M16" s="183"/>
      <c r="N16" s="183"/>
      <c r="O16" s="183"/>
      <c r="P16" s="183"/>
      <c r="Q16" s="188"/>
      <c r="R16" s="175"/>
      <c r="S16" s="175"/>
      <c r="T16" s="184"/>
      <c r="U16" s="184"/>
      <c r="V16" s="184"/>
      <c r="W16" s="184"/>
      <c r="X16" s="184"/>
      <c r="Y16" s="184"/>
      <c r="Z16" s="184"/>
      <c r="AA16" s="184"/>
      <c r="AB16" s="184"/>
      <c r="AC16" s="184"/>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row>
    <row r="17" spans="2:55" s="187" customFormat="1" ht="15.75" customHeight="1">
      <c r="B17" s="618">
        <v>45017</v>
      </c>
      <c r="C17" s="393"/>
      <c r="D17" s="393"/>
      <c r="E17" s="393"/>
      <c r="F17" s="393"/>
      <c r="G17" s="393"/>
      <c r="H17" s="26"/>
      <c r="I17" s="965"/>
      <c r="J17" s="182" t="s">
        <v>512</v>
      </c>
      <c r="K17" s="183">
        <v>102.1</v>
      </c>
      <c r="L17" s="183">
        <v>464.98</v>
      </c>
      <c r="M17" s="183">
        <v>39.26</v>
      </c>
      <c r="N17" s="183">
        <v>480.38</v>
      </c>
      <c r="O17" s="183">
        <v>38.479999999999997</v>
      </c>
      <c r="P17" s="974">
        <v>89.12</v>
      </c>
      <c r="Q17" s="965"/>
      <c r="R17" s="175"/>
      <c r="S17" s="175"/>
      <c r="T17" s="184"/>
      <c r="U17" s="184"/>
      <c r="V17" s="184"/>
      <c r="W17" s="184"/>
      <c r="X17" s="184"/>
      <c r="Y17" s="184"/>
      <c r="Z17" s="184"/>
      <c r="AA17" s="184"/>
      <c r="AB17" s="184"/>
      <c r="AC17" s="184"/>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row>
    <row r="18" spans="2:55" s="22" customFormat="1" ht="18.95" customHeight="1">
      <c r="B18" s="786" t="s">
        <v>109</v>
      </c>
      <c r="C18" s="786"/>
      <c r="D18" s="786"/>
      <c r="E18" s="786"/>
      <c r="F18" s="786"/>
      <c r="G18" s="786"/>
      <c r="I18" s="188"/>
      <c r="J18" s="182" t="s">
        <v>512</v>
      </c>
      <c r="K18" s="183">
        <v>30.25</v>
      </c>
      <c r="L18" s="183">
        <v>154</v>
      </c>
      <c r="M18" s="183">
        <v>0.72</v>
      </c>
      <c r="N18" s="183">
        <v>134.80000000000001</v>
      </c>
      <c r="O18" s="183">
        <v>30.2</v>
      </c>
      <c r="P18" s="974">
        <v>19.97</v>
      </c>
      <c r="Q18" s="965"/>
      <c r="T18" s="184"/>
      <c r="U18" s="184"/>
      <c r="V18" s="184"/>
      <c r="W18" s="184"/>
      <c r="X18" s="184"/>
      <c r="Y18" s="184"/>
      <c r="Z18" s="184"/>
      <c r="AA18" s="184"/>
      <c r="AB18" s="184"/>
      <c r="AC18" s="184"/>
    </row>
    <row r="19" spans="2:55" ht="16.5" customHeight="1">
      <c r="C19" s="189"/>
      <c r="D19" s="189"/>
      <c r="E19" s="189"/>
      <c r="F19" s="189"/>
      <c r="G19" s="189"/>
      <c r="I19" s="973" t="s">
        <v>515</v>
      </c>
      <c r="J19" s="182" t="s">
        <v>511</v>
      </c>
      <c r="K19" s="183">
        <v>17.690000000000001</v>
      </c>
      <c r="L19" s="183">
        <v>100</v>
      </c>
      <c r="M19" s="183">
        <v>0</v>
      </c>
      <c r="N19" s="183">
        <v>98</v>
      </c>
      <c r="O19" s="183">
        <v>8.5</v>
      </c>
      <c r="P19" s="974">
        <v>11.19</v>
      </c>
      <c r="Q19" s="965"/>
    </row>
    <row r="20" spans="2:55" ht="12.75">
      <c r="I20" s="965"/>
      <c r="J20" s="182" t="s">
        <v>512</v>
      </c>
      <c r="K20" s="183">
        <v>17.77</v>
      </c>
      <c r="L20" s="183">
        <v>103</v>
      </c>
      <c r="M20" s="183">
        <v>0</v>
      </c>
      <c r="N20" s="183">
        <v>98.9</v>
      </c>
      <c r="O20" s="183">
        <v>8.6</v>
      </c>
      <c r="P20" s="974">
        <v>13.27</v>
      </c>
      <c r="Q20" s="965"/>
    </row>
    <row r="21" spans="2:55" ht="12.75">
      <c r="I21" s="973" t="s">
        <v>516</v>
      </c>
      <c r="J21" s="182" t="s">
        <v>511</v>
      </c>
      <c r="K21" s="183">
        <v>1.56</v>
      </c>
      <c r="L21" s="183">
        <v>6.9</v>
      </c>
      <c r="M21" s="183">
        <v>0.02</v>
      </c>
      <c r="N21" s="183">
        <v>2.8</v>
      </c>
      <c r="O21" s="183">
        <v>4.5999999999999996</v>
      </c>
      <c r="P21" s="974">
        <v>1.08</v>
      </c>
      <c r="Q21" s="965"/>
    </row>
    <row r="22" spans="2:55" ht="15" customHeight="1">
      <c r="I22" s="965"/>
      <c r="J22" s="182" t="s">
        <v>512</v>
      </c>
      <c r="K22" s="183">
        <v>1.56</v>
      </c>
      <c r="L22" s="183">
        <v>6.9</v>
      </c>
      <c r="M22" s="183">
        <v>0.02</v>
      </c>
      <c r="N22" s="183">
        <v>2.8</v>
      </c>
      <c r="O22" s="183">
        <v>4.5999999999999996</v>
      </c>
      <c r="P22" s="974">
        <v>1.08</v>
      </c>
      <c r="Q22" s="965"/>
    </row>
    <row r="23" spans="2:55" ht="9.9499999999999993" customHeight="1">
      <c r="I23" s="973" t="s">
        <v>517</v>
      </c>
      <c r="J23" s="182" t="s">
        <v>511</v>
      </c>
      <c r="K23" s="183">
        <v>10</v>
      </c>
      <c r="L23" s="183">
        <v>15.9</v>
      </c>
      <c r="M23" s="183">
        <v>0.3</v>
      </c>
      <c r="N23" s="183">
        <v>11.2</v>
      </c>
      <c r="O23" s="183">
        <v>10</v>
      </c>
      <c r="P23" s="974">
        <v>5</v>
      </c>
      <c r="Q23" s="965"/>
    </row>
    <row r="24" spans="2:55" ht="15" customHeight="1">
      <c r="I24" s="965"/>
      <c r="J24" s="182" t="s">
        <v>512</v>
      </c>
      <c r="K24" s="183">
        <v>10</v>
      </c>
      <c r="L24" s="183">
        <v>15.9</v>
      </c>
      <c r="M24" s="183">
        <v>0.3</v>
      </c>
      <c r="N24" s="183">
        <v>11.2</v>
      </c>
      <c r="O24" s="183">
        <v>10</v>
      </c>
      <c r="P24" s="974">
        <v>5</v>
      </c>
      <c r="Q24" s="965"/>
    </row>
    <row r="25" spans="2:55" ht="15" customHeight="1">
      <c r="I25" s="973" t="s">
        <v>518</v>
      </c>
      <c r="J25" s="182" t="s">
        <v>511</v>
      </c>
      <c r="K25" s="183">
        <v>0.93</v>
      </c>
      <c r="L25" s="183">
        <v>28.2</v>
      </c>
      <c r="M25" s="183">
        <v>0.4</v>
      </c>
      <c r="N25" s="183">
        <v>21.9</v>
      </c>
      <c r="O25" s="183">
        <v>7</v>
      </c>
      <c r="P25" s="974">
        <v>0.63</v>
      </c>
      <c r="Q25" s="965"/>
    </row>
    <row r="26" spans="2:55" ht="15" customHeight="1">
      <c r="I26" s="965"/>
      <c r="J26" s="182" t="s">
        <v>512</v>
      </c>
      <c r="K26" s="183">
        <v>0.93</v>
      </c>
      <c r="L26" s="183">
        <v>28.2</v>
      </c>
      <c r="M26" s="183">
        <v>0.4</v>
      </c>
      <c r="N26" s="183">
        <v>21.9</v>
      </c>
      <c r="O26" s="183">
        <v>7</v>
      </c>
      <c r="P26" s="974">
        <v>0.63</v>
      </c>
      <c r="Q26" s="965"/>
    </row>
    <row r="27" spans="2:55" ht="15" customHeight="1">
      <c r="I27" s="973" t="s">
        <v>519</v>
      </c>
      <c r="J27" s="182" t="s">
        <v>511</v>
      </c>
      <c r="K27" s="183">
        <v>10.77</v>
      </c>
      <c r="L27" s="183">
        <v>63.71</v>
      </c>
      <c r="M27" s="183">
        <v>13.84</v>
      </c>
      <c r="N27" s="183">
        <v>77.349999999999994</v>
      </c>
      <c r="O27" s="183">
        <v>1.1599999999999999</v>
      </c>
      <c r="P27" s="974">
        <v>9.81</v>
      </c>
      <c r="Q27" s="965"/>
    </row>
    <row r="28" spans="2:55" ht="15" customHeight="1">
      <c r="I28" s="965"/>
      <c r="J28" s="182" t="s">
        <v>512</v>
      </c>
      <c r="K28" s="183">
        <v>10.83</v>
      </c>
      <c r="L28" s="183">
        <v>62.71</v>
      </c>
      <c r="M28" s="183">
        <v>13.94</v>
      </c>
      <c r="N28" s="183">
        <v>77.19</v>
      </c>
      <c r="O28" s="183">
        <v>1.1599999999999999</v>
      </c>
      <c r="P28" s="974">
        <v>9.1300000000000008</v>
      </c>
      <c r="Q28" s="965"/>
    </row>
    <row r="29" spans="2:55" ht="15" customHeight="1">
      <c r="I29" s="973" t="s">
        <v>520</v>
      </c>
      <c r="J29" s="182" t="s">
        <v>511</v>
      </c>
      <c r="K29" s="183">
        <v>0.65</v>
      </c>
      <c r="L29" s="183">
        <v>7.91</v>
      </c>
      <c r="M29" s="183">
        <v>0.7</v>
      </c>
      <c r="N29" s="183">
        <v>7.9</v>
      </c>
      <c r="O29" s="183">
        <v>0.83</v>
      </c>
      <c r="P29" s="974">
        <v>0.53</v>
      </c>
      <c r="Q29" s="965"/>
    </row>
    <row r="30" spans="2:55" ht="15" customHeight="1">
      <c r="I30" s="965"/>
      <c r="J30" s="182" t="s">
        <v>512</v>
      </c>
      <c r="K30" s="183">
        <v>0.69</v>
      </c>
      <c r="L30" s="183">
        <v>7.91</v>
      </c>
      <c r="M30" s="183">
        <v>0.7</v>
      </c>
      <c r="N30" s="183">
        <v>7.94</v>
      </c>
      <c r="O30" s="183">
        <v>0.83</v>
      </c>
      <c r="P30" s="974">
        <v>0.53</v>
      </c>
      <c r="Q30" s="965"/>
    </row>
    <row r="31" spans="2:55" ht="15" customHeight="1">
      <c r="I31" s="973" t="s">
        <v>521</v>
      </c>
      <c r="J31" s="182" t="s">
        <v>511</v>
      </c>
      <c r="K31" s="183">
        <v>1.23</v>
      </c>
      <c r="L31" s="183">
        <v>2.0099999999999998</v>
      </c>
      <c r="M31" s="183">
        <v>1.5</v>
      </c>
      <c r="N31" s="183">
        <v>3.28</v>
      </c>
      <c r="O31" s="183">
        <v>0.28000000000000003</v>
      </c>
      <c r="P31" s="974">
        <v>1.18</v>
      </c>
      <c r="Q31" s="965"/>
    </row>
    <row r="32" spans="2:55" ht="15" customHeight="1">
      <c r="I32" s="965"/>
      <c r="J32" s="182" t="s">
        <v>512</v>
      </c>
      <c r="K32" s="183">
        <v>1.23</v>
      </c>
      <c r="L32" s="183">
        <v>2.0099999999999998</v>
      </c>
      <c r="M32" s="183">
        <v>1.5</v>
      </c>
      <c r="N32" s="183">
        <v>3.28</v>
      </c>
      <c r="O32" s="183">
        <v>0.28000000000000003</v>
      </c>
      <c r="P32" s="974">
        <v>1.18</v>
      </c>
      <c r="Q32" s="965"/>
    </row>
    <row r="33" spans="9:17" ht="15" customHeight="1">
      <c r="I33" s="973" t="s">
        <v>522</v>
      </c>
      <c r="J33" s="182" t="s">
        <v>511</v>
      </c>
      <c r="K33" s="183">
        <v>3.95</v>
      </c>
      <c r="L33" s="183">
        <v>36.299999999999997</v>
      </c>
      <c r="M33" s="183">
        <v>1.9</v>
      </c>
      <c r="N33" s="183">
        <v>38.299999999999997</v>
      </c>
      <c r="O33" s="183">
        <v>0</v>
      </c>
      <c r="P33" s="974">
        <v>3.85</v>
      </c>
      <c r="Q33" s="965"/>
    </row>
    <row r="34" spans="9:17" ht="15" customHeight="1">
      <c r="I34" s="965"/>
      <c r="J34" s="182" t="s">
        <v>512</v>
      </c>
      <c r="K34" s="183">
        <v>3.96</v>
      </c>
      <c r="L34" s="183">
        <v>35.299999999999997</v>
      </c>
      <c r="M34" s="183">
        <v>2</v>
      </c>
      <c r="N34" s="183">
        <v>38.1</v>
      </c>
      <c r="O34" s="183">
        <v>0</v>
      </c>
      <c r="P34" s="974">
        <v>3.16</v>
      </c>
      <c r="Q34" s="965"/>
    </row>
    <row r="35" spans="9:17" ht="27.95" customHeight="1">
      <c r="I35" s="973" t="s">
        <v>523</v>
      </c>
      <c r="J35" s="182" t="s">
        <v>511</v>
      </c>
      <c r="K35" s="183">
        <v>1.19</v>
      </c>
      <c r="L35" s="183">
        <v>2.71</v>
      </c>
      <c r="M35" s="183">
        <v>2.5</v>
      </c>
      <c r="N35" s="183">
        <v>5.85</v>
      </c>
      <c r="O35" s="183">
        <v>0</v>
      </c>
      <c r="P35" s="974">
        <v>0.55000000000000004</v>
      </c>
      <c r="Q35" s="965"/>
    </row>
    <row r="36" spans="9:17" ht="12.75">
      <c r="I36" s="965"/>
      <c r="J36" s="182" t="s">
        <v>512</v>
      </c>
      <c r="K36" s="183">
        <v>1.19</v>
      </c>
      <c r="L36" s="183">
        <v>2.71</v>
      </c>
      <c r="M36" s="183">
        <v>2.5</v>
      </c>
      <c r="N36" s="183">
        <v>5.85</v>
      </c>
      <c r="O36" s="183">
        <v>0</v>
      </c>
      <c r="P36" s="974">
        <v>0.55000000000000004</v>
      </c>
      <c r="Q36" s="965"/>
    </row>
    <row r="37" spans="9:17" ht="12.75">
      <c r="I37" s="973" t="s">
        <v>524</v>
      </c>
      <c r="J37" s="182" t="s">
        <v>511</v>
      </c>
      <c r="K37" s="183">
        <v>2.21</v>
      </c>
      <c r="L37" s="183">
        <v>11.5</v>
      </c>
      <c r="M37" s="183">
        <v>2</v>
      </c>
      <c r="N37" s="183">
        <v>13.25</v>
      </c>
      <c r="O37" s="183">
        <v>0</v>
      </c>
      <c r="P37" s="974">
        <v>2.46</v>
      </c>
      <c r="Q37" s="965"/>
    </row>
    <row r="38" spans="9:17" ht="12.75">
      <c r="I38" s="965"/>
      <c r="J38" s="182" t="s">
        <v>512</v>
      </c>
      <c r="K38" s="183">
        <v>2.21</v>
      </c>
      <c r="L38" s="183">
        <v>11.5</v>
      </c>
      <c r="M38" s="183">
        <v>2</v>
      </c>
      <c r="N38" s="183">
        <v>13.25</v>
      </c>
      <c r="O38" s="183">
        <v>0</v>
      </c>
      <c r="P38" s="974">
        <v>2.46</v>
      </c>
      <c r="Q38" s="965"/>
    </row>
    <row r="39" spans="9:17" ht="12.75">
      <c r="I39" s="973" t="s">
        <v>525</v>
      </c>
      <c r="J39" s="182" t="s">
        <v>511</v>
      </c>
      <c r="K39" s="183">
        <v>1.06</v>
      </c>
      <c r="L39" s="183">
        <v>1.89</v>
      </c>
      <c r="M39" s="183">
        <v>4.0999999999999996</v>
      </c>
      <c r="N39" s="183">
        <v>6.13</v>
      </c>
      <c r="O39" s="183">
        <v>0</v>
      </c>
      <c r="P39" s="974">
        <v>0.93</v>
      </c>
      <c r="Q39" s="965"/>
    </row>
    <row r="40" spans="9:17" ht="12.75">
      <c r="I40" s="965"/>
      <c r="J40" s="182" t="s">
        <v>512</v>
      </c>
      <c r="K40" s="183">
        <v>1.06</v>
      </c>
      <c r="L40" s="183">
        <v>1.89</v>
      </c>
      <c r="M40" s="183">
        <v>4.0999999999999996</v>
      </c>
      <c r="N40" s="183">
        <v>6.13</v>
      </c>
      <c r="O40" s="183">
        <v>0</v>
      </c>
      <c r="P40" s="974">
        <v>0.93</v>
      </c>
      <c r="Q40" s="965"/>
    </row>
    <row r="41" spans="9:17" ht="25.5">
      <c r="I41" s="190" t="s">
        <v>526</v>
      </c>
      <c r="J41" s="182"/>
      <c r="K41" s="183"/>
      <c r="L41" s="183"/>
      <c r="M41" s="183"/>
      <c r="N41" s="183"/>
      <c r="O41" s="183"/>
      <c r="P41" s="974"/>
      <c r="Q41" s="965"/>
    </row>
    <row r="42" spans="9:17" ht="12.75">
      <c r="I42" s="973" t="s">
        <v>527</v>
      </c>
      <c r="J42" s="182" t="s">
        <v>511</v>
      </c>
      <c r="K42" s="183">
        <v>0.56999999999999995</v>
      </c>
      <c r="L42" s="183">
        <v>12.2</v>
      </c>
      <c r="M42" s="183">
        <v>0</v>
      </c>
      <c r="N42" s="183">
        <v>10.65</v>
      </c>
      <c r="O42" s="183">
        <v>1.8</v>
      </c>
      <c r="P42" s="974">
        <v>0.32</v>
      </c>
      <c r="Q42" s="965"/>
    </row>
    <row r="43" spans="9:17" ht="12.75">
      <c r="I43" s="965"/>
      <c r="J43" s="182" t="s">
        <v>512</v>
      </c>
      <c r="K43" s="183">
        <v>0.56999999999999995</v>
      </c>
      <c r="L43" s="183">
        <v>12.2</v>
      </c>
      <c r="M43" s="183">
        <v>0</v>
      </c>
      <c r="N43" s="183">
        <v>10.65</v>
      </c>
      <c r="O43" s="183">
        <v>1.8</v>
      </c>
      <c r="P43" s="974">
        <v>0.32</v>
      </c>
      <c r="Q43" s="965"/>
    </row>
    <row r="44" spans="9:17" ht="12.75">
      <c r="I44" s="973" t="s">
        <v>528</v>
      </c>
      <c r="J44" s="182" t="s">
        <v>511</v>
      </c>
      <c r="K44" s="183">
        <v>0.47</v>
      </c>
      <c r="L44" s="183">
        <v>1.61</v>
      </c>
      <c r="M44" s="183">
        <v>1.69</v>
      </c>
      <c r="N44" s="183">
        <v>3.33</v>
      </c>
      <c r="O44" s="183">
        <v>0.01</v>
      </c>
      <c r="P44" s="974">
        <v>0.43</v>
      </c>
      <c r="Q44" s="965"/>
    </row>
    <row r="45" spans="9:17" ht="12.75">
      <c r="I45" s="965"/>
      <c r="J45" s="182" t="s">
        <v>512</v>
      </c>
      <c r="K45" s="183">
        <v>0.47</v>
      </c>
      <c r="L45" s="183">
        <v>1.61</v>
      </c>
      <c r="M45" s="183">
        <v>1.69</v>
      </c>
      <c r="N45" s="183">
        <v>3.33</v>
      </c>
      <c r="O45" s="183">
        <v>0.01</v>
      </c>
      <c r="P45" s="974">
        <v>0.43</v>
      </c>
      <c r="Q45" s="965"/>
    </row>
    <row r="46" spans="9:17" ht="12.75">
      <c r="I46" s="973" t="s">
        <v>529</v>
      </c>
      <c r="J46" s="182" t="s">
        <v>511</v>
      </c>
      <c r="K46" s="183">
        <v>47.66</v>
      </c>
      <c r="L46" s="183">
        <v>145.77000000000001</v>
      </c>
      <c r="M46" s="183">
        <v>4.7</v>
      </c>
      <c r="N46" s="183">
        <v>150</v>
      </c>
      <c r="O46" s="183">
        <v>0.45</v>
      </c>
      <c r="P46" s="974">
        <v>47.68</v>
      </c>
      <c r="Q46" s="965"/>
    </row>
    <row r="47" spans="9:17" ht="12.75">
      <c r="I47" s="965"/>
      <c r="J47" s="182" t="s">
        <v>512</v>
      </c>
      <c r="K47" s="183">
        <v>47.64</v>
      </c>
      <c r="L47" s="183">
        <v>145.77000000000001</v>
      </c>
      <c r="M47" s="183">
        <v>5</v>
      </c>
      <c r="N47" s="183">
        <v>150.30000000000001</v>
      </c>
      <c r="O47" s="183">
        <v>0.35</v>
      </c>
      <c r="P47" s="974">
        <v>47.76</v>
      </c>
      <c r="Q47" s="965"/>
    </row>
    <row r="48" spans="9:17" ht="12.75">
      <c r="I48" s="973" t="s">
        <v>530</v>
      </c>
      <c r="J48" s="182" t="s">
        <v>511</v>
      </c>
      <c r="K48" s="183">
        <v>0.92</v>
      </c>
      <c r="L48" s="183">
        <v>4</v>
      </c>
      <c r="M48" s="183">
        <v>0.03</v>
      </c>
      <c r="N48" s="183">
        <v>4</v>
      </c>
      <c r="O48" s="183">
        <v>0.4</v>
      </c>
      <c r="P48" s="974">
        <v>0.54</v>
      </c>
      <c r="Q48" s="965"/>
    </row>
    <row r="49" spans="9:19" ht="12.75">
      <c r="I49" s="965"/>
      <c r="J49" s="182" t="s">
        <v>512</v>
      </c>
      <c r="K49" s="183">
        <v>0.92</v>
      </c>
      <c r="L49" s="183">
        <v>4</v>
      </c>
      <c r="M49" s="183">
        <v>0.03</v>
      </c>
      <c r="N49" s="183">
        <v>4</v>
      </c>
      <c r="O49" s="183">
        <v>0.4</v>
      </c>
      <c r="P49" s="974">
        <v>0.54</v>
      </c>
      <c r="Q49" s="965"/>
      <c r="R49" s="175"/>
      <c r="S49" s="175"/>
    </row>
    <row r="50" spans="9:19" ht="12.75">
      <c r="I50" s="973" t="s">
        <v>531</v>
      </c>
      <c r="J50" s="182" t="s">
        <v>511</v>
      </c>
      <c r="K50" s="183">
        <v>3.2</v>
      </c>
      <c r="L50" s="183">
        <v>7.9</v>
      </c>
      <c r="M50" s="183">
        <v>0.7</v>
      </c>
      <c r="N50" s="183">
        <v>8.3800000000000008</v>
      </c>
      <c r="O50" s="183">
        <v>0.08</v>
      </c>
      <c r="P50" s="974">
        <v>3.35</v>
      </c>
      <c r="Q50" s="965"/>
      <c r="R50" s="175"/>
      <c r="S50" s="175"/>
    </row>
    <row r="51" spans="9:19" ht="12.75">
      <c r="I51" s="965"/>
      <c r="J51" s="182" t="s">
        <v>512</v>
      </c>
      <c r="K51" s="183">
        <v>3.2</v>
      </c>
      <c r="L51" s="183">
        <v>7.65</v>
      </c>
      <c r="M51" s="183">
        <v>0.7</v>
      </c>
      <c r="N51" s="183">
        <v>8.3000000000000007</v>
      </c>
      <c r="O51" s="183">
        <v>0.08</v>
      </c>
      <c r="P51" s="974">
        <v>3.18</v>
      </c>
      <c r="Q51" s="965"/>
      <c r="R51" s="175"/>
      <c r="S51" s="175"/>
    </row>
    <row r="52" spans="9:19" ht="12.75">
      <c r="I52" s="973" t="s">
        <v>532</v>
      </c>
      <c r="J52" s="182" t="s">
        <v>511</v>
      </c>
      <c r="K52" s="183">
        <v>0.15</v>
      </c>
      <c r="L52" s="183">
        <v>0.13</v>
      </c>
      <c r="M52" s="183">
        <v>0.7</v>
      </c>
      <c r="N52" s="183">
        <v>0.87</v>
      </c>
      <c r="O52" s="183">
        <v>0</v>
      </c>
      <c r="P52" s="974">
        <v>0.11</v>
      </c>
      <c r="Q52" s="965"/>
      <c r="R52" s="175"/>
      <c r="S52" s="175"/>
    </row>
    <row r="53" spans="9:19" ht="12.75">
      <c r="I53" s="965"/>
      <c r="J53" s="182" t="s">
        <v>512</v>
      </c>
      <c r="K53" s="183">
        <v>0.15</v>
      </c>
      <c r="L53" s="183">
        <v>0.13</v>
      </c>
      <c r="M53" s="183">
        <v>0.7</v>
      </c>
      <c r="N53" s="183">
        <v>0.87</v>
      </c>
      <c r="O53" s="183">
        <v>0</v>
      </c>
      <c r="P53" s="974">
        <v>0.11</v>
      </c>
      <c r="Q53" s="965"/>
      <c r="R53" s="175"/>
      <c r="S53" s="175"/>
    </row>
    <row r="54" spans="9:19" ht="12.75">
      <c r="I54" s="973" t="s">
        <v>533</v>
      </c>
      <c r="J54" s="182" t="s">
        <v>511</v>
      </c>
      <c r="K54" s="183">
        <v>1.19</v>
      </c>
      <c r="L54" s="183">
        <v>4.33</v>
      </c>
      <c r="M54" s="183">
        <v>0.47</v>
      </c>
      <c r="N54" s="183">
        <v>4.3899999999999997</v>
      </c>
      <c r="O54" s="183">
        <v>0</v>
      </c>
      <c r="P54" s="974">
        <v>1.59</v>
      </c>
      <c r="Q54" s="965"/>
      <c r="R54" s="175"/>
      <c r="S54" s="175"/>
    </row>
    <row r="55" spans="9:19" ht="12.75">
      <c r="I55" s="965"/>
      <c r="J55" s="182" t="s">
        <v>512</v>
      </c>
      <c r="K55" s="183">
        <v>1.19</v>
      </c>
      <c r="L55" s="183">
        <v>4.33</v>
      </c>
      <c r="M55" s="183">
        <v>0.47</v>
      </c>
      <c r="N55" s="183">
        <v>4.3899999999999997</v>
      </c>
      <c r="O55" s="183">
        <v>0</v>
      </c>
      <c r="P55" s="974">
        <v>1.59</v>
      </c>
      <c r="Q55" s="965"/>
      <c r="R55" s="175"/>
      <c r="S55" s="175"/>
    </row>
    <row r="56" spans="9:19" ht="13.5" thickBot="1">
      <c r="I56" s="191"/>
      <c r="J56" s="192"/>
      <c r="K56" s="193"/>
      <c r="L56" s="193"/>
      <c r="M56" s="193"/>
      <c r="N56" s="193"/>
      <c r="O56" s="193"/>
      <c r="P56" s="975"/>
      <c r="Q56" s="976"/>
      <c r="R56" s="175"/>
      <c r="S56" s="175"/>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paperSize="126" scale="98"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X40"/>
  <sheetViews>
    <sheetView topLeftCell="A14" zoomScale="106" zoomScaleNormal="106" workbookViewId="0">
      <selection activeCell="H17" sqref="H17"/>
    </sheetView>
  </sheetViews>
  <sheetFormatPr baseColWidth="10" defaultColWidth="10.90625" defaultRowHeight="12"/>
  <cols>
    <col min="1" max="1" width="0.6328125" style="1" customWidth="1"/>
    <col min="2" max="2" width="14.90625" style="1" customWidth="1"/>
    <col min="3" max="5" width="9.6328125" style="1" customWidth="1"/>
    <col min="6" max="6" width="11.26953125" style="1" bestFit="1" customWidth="1"/>
    <col min="7" max="7" width="9.6328125" style="1" customWidth="1"/>
    <col min="8" max="8" width="2" style="1" customWidth="1"/>
    <col min="9" max="9" width="6.453125" style="1" customWidth="1"/>
    <col min="10" max="10" width="5.36328125" style="1" customWidth="1"/>
    <col min="11" max="11" width="6.1796875" style="1" bestFit="1" customWidth="1"/>
    <col min="12" max="13" width="5.36328125" style="1" customWidth="1"/>
    <col min="14" max="14" width="6.90625" style="1" customWidth="1"/>
    <col min="15" max="17" width="5.7265625" style="1" customWidth="1"/>
    <col min="18" max="16384" width="10.90625" style="1"/>
  </cols>
  <sheetData>
    <row r="1" spans="2:24" s="15" customFormat="1" ht="12.75">
      <c r="B1" s="767" t="s">
        <v>96</v>
      </c>
      <c r="C1" s="767"/>
      <c r="D1" s="767"/>
      <c r="E1" s="767"/>
      <c r="F1" s="767"/>
      <c r="G1" s="767"/>
    </row>
    <row r="2" spans="2:24" s="15" customFormat="1" ht="12.75">
      <c r="B2" s="17"/>
      <c r="C2" s="17"/>
      <c r="D2" s="17"/>
      <c r="E2" s="17"/>
      <c r="F2" s="17"/>
      <c r="G2" s="17"/>
    </row>
    <row r="3" spans="2:24" s="15" customFormat="1" ht="12.75">
      <c r="B3" s="767" t="s">
        <v>461</v>
      </c>
      <c r="C3" s="767"/>
      <c r="D3" s="767"/>
      <c r="E3" s="767"/>
      <c r="F3" s="767"/>
      <c r="G3" s="767"/>
    </row>
    <row r="4" spans="2:24" s="15" customFormat="1" ht="15.75" customHeight="1">
      <c r="B4" s="767" t="s">
        <v>741</v>
      </c>
      <c r="C4" s="767"/>
      <c r="D4" s="767"/>
      <c r="E4" s="767"/>
      <c r="F4" s="767"/>
      <c r="G4" s="767"/>
      <c r="H4" s="23"/>
      <c r="J4" s="277"/>
      <c r="K4" s="183"/>
      <c r="L4" s="183"/>
      <c r="M4" s="183"/>
      <c r="N4" s="183"/>
      <c r="O4" s="183"/>
      <c r="P4" s="974"/>
      <c r="Q4" s="978"/>
    </row>
    <row r="5" spans="2:24" s="22" customFormat="1" ht="27.95" customHeight="1">
      <c r="B5" s="103" t="s">
        <v>389</v>
      </c>
      <c r="C5" s="103" t="s">
        <v>376</v>
      </c>
      <c r="D5" s="103" t="s">
        <v>90</v>
      </c>
      <c r="E5" s="103" t="s">
        <v>91</v>
      </c>
      <c r="F5" s="103" t="s">
        <v>99</v>
      </c>
      <c r="G5" s="103" t="s">
        <v>378</v>
      </c>
      <c r="I5" s="194"/>
      <c r="J5" s="278"/>
      <c r="K5" s="183"/>
      <c r="L5" s="183"/>
      <c r="M5" s="183"/>
      <c r="N5" s="183"/>
      <c r="O5" s="183"/>
      <c r="P5" s="974"/>
      <c r="Q5" s="965"/>
    </row>
    <row r="6" spans="2:24" s="22" customFormat="1" ht="15.75" customHeight="1">
      <c r="B6" s="32" t="s">
        <v>102</v>
      </c>
      <c r="C6" s="337">
        <v>110.62</v>
      </c>
      <c r="D6" s="337">
        <v>478.42</v>
      </c>
      <c r="E6" s="337">
        <v>481.56</v>
      </c>
      <c r="F6" s="337">
        <v>107.48</v>
      </c>
      <c r="G6" s="40">
        <f t="shared" ref="G6:G15" si="0">+F6/E6</f>
        <v>0.22319129495805301</v>
      </c>
      <c r="I6" s="195"/>
      <c r="J6" s="278"/>
      <c r="K6" s="183"/>
      <c r="L6" s="183"/>
      <c r="M6" s="183"/>
      <c r="N6" s="183"/>
      <c r="O6" s="183"/>
      <c r="P6" s="974"/>
      <c r="Q6" s="965"/>
    </row>
    <row r="7" spans="2:24" s="22" customFormat="1" ht="15.75" customHeight="1">
      <c r="B7" s="32" t="s">
        <v>103</v>
      </c>
      <c r="C7" s="337">
        <v>113.76</v>
      </c>
      <c r="D7" s="337">
        <v>478.7</v>
      </c>
      <c r="E7" s="337">
        <v>478.09</v>
      </c>
      <c r="F7" s="337">
        <v>114.37</v>
      </c>
      <c r="G7" s="40">
        <f t="shared" si="0"/>
        <v>0.23922274048819261</v>
      </c>
      <c r="I7" s="1"/>
      <c r="J7" s="1"/>
      <c r="K7" s="1"/>
      <c r="L7" s="1"/>
      <c r="M7" s="1"/>
      <c r="N7" s="1"/>
      <c r="O7" s="1"/>
      <c r="P7" s="1"/>
    </row>
    <row r="8" spans="2:24" s="22" customFormat="1" ht="15.75" customHeight="1">
      <c r="B8" s="52" t="s">
        <v>104</v>
      </c>
      <c r="C8" s="337">
        <v>127.89</v>
      </c>
      <c r="D8" s="337">
        <v>472.94</v>
      </c>
      <c r="E8" s="337">
        <v>468.09</v>
      </c>
      <c r="F8" s="337">
        <v>132.74</v>
      </c>
      <c r="G8" s="40">
        <f t="shared" si="0"/>
        <v>0.28357794441239936</v>
      </c>
      <c r="I8" s="1"/>
      <c r="J8" s="1"/>
      <c r="K8" s="1"/>
      <c r="L8" s="1"/>
      <c r="M8" s="1"/>
      <c r="N8" s="1"/>
      <c r="O8" s="1"/>
      <c r="P8" s="1"/>
    </row>
    <row r="9" spans="2:24" s="22" customFormat="1" ht="15.75" customHeight="1">
      <c r="B9" s="52" t="s">
        <v>105</v>
      </c>
      <c r="C9" s="337">
        <v>142.63999999999999</v>
      </c>
      <c r="D9" s="337">
        <v>490.95</v>
      </c>
      <c r="E9" s="337">
        <v>483.69</v>
      </c>
      <c r="F9" s="337">
        <v>149.88999999999999</v>
      </c>
      <c r="G9" s="40">
        <f t="shared" si="0"/>
        <v>0.30988856498997291</v>
      </c>
      <c r="I9" s="1"/>
      <c r="J9" s="1"/>
      <c r="K9" s="1"/>
      <c r="L9" s="1"/>
      <c r="M9" s="1"/>
      <c r="N9" s="1"/>
      <c r="O9" s="1"/>
      <c r="P9" s="1"/>
    </row>
    <row r="10" spans="2:24" s="22" customFormat="1" ht="15.75" customHeight="1">
      <c r="B10" s="52" t="s">
        <v>106</v>
      </c>
      <c r="C10" s="338">
        <v>149.88999999999999</v>
      </c>
      <c r="D10" s="338">
        <v>494.92</v>
      </c>
      <c r="E10" s="338">
        <v>482.28</v>
      </c>
      <c r="F10" s="338">
        <v>162.53</v>
      </c>
      <c r="G10" s="40">
        <f t="shared" si="0"/>
        <v>0.33700340051422412</v>
      </c>
      <c r="H10" s="97"/>
      <c r="I10" s="243"/>
      <c r="J10" s="26"/>
      <c r="R10" s="1"/>
      <c r="V10" s="1"/>
      <c r="X10" s="97"/>
    </row>
    <row r="11" spans="2:24" s="22" customFormat="1" ht="15.75" customHeight="1">
      <c r="B11" s="52" t="s">
        <v>383</v>
      </c>
      <c r="C11" s="418">
        <v>163.74</v>
      </c>
      <c r="D11" s="418">
        <v>497.34</v>
      </c>
      <c r="E11" s="418">
        <v>484.59</v>
      </c>
      <c r="F11" s="566">
        <v>176.49</v>
      </c>
      <c r="G11" s="40">
        <f t="shared" si="0"/>
        <v>0.36420479167956421</v>
      </c>
      <c r="H11" s="97"/>
      <c r="I11" s="243"/>
      <c r="J11" s="26"/>
      <c r="K11" s="95"/>
      <c r="R11" s="1"/>
      <c r="V11" s="1"/>
      <c r="X11" s="97"/>
    </row>
    <row r="12" spans="2:24" s="22" customFormat="1" ht="15.75" customHeight="1">
      <c r="B12" s="52" t="s">
        <v>108</v>
      </c>
      <c r="C12" s="632">
        <v>176.66</v>
      </c>
      <c r="D12" s="632">
        <v>498.82</v>
      </c>
      <c r="E12" s="632">
        <v>493.74</v>
      </c>
      <c r="F12" s="632">
        <v>181.74</v>
      </c>
      <c r="G12" s="579">
        <f t="shared" si="0"/>
        <v>0.36808846761453395</v>
      </c>
      <c r="H12" s="97"/>
      <c r="I12" s="243"/>
      <c r="J12" s="26"/>
      <c r="K12" s="95"/>
      <c r="R12" s="1"/>
      <c r="V12" s="1"/>
      <c r="X12" s="97"/>
    </row>
    <row r="13" spans="2:24" s="22" customFormat="1" ht="12.75">
      <c r="B13" s="52" t="s">
        <v>139</v>
      </c>
      <c r="C13" s="632">
        <v>182.17</v>
      </c>
      <c r="D13" s="632">
        <v>509.26</v>
      </c>
      <c r="E13" s="632">
        <v>503.55</v>
      </c>
      <c r="F13" s="632">
        <v>187.88</v>
      </c>
      <c r="G13" s="579">
        <f t="shared" si="0"/>
        <v>0.37311091252110018</v>
      </c>
      <c r="H13" s="26"/>
      <c r="I13" s="279"/>
      <c r="J13" s="195"/>
      <c r="K13" s="95" t="s">
        <v>663</v>
      </c>
      <c r="L13" s="195"/>
      <c r="M13" s="195"/>
      <c r="N13" s="195"/>
      <c r="O13" s="195"/>
      <c r="P13" s="195"/>
      <c r="Q13" s="195"/>
      <c r="R13" s="195"/>
      <c r="S13" s="195"/>
      <c r="T13" s="195"/>
      <c r="U13" s="195"/>
      <c r="V13" s="195"/>
      <c r="W13" s="195"/>
    </row>
    <row r="14" spans="2:24" s="22" customFormat="1" ht="12.75">
      <c r="B14" s="52" t="s">
        <v>701</v>
      </c>
      <c r="C14" s="632">
        <v>187.88</v>
      </c>
      <c r="D14" s="632">
        <v>513.65</v>
      </c>
      <c r="E14" s="632">
        <v>516.71</v>
      </c>
      <c r="F14" s="632">
        <v>184.82</v>
      </c>
      <c r="G14" s="579">
        <f t="shared" si="0"/>
        <v>0.35768612955042478</v>
      </c>
      <c r="H14" s="26"/>
      <c r="I14" s="279"/>
      <c r="J14" s="195"/>
      <c r="K14" s="95"/>
      <c r="L14" s="195"/>
      <c r="M14" s="195"/>
      <c r="N14" s="195"/>
      <c r="O14" s="195"/>
      <c r="P14" s="195"/>
      <c r="Q14" s="195"/>
      <c r="R14" s="195"/>
      <c r="S14" s="195"/>
      <c r="T14" s="195"/>
      <c r="U14" s="195"/>
      <c r="V14" s="195"/>
      <c r="W14" s="195"/>
    </row>
    <row r="15" spans="2:24" s="22" customFormat="1" ht="15.75" customHeight="1">
      <c r="B15" s="52" t="s">
        <v>702</v>
      </c>
      <c r="C15" s="632">
        <v>184.82</v>
      </c>
      <c r="D15" s="632">
        <v>512.44000000000005</v>
      </c>
      <c r="E15" s="632">
        <v>518.74</v>
      </c>
      <c r="F15" s="632">
        <v>178.52</v>
      </c>
      <c r="G15" s="579">
        <f t="shared" si="0"/>
        <v>0.3441415738134711</v>
      </c>
      <c r="H15" s="26"/>
      <c r="I15" s="279"/>
      <c r="J15" s="662"/>
      <c r="K15" s="662"/>
      <c r="L15" s="662"/>
      <c r="M15" s="662"/>
      <c r="N15" s="195"/>
      <c r="O15" s="195"/>
      <c r="P15" s="195"/>
      <c r="Q15" s="195"/>
      <c r="R15" s="195"/>
      <c r="S15" s="195"/>
      <c r="T15" s="195"/>
      <c r="U15" s="195"/>
      <c r="V15" s="195"/>
      <c r="W15" s="195"/>
    </row>
    <row r="16" spans="2:24" s="22" customFormat="1" ht="18.95" customHeight="1">
      <c r="B16" s="977" t="s">
        <v>124</v>
      </c>
      <c r="C16" s="977"/>
      <c r="D16" s="977"/>
      <c r="E16" s="977"/>
      <c r="F16" s="977"/>
      <c r="G16" s="977"/>
      <c r="H16" s="26"/>
      <c r="I16" s="95"/>
      <c r="K16" s="95"/>
      <c r="R16" s="1"/>
    </row>
    <row r="17" spans="2:18" s="22" customFormat="1" ht="18.95" customHeight="1">
      <c r="B17" s="29"/>
      <c r="C17" s="29"/>
      <c r="D17" s="29"/>
      <c r="E17" s="29"/>
      <c r="F17" s="29"/>
      <c r="G17" s="29"/>
      <c r="H17" s="26"/>
      <c r="I17" s="95"/>
      <c r="K17" s="95"/>
      <c r="M17" s="22" t="s">
        <v>663</v>
      </c>
      <c r="R17" s="1"/>
    </row>
    <row r="18" spans="2:18" ht="15" customHeight="1">
      <c r="C18" s="299"/>
      <c r="D18" s="299"/>
      <c r="E18" s="299"/>
      <c r="F18" s="299"/>
      <c r="G18" s="299"/>
      <c r="H18" s="4"/>
    </row>
    <row r="19" spans="2:18" ht="9.9499999999999993" customHeight="1">
      <c r="H19" s="4"/>
    </row>
    <row r="20" spans="2:18" ht="15" customHeight="1">
      <c r="D20" s="12"/>
      <c r="H20" s="4"/>
    </row>
    <row r="21" spans="2:18" ht="15" customHeight="1">
      <c r="H21" s="4"/>
    </row>
    <row r="22" spans="2:18" ht="15" customHeight="1">
      <c r="H22" s="4"/>
    </row>
    <row r="23" spans="2:18" ht="15" customHeight="1">
      <c r="H23" s="5"/>
      <c r="I23" s="9"/>
    </row>
    <row r="24" spans="2:18" ht="15" customHeight="1">
      <c r="H24" s="5"/>
    </row>
    <row r="25" spans="2:18" ht="15" customHeight="1">
      <c r="H25" s="5"/>
      <c r="K25" s="12"/>
    </row>
    <row r="26" spans="2:18" ht="15" customHeight="1">
      <c r="H26" s="5"/>
    </row>
    <row r="27" spans="2:18" ht="15" customHeight="1">
      <c r="H27" s="5"/>
    </row>
    <row r="28" spans="2:18" ht="15" customHeight="1">
      <c r="H28" s="5"/>
    </row>
    <row r="29" spans="2:18" ht="15" customHeight="1">
      <c r="H29" s="5"/>
    </row>
    <row r="30" spans="2:18" ht="15" customHeight="1">
      <c r="H30" s="5"/>
      <c r="K30" s="12"/>
    </row>
    <row r="31" spans="2:18" ht="15" customHeight="1">
      <c r="H31" s="5"/>
    </row>
    <row r="32" spans="2:18" ht="15" customHeight="1">
      <c r="I32" s="196"/>
      <c r="J32" s="197"/>
      <c r="K32" s="197"/>
      <c r="L32" s="197"/>
      <c r="M32" s="197"/>
      <c r="N32" s="198"/>
    </row>
    <row r="34" spans="3:7" ht="14.25" customHeight="1"/>
    <row r="35" spans="3:7" ht="14.25" customHeight="1"/>
    <row r="36" spans="3:7" ht="14.25" customHeight="1"/>
    <row r="37" spans="3:7" ht="14.25" customHeight="1"/>
    <row r="39" spans="3:7">
      <c r="C39" s="299"/>
      <c r="D39" s="299"/>
      <c r="E39" s="299"/>
      <c r="F39" s="299"/>
      <c r="G39" s="299"/>
    </row>
    <row r="40" spans="3:7" ht="18">
      <c r="C40" s="11"/>
      <c r="D40" s="246"/>
      <c r="E40" s="11"/>
      <c r="F40" s="11"/>
      <c r="G40" s="11"/>
    </row>
  </sheetData>
  <mergeCells count="7">
    <mergeCell ref="P6:Q6"/>
    <mergeCell ref="B16:G16"/>
    <mergeCell ref="B1:G1"/>
    <mergeCell ref="B3:G3"/>
    <mergeCell ref="B4:G4"/>
    <mergeCell ref="P4:Q4"/>
    <mergeCell ref="P5:Q5"/>
  </mergeCells>
  <phoneticPr fontId="47" type="noConversion"/>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3"/>
  <sheetViews>
    <sheetView topLeftCell="A13" zoomScaleNormal="100" workbookViewId="0">
      <selection activeCell="C16" sqref="C16"/>
    </sheetView>
  </sheetViews>
  <sheetFormatPr baseColWidth="10" defaultColWidth="10.90625" defaultRowHeight="12"/>
  <cols>
    <col min="1" max="1" width="11.81640625" style="1" customWidth="1"/>
    <col min="2" max="6" width="9" style="1" customWidth="1"/>
    <col min="7" max="7" width="10.453125" style="1" customWidth="1"/>
    <col min="8" max="8" width="6.90625" style="21" customWidth="1"/>
    <col min="9" max="14" width="10.90625" style="21"/>
    <col min="15" max="18" width="10.90625" style="62"/>
    <col min="19" max="16384" width="10.90625" style="1"/>
  </cols>
  <sheetData>
    <row r="1" spans="1:18" s="15" customFormat="1" ht="12.75">
      <c r="A1" s="767" t="s">
        <v>96</v>
      </c>
      <c r="B1" s="767"/>
      <c r="C1" s="767"/>
      <c r="D1" s="767"/>
      <c r="E1" s="767"/>
      <c r="F1" s="767"/>
      <c r="G1" s="767"/>
      <c r="H1" s="508"/>
      <c r="I1" s="508"/>
      <c r="J1" s="508"/>
      <c r="K1" s="508"/>
      <c r="L1" s="508"/>
      <c r="M1" s="508"/>
      <c r="N1" s="508"/>
      <c r="O1" s="60"/>
      <c r="P1" s="60"/>
      <c r="Q1" s="60"/>
      <c r="R1" s="60"/>
    </row>
    <row r="2" spans="1:18" s="15" customFormat="1" ht="12.75">
      <c r="A2" s="17"/>
      <c r="B2" s="17"/>
      <c r="C2" s="17"/>
      <c r="D2" s="17"/>
      <c r="E2" s="17"/>
      <c r="F2" s="17"/>
      <c r="G2" s="17"/>
      <c r="H2" s="508"/>
      <c r="I2" s="508"/>
      <c r="J2" s="508"/>
      <c r="K2" s="508"/>
      <c r="L2" s="508"/>
      <c r="M2" s="508"/>
      <c r="N2" s="508"/>
      <c r="O2" s="60"/>
      <c r="P2" s="60"/>
      <c r="Q2" s="60"/>
      <c r="R2" s="60"/>
    </row>
    <row r="3" spans="1:18" s="15" customFormat="1" ht="12.75">
      <c r="A3" s="767" t="s">
        <v>97</v>
      </c>
      <c r="B3" s="767"/>
      <c r="C3" s="767"/>
      <c r="D3" s="767"/>
      <c r="E3" s="767"/>
      <c r="F3" s="767"/>
      <c r="G3" s="767"/>
      <c r="H3" s="508"/>
      <c r="I3" s="508"/>
      <c r="J3" s="508"/>
      <c r="K3" s="508"/>
      <c r="L3" s="508"/>
      <c r="M3" s="508"/>
      <c r="N3" s="508"/>
      <c r="O3" s="60"/>
      <c r="P3" s="60"/>
      <c r="Q3" s="60"/>
      <c r="R3" s="60"/>
    </row>
    <row r="4" spans="1:18" s="15" customFormat="1" ht="12.75">
      <c r="A4" s="784" t="s">
        <v>741</v>
      </c>
      <c r="B4" s="784"/>
      <c r="C4" s="784"/>
      <c r="D4" s="784"/>
      <c r="E4" s="784"/>
      <c r="F4" s="784"/>
      <c r="G4" s="784"/>
      <c r="H4" s="508"/>
      <c r="I4" s="508"/>
      <c r="J4" s="508"/>
      <c r="K4" s="508"/>
      <c r="L4" s="508"/>
      <c r="M4" s="508"/>
      <c r="N4" s="508"/>
      <c r="O4" s="60"/>
      <c r="P4" s="60"/>
      <c r="Q4" s="60"/>
      <c r="R4" s="60"/>
    </row>
    <row r="5" spans="1:18" s="14" customFormat="1" ht="49.7" customHeight="1">
      <c r="A5" s="296" t="s">
        <v>98</v>
      </c>
      <c r="B5" s="296" t="s">
        <v>89</v>
      </c>
      <c r="C5" s="296" t="s">
        <v>90</v>
      </c>
      <c r="D5" s="296" t="s">
        <v>91</v>
      </c>
      <c r="E5" s="296" t="s">
        <v>92</v>
      </c>
      <c r="F5" s="296" t="s">
        <v>99</v>
      </c>
      <c r="G5" s="296" t="s">
        <v>100</v>
      </c>
      <c r="H5" s="508"/>
      <c r="I5" s="20"/>
      <c r="J5" s="20"/>
      <c r="K5" s="20"/>
      <c r="L5" s="20"/>
      <c r="M5" s="20"/>
      <c r="N5" s="20"/>
      <c r="O5" s="63"/>
      <c r="P5" s="63"/>
      <c r="Q5" s="63"/>
      <c r="R5" s="63"/>
    </row>
    <row r="6" spans="1:18" s="14" customFormat="1" ht="15.75" customHeight="1">
      <c r="A6" s="57" t="s">
        <v>101</v>
      </c>
      <c r="B6" s="336">
        <v>197.64400000000001</v>
      </c>
      <c r="C6" s="336">
        <v>658.649</v>
      </c>
      <c r="D6" s="336">
        <v>679.38300000000004</v>
      </c>
      <c r="E6" s="336">
        <v>137.33000000000001</v>
      </c>
      <c r="F6" s="336">
        <v>176.91</v>
      </c>
      <c r="G6" s="40">
        <f>F6/D6</f>
        <v>0.26039803763120356</v>
      </c>
      <c r="H6" s="93"/>
      <c r="I6" s="508"/>
      <c r="J6" s="508"/>
      <c r="K6" s="508"/>
      <c r="L6" s="508"/>
      <c r="M6" s="508"/>
      <c r="N6" s="508"/>
      <c r="O6" s="508"/>
      <c r="P6" s="508"/>
      <c r="Q6" s="508"/>
      <c r="R6" s="508"/>
    </row>
    <row r="7" spans="1:18" s="14" customFormat="1" ht="15.75" customHeight="1">
      <c r="A7" s="57" t="s">
        <v>102</v>
      </c>
      <c r="B7" s="336">
        <v>177.06</v>
      </c>
      <c r="C7" s="336">
        <v>715.36</v>
      </c>
      <c r="D7" s="336">
        <v>698.33</v>
      </c>
      <c r="E7" s="336">
        <v>165.91</v>
      </c>
      <c r="F7" s="336">
        <v>194.09</v>
      </c>
      <c r="G7" s="40">
        <f t="shared" ref="G7:G16" si="0">F7/D7</f>
        <v>0.27793450088067245</v>
      </c>
      <c r="H7" s="93"/>
      <c r="I7" s="508"/>
      <c r="J7" s="508"/>
      <c r="K7" s="508"/>
      <c r="L7" s="508"/>
      <c r="M7" s="508"/>
      <c r="N7" s="508"/>
      <c r="O7" s="508"/>
      <c r="P7" s="508"/>
      <c r="Q7" s="508"/>
      <c r="R7" s="508"/>
    </row>
    <row r="8" spans="1:18" s="14" customFormat="1" ht="15.75" customHeight="1">
      <c r="A8" s="57" t="s">
        <v>103</v>
      </c>
      <c r="B8" s="336">
        <v>194.69</v>
      </c>
      <c r="C8" s="336">
        <v>728.26</v>
      </c>
      <c r="D8" s="336">
        <v>705.74</v>
      </c>
      <c r="E8" s="336">
        <v>164.42</v>
      </c>
      <c r="F8" s="336">
        <v>217.2</v>
      </c>
      <c r="G8" s="40">
        <f t="shared" si="0"/>
        <v>0.30776206534984551</v>
      </c>
      <c r="H8" s="93"/>
      <c r="I8" s="508"/>
      <c r="J8" s="508"/>
      <c r="K8" s="508"/>
      <c r="L8" s="508"/>
      <c r="M8" s="508"/>
      <c r="N8" s="508"/>
      <c r="O8" s="508"/>
      <c r="P8" s="508"/>
      <c r="Q8" s="508"/>
      <c r="R8" s="508"/>
    </row>
    <row r="9" spans="1:18" s="14" customFormat="1" ht="15.75" customHeight="1">
      <c r="A9" s="57" t="s">
        <v>104</v>
      </c>
      <c r="B9" s="336">
        <v>218.69</v>
      </c>
      <c r="C9" s="336">
        <v>735.21</v>
      </c>
      <c r="D9" s="336">
        <v>711.16</v>
      </c>
      <c r="E9" s="336">
        <v>172.84</v>
      </c>
      <c r="F9" s="336">
        <v>242.74</v>
      </c>
      <c r="G9" s="40">
        <f t="shared" si="0"/>
        <v>0.34132965858597225</v>
      </c>
      <c r="H9" s="93"/>
      <c r="I9" s="508"/>
      <c r="J9" s="508"/>
      <c r="K9" s="508"/>
      <c r="L9" s="508"/>
      <c r="M9" s="508"/>
      <c r="N9" s="508"/>
      <c r="O9" s="508"/>
      <c r="P9" s="508"/>
      <c r="Q9" s="508"/>
      <c r="R9" s="508"/>
    </row>
    <row r="10" spans="1:18" s="14" customFormat="1" ht="15.75" customHeight="1">
      <c r="A10" s="57" t="s">
        <v>105</v>
      </c>
      <c r="B10" s="336">
        <v>245</v>
      </c>
      <c r="C10" s="336">
        <v>756.4</v>
      </c>
      <c r="D10" s="336">
        <v>739.09</v>
      </c>
      <c r="E10" s="336">
        <v>183.36</v>
      </c>
      <c r="F10" s="336">
        <v>262.08</v>
      </c>
      <c r="G10" s="40">
        <f t="shared" si="0"/>
        <v>0.35459822213803455</v>
      </c>
      <c r="H10" s="93"/>
      <c r="I10" s="508"/>
      <c r="J10" s="508"/>
      <c r="K10" s="508"/>
      <c r="L10" s="508"/>
      <c r="M10" s="508"/>
      <c r="N10" s="508"/>
      <c r="O10" s="508"/>
      <c r="P10" s="508"/>
      <c r="Q10" s="508"/>
      <c r="R10" s="508"/>
    </row>
    <row r="11" spans="1:18" s="14" customFormat="1" ht="15.75" customHeight="1">
      <c r="A11" s="24" t="s">
        <v>106</v>
      </c>
      <c r="B11" s="336">
        <v>262.79000000000002</v>
      </c>
      <c r="C11" s="336">
        <v>762.88</v>
      </c>
      <c r="D11" s="336">
        <v>741.98</v>
      </c>
      <c r="E11" s="336">
        <v>182.47</v>
      </c>
      <c r="F11" s="336">
        <v>283.69</v>
      </c>
      <c r="G11" s="40">
        <f t="shared" si="0"/>
        <v>0.38234184209816974</v>
      </c>
      <c r="H11" s="93"/>
      <c r="I11" s="508"/>
      <c r="J11" s="508"/>
      <c r="K11" s="508"/>
      <c r="L11" s="508"/>
      <c r="M11" s="508"/>
      <c r="N11" s="508"/>
      <c r="O11" s="508"/>
      <c r="P11" s="508"/>
      <c r="Q11" s="508"/>
      <c r="R11" s="508"/>
    </row>
    <row r="12" spans="1:18" s="14" customFormat="1" ht="15.75" customHeight="1">
      <c r="A12" s="24" t="s">
        <v>107</v>
      </c>
      <c r="B12" s="336">
        <v>287.18</v>
      </c>
      <c r="C12" s="336">
        <v>731</v>
      </c>
      <c r="D12" s="336">
        <v>734.81</v>
      </c>
      <c r="E12" s="336">
        <v>173.67</v>
      </c>
      <c r="F12" s="336">
        <v>283.37</v>
      </c>
      <c r="G12" s="40">
        <f t="shared" si="0"/>
        <v>0.38563710346892399</v>
      </c>
      <c r="H12" s="93"/>
      <c r="I12" s="508"/>
      <c r="J12" s="508"/>
      <c r="K12" s="508"/>
      <c r="L12" s="508"/>
      <c r="M12" s="508"/>
      <c r="N12" s="508"/>
      <c r="O12" s="508"/>
      <c r="P12" s="508"/>
      <c r="Q12" s="508"/>
      <c r="R12" s="508"/>
    </row>
    <row r="13" spans="1:18" s="14" customFormat="1" ht="15.75" customHeight="1">
      <c r="A13" s="331" t="s">
        <v>108</v>
      </c>
      <c r="B13" s="416">
        <v>281.20999999999998</v>
      </c>
      <c r="C13" s="416">
        <v>762.37</v>
      </c>
      <c r="D13" s="416">
        <v>746.75</v>
      </c>
      <c r="E13" s="416">
        <v>193.87</v>
      </c>
      <c r="F13" s="416">
        <v>296.83</v>
      </c>
      <c r="G13" s="579">
        <f t="shared" si="0"/>
        <v>0.39749581519919652</v>
      </c>
      <c r="H13" s="93"/>
      <c r="I13" s="95"/>
      <c r="J13" s="508"/>
      <c r="K13" s="508"/>
      <c r="L13" s="508"/>
      <c r="M13" s="508"/>
      <c r="N13" s="508"/>
      <c r="O13" s="508"/>
      <c r="P13" s="508"/>
      <c r="Q13" s="508"/>
      <c r="R13" s="508"/>
    </row>
    <row r="14" spans="1:18" s="14" customFormat="1" ht="12.75">
      <c r="A14" s="331" t="s">
        <v>139</v>
      </c>
      <c r="B14" s="416">
        <v>298.20999999999998</v>
      </c>
      <c r="C14" s="416">
        <v>774.28</v>
      </c>
      <c r="D14" s="416">
        <v>782.22</v>
      </c>
      <c r="E14" s="416">
        <v>203.4</v>
      </c>
      <c r="F14" s="416">
        <v>290.27</v>
      </c>
      <c r="G14" s="579">
        <f t="shared" si="0"/>
        <v>0.37108486103653698</v>
      </c>
      <c r="H14" s="93"/>
      <c r="I14" s="95"/>
      <c r="J14" s="509"/>
      <c r="K14" s="508"/>
      <c r="L14" s="508"/>
      <c r="M14" s="508"/>
      <c r="N14" s="508"/>
      <c r="O14" s="508"/>
      <c r="P14" s="508"/>
      <c r="Q14" s="508"/>
      <c r="R14" s="508"/>
    </row>
    <row r="15" spans="1:18" s="14" customFormat="1" ht="15.75" customHeight="1">
      <c r="A15" s="331" t="s">
        <v>701</v>
      </c>
      <c r="B15" s="416">
        <v>290.27</v>
      </c>
      <c r="C15" s="416">
        <v>779.24</v>
      </c>
      <c r="D15" s="416">
        <v>793.16</v>
      </c>
      <c r="E15" s="416">
        <v>202.67</v>
      </c>
      <c r="F15" s="416">
        <v>276.35000000000002</v>
      </c>
      <c r="G15" s="579">
        <f t="shared" si="0"/>
        <v>0.34841646073932125</v>
      </c>
      <c r="H15" s="93"/>
      <c r="I15" s="95"/>
      <c r="J15" s="509"/>
      <c r="K15" s="508"/>
      <c r="L15" s="508"/>
      <c r="M15" s="508"/>
      <c r="N15" s="508"/>
      <c r="O15" s="508"/>
      <c r="P15" s="508"/>
      <c r="Q15" s="508"/>
      <c r="R15" s="508"/>
    </row>
    <row r="16" spans="1:18" s="14" customFormat="1" ht="15.75" customHeight="1">
      <c r="A16" s="334" t="s">
        <v>702</v>
      </c>
      <c r="B16" s="416">
        <v>276.35000000000002</v>
      </c>
      <c r="C16" s="416">
        <v>779.6</v>
      </c>
      <c r="D16" s="416">
        <v>788.6</v>
      </c>
      <c r="E16" s="416">
        <v>208.65</v>
      </c>
      <c r="F16" s="416">
        <v>267.33999999999997</v>
      </c>
      <c r="G16" s="579">
        <f t="shared" si="0"/>
        <v>0.33900583312198829</v>
      </c>
      <c r="H16" s="93"/>
      <c r="I16" s="95"/>
      <c r="J16" s="509"/>
      <c r="K16" s="508"/>
      <c r="L16" s="508"/>
      <c r="M16" s="508"/>
      <c r="N16" s="508"/>
      <c r="O16" s="508"/>
      <c r="P16" s="508"/>
      <c r="Q16" s="508"/>
      <c r="R16" s="508"/>
    </row>
    <row r="17" spans="1:18" s="14" customFormat="1" ht="15" customHeight="1">
      <c r="A17" s="786" t="s">
        <v>109</v>
      </c>
      <c r="B17" s="786"/>
      <c r="C17" s="786"/>
      <c r="D17" s="786"/>
      <c r="E17" s="786"/>
      <c r="F17" s="786"/>
      <c r="G17" s="786"/>
      <c r="H17" s="22"/>
      <c r="I17" s="508"/>
      <c r="J17" s="508"/>
      <c r="K17" s="508"/>
      <c r="L17" s="508"/>
      <c r="M17" s="508"/>
      <c r="N17" s="508"/>
      <c r="O17" s="508"/>
      <c r="P17" s="508"/>
      <c r="Q17" s="508"/>
      <c r="R17" s="508"/>
    </row>
    <row r="18" spans="1:18" s="14" customFormat="1" ht="9.9499999999999993" customHeight="1">
      <c r="A18" s="303"/>
      <c r="B18" s="394"/>
      <c r="C18" s="394"/>
      <c r="D18" s="394"/>
      <c r="E18" s="394"/>
      <c r="F18" s="394"/>
      <c r="G18" s="303"/>
      <c r="H18" s="22"/>
      <c r="I18" s="508"/>
      <c r="J18" s="508"/>
      <c r="K18" s="508"/>
      <c r="L18" s="508"/>
      <c r="M18" s="508"/>
      <c r="N18" s="508"/>
      <c r="O18" s="508"/>
      <c r="P18" s="508"/>
      <c r="Q18" s="508"/>
      <c r="R18" s="508"/>
    </row>
    <row r="19" spans="1:18">
      <c r="C19" s="12"/>
    </row>
    <row r="20" spans="1:18" ht="15" customHeight="1">
      <c r="H20" s="508"/>
    </row>
    <row r="21" spans="1:18" ht="9.9499999999999993" customHeight="1">
      <c r="O21" s="21"/>
      <c r="P21" s="21"/>
      <c r="Q21" s="21"/>
    </row>
    <row r="22" spans="1:18" ht="15" customHeight="1">
      <c r="O22" s="21"/>
      <c r="P22" s="21"/>
      <c r="Q22" s="21"/>
    </row>
    <row r="23" spans="1:18" ht="15" customHeight="1">
      <c r="O23" s="21"/>
      <c r="P23" s="21"/>
      <c r="Q23" s="21"/>
    </row>
    <row r="24" spans="1:18" ht="15" customHeight="1">
      <c r="O24" s="21"/>
      <c r="P24" s="21"/>
      <c r="Q24" s="21"/>
    </row>
    <row r="25" spans="1:18" ht="15" customHeight="1"/>
    <row r="26" spans="1:18" ht="15" customHeight="1"/>
    <row r="27" spans="1:18" ht="15" customHeight="1"/>
    <row r="28" spans="1:18" ht="15" customHeight="1"/>
    <row r="29" spans="1:18" ht="15" customHeight="1"/>
    <row r="30" spans="1:18" ht="15" customHeight="1"/>
    <row r="31" spans="1:18" ht="15" customHeight="1"/>
    <row r="32" spans="1:18" ht="15" customHeight="1"/>
    <row r="33" spans="3:8" ht="15" customHeight="1"/>
    <row r="34" spans="3:8" ht="15" customHeight="1">
      <c r="H34" s="91"/>
    </row>
    <row r="35" spans="3:8" ht="14.25" customHeight="1"/>
    <row r="36" spans="3:8" ht="14.25" customHeight="1"/>
    <row r="37" spans="3:8" ht="14.25" customHeight="1"/>
    <row r="38" spans="3:8" ht="14.25" customHeight="1"/>
    <row r="39" spans="3:8" ht="14.25" customHeight="1"/>
    <row r="40" spans="3:8" ht="14.25" customHeight="1"/>
    <row r="41" spans="3:8" ht="14.25" customHeight="1"/>
    <row r="42" spans="3:8" ht="14.25" customHeight="1">
      <c r="C42" s="12"/>
      <c r="D42" s="12"/>
      <c r="E42" s="12"/>
      <c r="F42" s="12"/>
    </row>
    <row r="43" spans="3:8" ht="18">
      <c r="C43" s="11"/>
      <c r="D43" s="11"/>
      <c r="E43" s="11"/>
      <c r="F43" s="11"/>
    </row>
  </sheetData>
  <customSheetViews>
    <customSheetView guid="{5CDC6F58-B038-4A0E-A13D-C643B013E119}" topLeftCell="A12">
      <selection activeCell="D28" sqref="D28"/>
      <pageMargins left="0" right="0" top="0" bottom="0" header="0" footer="0"/>
      <printOptions horizontalCentered="1"/>
      <pageSetup firstPageNumber="0" orientation="portrait" r:id="rId1"/>
      <headerFooter alignWithMargins="0">
        <oddFooter>&amp;C&amp;10&amp;A</oddFooter>
      </headerFooter>
    </customSheetView>
  </customSheetViews>
  <mergeCells count="4">
    <mergeCell ref="A17:G17"/>
    <mergeCell ref="A1:G1"/>
    <mergeCell ref="A3:G3"/>
    <mergeCell ref="A4:G4"/>
  </mergeCells>
  <printOptions horizontalCentered="1"/>
  <pageMargins left="0.59055118110236227" right="0.59055118110236227" top="1.299212598425197" bottom="0.78740157480314965" header="0.51181102362204722" footer="0.59055118110236227"/>
  <pageSetup paperSize="126" scale="97"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X31"/>
  <sheetViews>
    <sheetView topLeftCell="A13" zoomScale="90" zoomScaleNormal="90" workbookViewId="0">
      <selection activeCell="C23" sqref="C23"/>
    </sheetView>
  </sheetViews>
  <sheetFormatPr baseColWidth="10" defaultColWidth="10.90625" defaultRowHeight="18"/>
  <cols>
    <col min="1" max="1" width="1.81640625" customWidth="1"/>
    <col min="2" max="2" width="11.6328125" customWidth="1"/>
    <col min="3" max="3" width="8.81640625" bestFit="1" customWidth="1"/>
    <col min="4" max="15" width="4.6328125" customWidth="1"/>
  </cols>
  <sheetData>
    <row r="2" spans="2:24">
      <c r="B2" s="789" t="s">
        <v>110</v>
      </c>
      <c r="C2" s="789"/>
      <c r="D2" s="789"/>
      <c r="E2" s="789"/>
      <c r="F2" s="789"/>
      <c r="G2" s="789"/>
      <c r="H2" s="789"/>
      <c r="I2" s="789"/>
      <c r="J2" s="789"/>
      <c r="K2" s="789"/>
      <c r="L2" s="789"/>
      <c r="M2" s="789"/>
      <c r="N2" s="789"/>
      <c r="O2" s="789"/>
    </row>
    <row r="3" spans="2:24" ht="18" customHeight="1">
      <c r="B3" s="790" t="s">
        <v>534</v>
      </c>
      <c r="C3" s="790"/>
      <c r="D3" s="790"/>
      <c r="E3" s="790"/>
      <c r="F3" s="790"/>
      <c r="G3" s="790"/>
      <c r="H3" s="790"/>
      <c r="I3" s="790"/>
      <c r="J3" s="790"/>
      <c r="K3" s="790"/>
      <c r="L3" s="790"/>
      <c r="M3" s="790"/>
      <c r="N3" s="790"/>
      <c r="O3" s="790"/>
    </row>
    <row r="4" spans="2:24" ht="18" customHeight="1">
      <c r="B4" s="791" t="s">
        <v>741</v>
      </c>
      <c r="C4" s="791"/>
      <c r="D4" s="791"/>
      <c r="E4" s="791"/>
      <c r="F4" s="791"/>
      <c r="G4" s="791"/>
      <c r="H4" s="791"/>
      <c r="I4" s="791"/>
      <c r="J4" s="791"/>
      <c r="K4" s="791"/>
      <c r="L4" s="791"/>
      <c r="M4" s="791"/>
      <c r="N4" s="791"/>
      <c r="O4" s="791"/>
    </row>
    <row r="5" spans="2:24">
      <c r="B5" s="791"/>
      <c r="C5" s="791"/>
      <c r="D5" s="791"/>
      <c r="E5" s="791"/>
      <c r="F5" s="791"/>
      <c r="G5" s="791"/>
      <c r="H5" s="791"/>
      <c r="I5" s="791"/>
      <c r="J5" s="357"/>
    </row>
    <row r="6" spans="2:24" ht="58.7" customHeight="1">
      <c r="B6" s="298" t="s">
        <v>111</v>
      </c>
      <c r="C6" s="333" t="s">
        <v>121</v>
      </c>
      <c r="D6" s="333" t="s">
        <v>112</v>
      </c>
      <c r="E6" s="333" t="s">
        <v>386</v>
      </c>
      <c r="F6" s="333" t="s">
        <v>535</v>
      </c>
      <c r="G6" s="333" t="s">
        <v>417</v>
      </c>
      <c r="H6" s="333" t="s">
        <v>536</v>
      </c>
      <c r="I6" s="333" t="s">
        <v>537</v>
      </c>
      <c r="J6" s="333" t="s">
        <v>538</v>
      </c>
      <c r="K6" s="333" t="s">
        <v>119</v>
      </c>
      <c r="L6" s="333" t="s">
        <v>539</v>
      </c>
      <c r="M6" s="333" t="s">
        <v>540</v>
      </c>
      <c r="N6" s="333" t="s">
        <v>120</v>
      </c>
      <c r="O6" s="333" t="s">
        <v>122</v>
      </c>
    </row>
    <row r="7" spans="2:24" ht="21.75" customHeight="1">
      <c r="B7" s="980" t="s">
        <v>704</v>
      </c>
      <c r="C7" s="980"/>
      <c r="D7" s="980"/>
      <c r="E7" s="980"/>
      <c r="F7" s="980"/>
      <c r="G7" s="980"/>
      <c r="H7" s="980"/>
      <c r="I7" s="980"/>
      <c r="J7" s="980"/>
      <c r="K7" s="980"/>
      <c r="L7" s="980"/>
      <c r="M7" s="980"/>
      <c r="N7" s="980"/>
      <c r="O7" s="980"/>
    </row>
    <row r="8" spans="2:24">
      <c r="B8" s="315" t="s">
        <v>89</v>
      </c>
      <c r="C8" s="372">
        <v>187.88</v>
      </c>
      <c r="D8" s="372">
        <v>7.8E-2</v>
      </c>
      <c r="E8" s="372">
        <v>0.56999999999999995</v>
      </c>
      <c r="F8" s="372">
        <v>1.21</v>
      </c>
      <c r="G8" s="372">
        <v>0.01</v>
      </c>
      <c r="H8" s="372">
        <v>37</v>
      </c>
      <c r="I8" s="372">
        <v>1.9</v>
      </c>
      <c r="J8" s="372">
        <v>4.28</v>
      </c>
      <c r="K8" s="372">
        <v>1.39</v>
      </c>
      <c r="L8" s="372">
        <v>8.2000000000000003E-2</v>
      </c>
      <c r="M8" s="372">
        <v>2.64</v>
      </c>
      <c r="N8" s="372">
        <v>116.5</v>
      </c>
      <c r="O8" s="372">
        <v>71.38</v>
      </c>
    </row>
    <row r="9" spans="2:24">
      <c r="B9" s="315" t="s">
        <v>90</v>
      </c>
      <c r="C9" s="372">
        <v>513.65</v>
      </c>
      <c r="D9" s="372">
        <v>0.78</v>
      </c>
      <c r="E9" s="372">
        <v>7.34</v>
      </c>
      <c r="F9" s="372">
        <v>12.35</v>
      </c>
      <c r="G9" s="372">
        <v>0.7</v>
      </c>
      <c r="H9" s="372">
        <v>129.66</v>
      </c>
      <c r="I9" s="372">
        <v>8.6999999999999993</v>
      </c>
      <c r="J9" s="372">
        <v>19.649999999999999</v>
      </c>
      <c r="K9" s="372">
        <v>6.09</v>
      </c>
      <c r="L9" s="372">
        <v>0.88200000000000001</v>
      </c>
      <c r="M9" s="372">
        <v>27.07</v>
      </c>
      <c r="N9" s="372">
        <v>148.99</v>
      </c>
      <c r="O9" s="372">
        <v>364.66</v>
      </c>
    </row>
    <row r="10" spans="2:24">
      <c r="B10" s="315" t="s">
        <v>123</v>
      </c>
      <c r="C10" s="372">
        <v>53.62</v>
      </c>
      <c r="D10" s="372">
        <v>7.0000000000000001E-3</v>
      </c>
      <c r="E10" s="372">
        <v>0.8</v>
      </c>
      <c r="F10" s="372">
        <v>0</v>
      </c>
      <c r="G10" s="372">
        <v>0</v>
      </c>
      <c r="H10" s="372">
        <v>0</v>
      </c>
      <c r="I10" s="372">
        <v>0.01</v>
      </c>
      <c r="J10" s="372">
        <v>0.2</v>
      </c>
      <c r="K10" s="372">
        <v>1.21</v>
      </c>
      <c r="L10" s="372">
        <v>0</v>
      </c>
      <c r="M10" s="372">
        <v>1.2</v>
      </c>
      <c r="N10" s="372">
        <v>5.9</v>
      </c>
      <c r="O10" s="372">
        <v>47.72</v>
      </c>
    </row>
    <row r="11" spans="2:24">
      <c r="B11" s="315" t="s">
        <v>91</v>
      </c>
      <c r="C11" s="372">
        <v>516.71</v>
      </c>
      <c r="D11" s="372">
        <v>0.48499999999999999</v>
      </c>
      <c r="E11" s="372">
        <v>7.35</v>
      </c>
      <c r="F11" s="372">
        <v>10.5</v>
      </c>
      <c r="G11" s="372">
        <v>5.5E-2</v>
      </c>
      <c r="H11" s="372">
        <v>108.41</v>
      </c>
      <c r="I11" s="372">
        <v>4</v>
      </c>
      <c r="J11" s="372">
        <v>13</v>
      </c>
      <c r="K11" s="372">
        <v>4.72</v>
      </c>
      <c r="L11" s="372">
        <v>0.06</v>
      </c>
      <c r="M11" s="372">
        <v>21.5</v>
      </c>
      <c r="N11" s="372">
        <v>156.29</v>
      </c>
      <c r="O11" s="372">
        <v>360.42</v>
      </c>
    </row>
    <row r="12" spans="2:24">
      <c r="B12" s="315" t="s">
        <v>92</v>
      </c>
      <c r="C12" s="372">
        <v>54.6</v>
      </c>
      <c r="D12" s="372">
        <v>0.32</v>
      </c>
      <c r="E12" s="372">
        <v>0.85</v>
      </c>
      <c r="F12" s="372">
        <v>2.2999999999999998</v>
      </c>
      <c r="G12" s="372">
        <v>0.64</v>
      </c>
      <c r="H12" s="372">
        <v>21.75</v>
      </c>
      <c r="I12" s="372">
        <v>4.8</v>
      </c>
      <c r="J12" s="372">
        <v>7.2</v>
      </c>
      <c r="K12" s="372">
        <v>2.65</v>
      </c>
      <c r="L12" s="372">
        <v>0.82</v>
      </c>
      <c r="M12" s="372">
        <v>6.6</v>
      </c>
      <c r="N12" s="372">
        <v>2.1</v>
      </c>
      <c r="O12" s="372">
        <v>52.5</v>
      </c>
    </row>
    <row r="13" spans="2:24">
      <c r="B13" s="442" t="s">
        <v>99</v>
      </c>
      <c r="C13" s="372">
        <v>184.82</v>
      </c>
      <c r="D13" s="372">
        <v>0.06</v>
      </c>
      <c r="E13" s="372">
        <v>0.51</v>
      </c>
      <c r="F13" s="372">
        <v>0.77</v>
      </c>
      <c r="G13" s="372">
        <v>1.4999999999999999E-2</v>
      </c>
      <c r="H13" s="372">
        <v>36.5</v>
      </c>
      <c r="I13" s="372">
        <v>1.8</v>
      </c>
      <c r="J13" s="372">
        <v>3.93</v>
      </c>
      <c r="K13" s="372">
        <v>1.32</v>
      </c>
      <c r="L13" s="372">
        <v>8.4000000000000005E-2</v>
      </c>
      <c r="M13" s="372">
        <v>2.81</v>
      </c>
      <c r="N13" s="372">
        <v>113</v>
      </c>
      <c r="O13" s="372">
        <v>71.819999999999993</v>
      </c>
      <c r="P13" s="127"/>
      <c r="Q13" s="127"/>
      <c r="R13" s="127"/>
      <c r="S13" s="127"/>
      <c r="T13" s="127"/>
      <c r="U13" s="127"/>
      <c r="V13" s="127"/>
      <c r="W13" s="127"/>
      <c r="X13" s="127"/>
    </row>
    <row r="14" spans="2:24" ht="18" customHeight="1">
      <c r="B14" s="981" t="s">
        <v>703</v>
      </c>
      <c r="C14" s="981"/>
      <c r="D14" s="981"/>
      <c r="E14" s="981"/>
      <c r="F14" s="981"/>
      <c r="G14" s="981"/>
      <c r="H14" s="981"/>
      <c r="I14" s="981"/>
      <c r="J14" s="981"/>
      <c r="K14" s="981"/>
      <c r="L14" s="981"/>
      <c r="M14" s="981"/>
      <c r="N14" s="981"/>
      <c r="O14" s="981"/>
    </row>
    <row r="15" spans="2:24">
      <c r="B15" s="443" t="s">
        <v>89</v>
      </c>
      <c r="C15" s="372">
        <v>184.82</v>
      </c>
      <c r="D15" s="372">
        <v>0.06</v>
      </c>
      <c r="E15" s="372">
        <v>0.51</v>
      </c>
      <c r="F15" s="372">
        <v>0.77</v>
      </c>
      <c r="G15" s="372">
        <v>1.4999999999999999E-2</v>
      </c>
      <c r="H15" s="372">
        <v>36.5</v>
      </c>
      <c r="I15" s="372">
        <v>1.8</v>
      </c>
      <c r="J15" s="372">
        <v>3.93</v>
      </c>
      <c r="K15" s="372">
        <v>1.32</v>
      </c>
      <c r="L15" s="372">
        <v>8.4000000000000005E-2</v>
      </c>
      <c r="M15" s="372">
        <v>2.81</v>
      </c>
      <c r="N15" s="372">
        <v>113</v>
      </c>
      <c r="O15" s="372">
        <v>71.819999999999993</v>
      </c>
    </row>
    <row r="16" spans="2:24">
      <c r="B16" s="448" t="s">
        <v>90</v>
      </c>
      <c r="C16" s="372">
        <v>512.44000000000005</v>
      </c>
      <c r="D16" s="372">
        <v>0.83</v>
      </c>
      <c r="E16" s="372">
        <v>7.1</v>
      </c>
      <c r="F16" s="372">
        <v>12.5</v>
      </c>
      <c r="G16" s="372">
        <v>0.76800000000000002</v>
      </c>
      <c r="H16" s="372">
        <v>128.5</v>
      </c>
      <c r="I16" s="372">
        <v>8.9</v>
      </c>
      <c r="J16" s="372">
        <v>19.8</v>
      </c>
      <c r="K16" s="372">
        <v>5.59</v>
      </c>
      <c r="L16" s="372">
        <v>0.91</v>
      </c>
      <c r="M16" s="372">
        <v>27.4</v>
      </c>
      <c r="N16" s="372">
        <v>149</v>
      </c>
      <c r="O16" s="372">
        <v>363.44</v>
      </c>
      <c r="Q16" s="382"/>
    </row>
    <row r="17" spans="2:24">
      <c r="B17" s="448" t="s">
        <v>123</v>
      </c>
      <c r="C17" s="372">
        <v>53.1</v>
      </c>
      <c r="D17" s="372">
        <v>5.0000000000000001E-3</v>
      </c>
      <c r="E17" s="372">
        <v>0.85</v>
      </c>
      <c r="F17" s="372">
        <v>0</v>
      </c>
      <c r="G17" s="372">
        <v>0</v>
      </c>
      <c r="H17" s="372">
        <v>0</v>
      </c>
      <c r="I17" s="372">
        <v>0.01</v>
      </c>
      <c r="J17" s="372">
        <v>0.2</v>
      </c>
      <c r="K17" s="372">
        <v>1.37</v>
      </c>
      <c r="L17" s="372">
        <v>0</v>
      </c>
      <c r="M17" s="372">
        <v>0.8</v>
      </c>
      <c r="N17" s="372">
        <v>6</v>
      </c>
      <c r="O17" s="372">
        <v>47.1</v>
      </c>
    </row>
    <row r="18" spans="2:24">
      <c r="B18" s="448" t="s">
        <v>91</v>
      </c>
      <c r="C18" s="372">
        <v>518.74</v>
      </c>
      <c r="D18" s="372">
        <v>0.48499999999999999</v>
      </c>
      <c r="E18" s="372">
        <v>7.3</v>
      </c>
      <c r="F18" s="372">
        <v>10.5</v>
      </c>
      <c r="G18" s="372">
        <v>5.5E-2</v>
      </c>
      <c r="H18" s="372">
        <v>107.5</v>
      </c>
      <c r="I18" s="372">
        <v>4.0999999999999996</v>
      </c>
      <c r="J18" s="372">
        <v>13.1</v>
      </c>
      <c r="K18" s="372">
        <v>4.5999999999999996</v>
      </c>
      <c r="L18" s="372">
        <v>0.06</v>
      </c>
      <c r="M18" s="372">
        <v>21.7</v>
      </c>
      <c r="N18" s="372">
        <v>156.6</v>
      </c>
      <c r="O18" s="372">
        <v>362.14</v>
      </c>
    </row>
    <row r="19" spans="2:24">
      <c r="B19" s="448" t="s">
        <v>92</v>
      </c>
      <c r="C19" s="372">
        <v>54.67</v>
      </c>
      <c r="D19" s="372">
        <v>0.32</v>
      </c>
      <c r="E19" s="372">
        <v>0.7</v>
      </c>
      <c r="F19" s="372">
        <v>2.1</v>
      </c>
      <c r="G19" s="372">
        <v>0.7</v>
      </c>
      <c r="H19" s="372">
        <v>22</v>
      </c>
      <c r="I19" s="372">
        <v>4.9000000000000004</v>
      </c>
      <c r="J19" s="372">
        <v>7.5</v>
      </c>
      <c r="K19" s="372">
        <v>2.5099999999999998</v>
      </c>
      <c r="L19" s="372">
        <v>0.85</v>
      </c>
      <c r="M19" s="372">
        <v>6.4</v>
      </c>
      <c r="N19" s="372">
        <v>2.4</v>
      </c>
      <c r="O19" s="372">
        <v>52.27</v>
      </c>
    </row>
    <row r="20" spans="2:24">
      <c r="B20" s="448" t="s">
        <v>99</v>
      </c>
      <c r="C20" s="372">
        <v>178.52</v>
      </c>
      <c r="D20" s="372">
        <v>0.09</v>
      </c>
      <c r="E20" s="372">
        <v>0.46</v>
      </c>
      <c r="F20" s="372">
        <v>0.67</v>
      </c>
      <c r="G20" s="372">
        <v>2.8000000000000001E-2</v>
      </c>
      <c r="H20" s="372">
        <v>35.5</v>
      </c>
      <c r="I20" s="372">
        <v>1.71</v>
      </c>
      <c r="J20" s="372">
        <v>3.33</v>
      </c>
      <c r="K20" s="372">
        <v>1.1599999999999999</v>
      </c>
      <c r="L20" s="372">
        <v>8.4000000000000005E-2</v>
      </c>
      <c r="M20" s="372">
        <v>2.91</v>
      </c>
      <c r="N20" s="372">
        <v>109</v>
      </c>
      <c r="O20" s="372">
        <v>69.52</v>
      </c>
      <c r="P20" s="127"/>
      <c r="Q20" s="395"/>
      <c r="R20" s="127"/>
      <c r="S20" s="127"/>
      <c r="T20" s="127"/>
      <c r="U20" s="127"/>
      <c r="V20" s="127"/>
      <c r="W20" s="127"/>
      <c r="X20" s="127"/>
    </row>
    <row r="21" spans="2:24">
      <c r="B21" s="979" t="s">
        <v>541</v>
      </c>
      <c r="C21" s="979"/>
      <c r="D21" s="979"/>
      <c r="E21" s="979"/>
      <c r="F21" s="979"/>
      <c r="G21" s="979"/>
      <c r="H21" s="979"/>
      <c r="I21" s="979"/>
      <c r="J21" s="979"/>
      <c r="K21" s="979"/>
      <c r="L21" s="979"/>
      <c r="M21" s="979"/>
      <c r="N21" s="979"/>
      <c r="O21" s="979"/>
    </row>
    <row r="22" spans="2:24">
      <c r="B22" s="127"/>
      <c r="C22" s="127"/>
      <c r="D22" s="127"/>
      <c r="E22" s="127"/>
      <c r="F22" s="127"/>
      <c r="G22" s="127"/>
      <c r="H22" s="127"/>
      <c r="I22" s="127"/>
      <c r="J22" s="127"/>
      <c r="K22" s="127"/>
      <c r="L22" s="127"/>
      <c r="M22" s="127"/>
      <c r="N22" s="127"/>
      <c r="O22" s="127"/>
    </row>
    <row r="23" spans="2:24">
      <c r="B23" s="127"/>
      <c r="C23" s="127"/>
      <c r="D23" s="127"/>
      <c r="E23" s="127"/>
      <c r="F23" s="127"/>
      <c r="G23" s="127"/>
      <c r="H23" s="127"/>
      <c r="I23" s="127"/>
      <c r="J23" s="127"/>
      <c r="K23" s="127"/>
      <c r="L23" s="127"/>
      <c r="M23" s="127"/>
      <c r="N23" s="127"/>
      <c r="O23" s="127"/>
    </row>
    <row r="24" spans="2:24">
      <c r="B24" s="127"/>
      <c r="C24" s="11"/>
      <c r="D24" s="127"/>
      <c r="E24" s="127"/>
      <c r="F24" s="127"/>
      <c r="G24" s="127"/>
      <c r="H24" s="127"/>
      <c r="I24" s="127"/>
      <c r="J24" s="127"/>
      <c r="K24" s="127"/>
      <c r="L24" s="127"/>
      <c r="M24" s="127"/>
      <c r="N24" s="127"/>
      <c r="O24" s="127"/>
    </row>
    <row r="25" spans="2:24">
      <c r="B25" s="127"/>
      <c r="C25" s="318"/>
      <c r="D25" s="127"/>
      <c r="E25" s="127"/>
      <c r="F25" s="127"/>
      <c r="G25" s="127"/>
      <c r="H25" s="127"/>
      <c r="I25" s="127"/>
      <c r="J25" s="127"/>
      <c r="K25" s="127"/>
      <c r="L25" s="127"/>
      <c r="M25" s="127"/>
      <c r="N25" s="127"/>
      <c r="O25" s="127"/>
    </row>
    <row r="26" spans="2:24">
      <c r="B26" s="127"/>
      <c r="C26" s="127"/>
      <c r="D26" s="127"/>
      <c r="E26" s="127"/>
      <c r="F26" s="127"/>
      <c r="G26" s="127"/>
      <c r="H26" s="127"/>
      <c r="I26" s="127"/>
      <c r="J26" s="127"/>
      <c r="K26" s="127"/>
      <c r="L26" s="127"/>
      <c r="M26" s="127"/>
      <c r="N26" s="127"/>
      <c r="O26" s="127"/>
    </row>
    <row r="27" spans="2:24">
      <c r="B27" s="127"/>
      <c r="C27" s="127"/>
      <c r="D27" s="127"/>
      <c r="E27" s="127"/>
      <c r="F27" s="127"/>
      <c r="G27" s="127"/>
      <c r="H27" s="127"/>
      <c r="I27" s="127"/>
      <c r="J27" s="127"/>
      <c r="K27" s="127"/>
      <c r="L27" s="127"/>
      <c r="M27" s="127"/>
      <c r="N27" s="127"/>
      <c r="O27" s="246"/>
    </row>
    <row r="28" spans="2:24">
      <c r="B28" s="127"/>
      <c r="C28" s="127"/>
      <c r="D28" s="127"/>
      <c r="E28" s="127"/>
      <c r="F28" s="127"/>
      <c r="G28" s="127"/>
      <c r="H28" s="127"/>
      <c r="I28" s="127"/>
      <c r="J28" s="127"/>
      <c r="K28" s="127"/>
      <c r="L28" s="127"/>
      <c r="M28" s="127"/>
      <c r="N28" s="127"/>
      <c r="O28" s="127"/>
    </row>
    <row r="29" spans="2:24">
      <c r="B29" s="127"/>
      <c r="C29" s="127"/>
      <c r="D29" s="127"/>
      <c r="E29" s="127"/>
      <c r="F29" s="127"/>
      <c r="G29" s="127"/>
      <c r="H29" s="127"/>
      <c r="I29" s="127"/>
      <c r="J29" s="127"/>
      <c r="K29" s="127"/>
      <c r="L29" s="127"/>
      <c r="M29" s="127"/>
      <c r="N29" s="127"/>
      <c r="O29" s="127"/>
    </row>
    <row r="30" spans="2:24">
      <c r="B30" s="127"/>
      <c r="C30" s="127"/>
      <c r="D30" s="127"/>
      <c r="E30" s="127"/>
      <c r="F30" s="127"/>
      <c r="G30" s="127"/>
      <c r="H30" s="127"/>
      <c r="I30" s="127"/>
      <c r="J30" s="127"/>
      <c r="K30" s="127"/>
      <c r="L30" s="127"/>
      <c r="M30" s="127"/>
      <c r="N30" s="127"/>
      <c r="O30" s="127"/>
    </row>
    <row r="31" spans="2:24">
      <c r="B31" s="127"/>
      <c r="C31" s="127"/>
      <c r="D31" s="127"/>
      <c r="E31" s="127"/>
      <c r="F31" s="127"/>
      <c r="G31" s="127"/>
      <c r="H31" s="127"/>
      <c r="I31" s="127"/>
      <c r="J31" s="127"/>
      <c r="K31" s="127"/>
      <c r="L31" s="127"/>
      <c r="M31" s="127"/>
      <c r="N31" s="127"/>
      <c r="O31" s="127"/>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paperSize="126" orientation="landscape"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M24"/>
  <sheetViews>
    <sheetView topLeftCell="A15" zoomScaleNormal="100" workbookViewId="0">
      <selection activeCell="G12" sqref="G12"/>
    </sheetView>
  </sheetViews>
  <sheetFormatPr baseColWidth="10" defaultColWidth="10.90625" defaultRowHeight="12.75"/>
  <cols>
    <col min="1" max="1" width="0.90625" style="39" customWidth="1"/>
    <col min="2" max="2" width="13.453125" style="39" customWidth="1"/>
    <col min="3" max="5" width="14.1796875" style="39" customWidth="1"/>
    <col min="6" max="6" width="2.6328125" style="39" customWidth="1"/>
    <col min="7" max="7" width="6.7265625" style="39" customWidth="1"/>
    <col min="8" max="8" width="7" style="39" customWidth="1"/>
    <col min="9" max="16384" width="10.90625" style="39"/>
  </cols>
  <sheetData>
    <row r="1" spans="2:13" s="19" customFormat="1" ht="15" customHeight="1">
      <c r="B1" s="789" t="s">
        <v>125</v>
      </c>
      <c r="C1" s="789"/>
      <c r="D1" s="789"/>
      <c r="E1" s="789"/>
    </row>
    <row r="2" spans="2:13" s="19" customFormat="1" ht="15" customHeight="1"/>
    <row r="3" spans="2:13" s="19" customFormat="1" ht="18.600000000000001" customHeight="1">
      <c r="B3" s="790" t="s">
        <v>542</v>
      </c>
      <c r="C3" s="790"/>
      <c r="D3" s="790"/>
      <c r="E3" s="790"/>
    </row>
    <row r="4" spans="2:13" s="19" customFormat="1" ht="15" customHeight="1">
      <c r="B4" s="789" t="s">
        <v>670</v>
      </c>
      <c r="C4" s="789"/>
      <c r="D4" s="789"/>
      <c r="E4" s="789"/>
    </row>
    <row r="5" spans="2:13" s="19" customFormat="1" ht="27.95" customHeight="1">
      <c r="B5" s="128" t="s">
        <v>127</v>
      </c>
      <c r="C5" s="129" t="s">
        <v>543</v>
      </c>
      <c r="D5" s="129" t="s">
        <v>544</v>
      </c>
      <c r="E5" s="129" t="s">
        <v>545</v>
      </c>
      <c r="G5" s="199"/>
    </row>
    <row r="6" spans="2:13" s="19" customFormat="1" ht="18" customHeight="1">
      <c r="B6" s="51" t="s">
        <v>546</v>
      </c>
      <c r="C6" s="327">
        <v>23.68</v>
      </c>
      <c r="D6" s="327">
        <v>127.3112</v>
      </c>
      <c r="E6" s="327">
        <f t="shared" ref="E6:E11" si="0">D6/C6*10</f>
        <v>53.763175675675676</v>
      </c>
      <c r="G6" s="200"/>
      <c r="H6" s="200"/>
    </row>
    <row r="7" spans="2:13" s="19" customFormat="1" ht="18" customHeight="1">
      <c r="B7" s="51" t="s">
        <v>547</v>
      </c>
      <c r="C7" s="327">
        <v>24.527000000000001</v>
      </c>
      <c r="D7" s="327">
        <v>94.672499999999999</v>
      </c>
      <c r="E7" s="327">
        <f t="shared" si="0"/>
        <v>38.599298732009622</v>
      </c>
      <c r="G7" s="200"/>
      <c r="H7" s="200"/>
    </row>
    <row r="8" spans="2:13" s="19" customFormat="1" ht="18" customHeight="1">
      <c r="B8" s="51" t="s">
        <v>391</v>
      </c>
      <c r="C8" s="327">
        <v>25.120999999999999</v>
      </c>
      <c r="D8" s="327">
        <v>130.375</v>
      </c>
      <c r="E8" s="327">
        <f t="shared" si="0"/>
        <v>51.898809760757928</v>
      </c>
      <c r="G8" s="200"/>
      <c r="H8" s="200"/>
    </row>
    <row r="9" spans="2:13" s="19" customFormat="1" ht="18" customHeight="1">
      <c r="B9" s="51" t="s">
        <v>133</v>
      </c>
      <c r="C9" s="327">
        <v>23.991</v>
      </c>
      <c r="D9" s="327">
        <v>149.78790000000001</v>
      </c>
      <c r="E9" s="327">
        <f t="shared" si="0"/>
        <v>62.435038139302243</v>
      </c>
      <c r="G9" s="200"/>
      <c r="H9" s="200"/>
    </row>
    <row r="10" spans="2:13" s="19" customFormat="1" ht="18" customHeight="1">
      <c r="B10" s="51" t="s">
        <v>101</v>
      </c>
      <c r="C10" s="327">
        <v>21</v>
      </c>
      <c r="D10" s="327">
        <v>130.3073</v>
      </c>
      <c r="E10" s="327">
        <f t="shared" si="0"/>
        <v>62.051095238095243</v>
      </c>
      <c r="G10" s="200"/>
      <c r="H10" s="200"/>
    </row>
    <row r="11" spans="2:13" ht="18" customHeight="1">
      <c r="B11" s="51" t="s">
        <v>102</v>
      </c>
      <c r="C11" s="327">
        <v>22.398</v>
      </c>
      <c r="D11" s="327">
        <v>134.88432</v>
      </c>
      <c r="E11" s="327">
        <f t="shared" si="0"/>
        <v>60.221591213501206</v>
      </c>
      <c r="F11" s="27"/>
      <c r="G11" s="200"/>
      <c r="H11" s="200"/>
      <c r="I11" s="28"/>
      <c r="J11" s="131"/>
      <c r="K11" s="131"/>
      <c r="L11" s="132"/>
      <c r="M11" s="28"/>
    </row>
    <row r="12" spans="2:13" ht="18" customHeight="1">
      <c r="B12" s="51" t="s">
        <v>134</v>
      </c>
      <c r="C12" s="327">
        <v>23.713999999999999</v>
      </c>
      <c r="D12" s="327">
        <f>C12*E12/10</f>
        <v>163.6266</v>
      </c>
      <c r="E12" s="327">
        <v>69</v>
      </c>
      <c r="F12" s="27"/>
      <c r="G12" s="200"/>
      <c r="H12" s="201"/>
      <c r="I12" s="202"/>
      <c r="J12" s="203"/>
      <c r="K12" s="203"/>
      <c r="L12" s="132"/>
      <c r="M12" s="28"/>
    </row>
    <row r="13" spans="2:13" ht="18" customHeight="1">
      <c r="B13" s="51" t="s">
        <v>135</v>
      </c>
      <c r="C13" s="327">
        <v>26.54</v>
      </c>
      <c r="D13" s="327">
        <v>174.083</v>
      </c>
      <c r="E13" s="327">
        <f>D13/C13*10</f>
        <v>65.592690278824421</v>
      </c>
      <c r="F13" s="27"/>
      <c r="G13" s="200"/>
      <c r="H13" s="200"/>
      <c r="I13" s="28"/>
      <c r="J13" s="131"/>
      <c r="K13" s="131"/>
      <c r="L13" s="132"/>
      <c r="M13" s="28"/>
    </row>
    <row r="14" spans="2:13" ht="18" customHeight="1">
      <c r="B14" s="51" t="s">
        <v>136</v>
      </c>
      <c r="C14" s="327">
        <v>20.937000000000001</v>
      </c>
      <c r="D14" s="327">
        <v>131.27499</v>
      </c>
      <c r="E14" s="327">
        <v>61.1</v>
      </c>
      <c r="F14" s="27"/>
      <c r="G14" s="200"/>
      <c r="H14" s="200"/>
      <c r="I14" s="28"/>
      <c r="J14" s="131"/>
      <c r="K14" s="131"/>
      <c r="L14" s="132"/>
      <c r="M14" s="28"/>
    </row>
    <row r="15" spans="2:13" ht="18" customHeight="1">
      <c r="B15" s="51" t="s">
        <v>137</v>
      </c>
      <c r="C15" s="327">
        <v>29.521999999999998</v>
      </c>
      <c r="D15" s="327">
        <v>192.80799999999999</v>
      </c>
      <c r="E15" s="327">
        <v>65.309938351060225</v>
      </c>
      <c r="F15" s="27"/>
      <c r="G15" s="200"/>
      <c r="H15" s="200"/>
      <c r="I15" s="28"/>
      <c r="J15" s="131"/>
      <c r="K15" s="131"/>
      <c r="L15" s="132"/>
      <c r="M15" s="28"/>
    </row>
    <row r="16" spans="2:13" ht="18" customHeight="1">
      <c r="B16" s="51" t="s">
        <v>107</v>
      </c>
      <c r="C16" s="327">
        <v>26.242000000000001</v>
      </c>
      <c r="D16" s="327">
        <v>174.8972</v>
      </c>
      <c r="E16" s="327">
        <f>D16/C16*10</f>
        <v>66.647816477402642</v>
      </c>
      <c r="F16" s="27"/>
      <c r="G16" s="200"/>
      <c r="H16" s="200"/>
      <c r="I16" s="28"/>
      <c r="J16" s="131"/>
      <c r="K16" s="131"/>
      <c r="L16" s="132"/>
      <c r="M16" s="28"/>
    </row>
    <row r="17" spans="2:13" ht="18" customHeight="1">
      <c r="B17" s="51" t="s">
        <v>138</v>
      </c>
      <c r="C17" s="327">
        <v>26.393999999999998</v>
      </c>
      <c r="D17" s="327">
        <f>C17*E17/10</f>
        <v>169.71341999999999</v>
      </c>
      <c r="E17" s="327">
        <v>64.3</v>
      </c>
      <c r="F17" s="27"/>
      <c r="G17" s="141"/>
      <c r="H17" s="460"/>
      <c r="I17" s="249"/>
      <c r="J17" s="131"/>
      <c r="K17" s="131"/>
      <c r="L17" s="132"/>
      <c r="M17" s="28"/>
    </row>
    <row r="18" spans="2:13" ht="18" customHeight="1">
      <c r="B18" s="51" t="s">
        <v>139</v>
      </c>
      <c r="C18" s="327">
        <v>22.965</v>
      </c>
      <c r="D18" s="327">
        <f>C18*E18/10</f>
        <v>146.08510000000001</v>
      </c>
      <c r="E18" s="327">
        <v>63.612061833224473</v>
      </c>
      <c r="F18" s="27"/>
      <c r="G18" s="141"/>
      <c r="H18" s="460"/>
      <c r="I18" s="249"/>
      <c r="J18" s="131"/>
      <c r="K18" s="131"/>
      <c r="L18" s="132"/>
      <c r="M18" s="28"/>
    </row>
    <row r="19" spans="2:13" ht="18" customHeight="1">
      <c r="B19" s="51" t="s">
        <v>659</v>
      </c>
      <c r="C19" s="327">
        <v>20.712</v>
      </c>
      <c r="D19" s="327">
        <f>1005570.00672749/10000</f>
        <v>100.557000672749</v>
      </c>
      <c r="E19" s="327">
        <v>48.550116199666228</v>
      </c>
      <c r="F19" s="27"/>
      <c r="G19" s="141"/>
      <c r="H19" s="460"/>
      <c r="I19" s="576"/>
      <c r="J19" s="131"/>
      <c r="K19" s="131"/>
      <c r="L19" s="132"/>
      <c r="M19" s="28"/>
    </row>
    <row r="20" spans="2:13" ht="22.9" customHeight="1">
      <c r="B20" s="834" t="s">
        <v>660</v>
      </c>
      <c r="C20" s="835"/>
      <c r="D20" s="835"/>
      <c r="E20" s="836"/>
      <c r="F20" s="460"/>
      <c r="G20" s="460"/>
      <c r="H20" s="460"/>
    </row>
    <row r="21" spans="2:13">
      <c r="B21" s="459"/>
      <c r="C21" s="459"/>
      <c r="D21" s="459"/>
      <c r="E21" s="459"/>
      <c r="F21" s="459"/>
      <c r="G21" s="459"/>
    </row>
    <row r="22" spans="2:13">
      <c r="B22" s="459"/>
      <c r="C22" s="459"/>
      <c r="D22" s="459"/>
      <c r="E22" s="459"/>
      <c r="F22" s="459"/>
      <c r="G22" s="459"/>
    </row>
    <row r="23" spans="2:13">
      <c r="B23" s="459"/>
      <c r="C23" s="459"/>
      <c r="D23" s="459"/>
      <c r="E23" s="459"/>
      <c r="F23" s="459"/>
      <c r="G23" s="459"/>
    </row>
    <row r="24" spans="2:13">
      <c r="B24" s="458"/>
      <c r="C24" s="458"/>
      <c r="D24" s="458"/>
      <c r="E24" s="458"/>
      <c r="F24" s="458"/>
      <c r="G24" s="459"/>
    </row>
  </sheetData>
  <mergeCells count="4">
    <mergeCell ref="B20:E20"/>
    <mergeCell ref="B1:E1"/>
    <mergeCell ref="B3:E3"/>
    <mergeCell ref="B4:E4"/>
  </mergeCells>
  <pageMargins left="0.70866141732283472" right="0.70866141732283472" top="0.74803149606299213" bottom="0.74803149606299213" header="0.31496062992125984" footer="0.31496062992125984"/>
  <pageSetup paperSize="126"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N32"/>
  <sheetViews>
    <sheetView topLeftCell="A7" zoomScaleNormal="100" zoomScaleSheetLayoutView="50" workbookViewId="0">
      <selection activeCell="J11" sqref="J11"/>
    </sheetView>
  </sheetViews>
  <sheetFormatPr baseColWidth="10" defaultColWidth="10.90625" defaultRowHeight="12.75"/>
  <cols>
    <col min="1" max="1" width="0.90625" style="39" customWidth="1"/>
    <col min="2" max="2" width="12.453125" style="39" customWidth="1"/>
    <col min="3" max="6" width="10.90625" style="39" customWidth="1"/>
    <col min="7" max="7" width="1.453125" style="39" customWidth="1"/>
    <col min="8" max="8" width="6.7265625" style="39" customWidth="1"/>
    <col min="9" max="9" width="7" style="39" customWidth="1"/>
    <col min="10" max="10" width="11.26953125" style="39" bestFit="1" customWidth="1"/>
    <col min="11" max="16384" width="10.90625" style="39"/>
  </cols>
  <sheetData>
    <row r="1" spans="2:14" s="19" customFormat="1" ht="15" customHeight="1">
      <c r="B1" s="789" t="s">
        <v>140</v>
      </c>
      <c r="C1" s="789"/>
      <c r="D1" s="789"/>
      <c r="E1" s="789"/>
      <c r="F1" s="789"/>
    </row>
    <row r="2" spans="2:14" s="19" customFormat="1" ht="28.5" customHeight="1">
      <c r="B2" s="790" t="s">
        <v>467</v>
      </c>
      <c r="C2" s="789"/>
      <c r="D2" s="789"/>
      <c r="E2" s="789"/>
      <c r="F2" s="789"/>
    </row>
    <row r="3" spans="2:14" s="19" customFormat="1" ht="15" customHeight="1">
      <c r="B3" s="789" t="s">
        <v>733</v>
      </c>
      <c r="C3" s="789"/>
      <c r="D3" s="789"/>
      <c r="E3" s="789"/>
      <c r="F3" s="789"/>
    </row>
    <row r="4" spans="2:14" s="19" customFormat="1" ht="15" customHeight="1">
      <c r="B4" s="31"/>
      <c r="C4" s="31"/>
      <c r="D4" s="31"/>
      <c r="E4" s="31"/>
      <c r="F4" s="31"/>
    </row>
    <row r="5" spans="2:14" s="19" customFormat="1" ht="46.5" customHeight="1">
      <c r="B5" s="128" t="s">
        <v>127</v>
      </c>
      <c r="C5" s="128" t="s">
        <v>142</v>
      </c>
      <c r="D5" s="129" t="s">
        <v>143</v>
      </c>
      <c r="E5" s="129" t="s">
        <v>144</v>
      </c>
      <c r="F5" s="129" t="s">
        <v>145</v>
      </c>
    </row>
    <row r="6" spans="2:14" ht="16.5" customHeight="1">
      <c r="B6" s="982" t="s">
        <v>136</v>
      </c>
      <c r="C6" s="136" t="s">
        <v>149</v>
      </c>
      <c r="D6" s="406">
        <v>17395</v>
      </c>
      <c r="E6" s="405">
        <f>D6*F6/10</f>
        <v>111501.95</v>
      </c>
      <c r="F6" s="407">
        <v>64.099999999999994</v>
      </c>
      <c r="G6" s="27"/>
      <c r="H6" s="141"/>
      <c r="I6" s="284"/>
      <c r="J6" s="28"/>
      <c r="K6" s="131"/>
      <c r="L6" s="131"/>
      <c r="M6" s="132"/>
      <c r="N6" s="28"/>
    </row>
    <row r="7" spans="2:14" ht="16.5" customHeight="1">
      <c r="B7" s="983"/>
      <c r="C7" s="136" t="s">
        <v>151</v>
      </c>
      <c r="D7" s="406">
        <v>3542</v>
      </c>
      <c r="E7" s="405">
        <f>D7*F7/10</f>
        <v>16364.040000000003</v>
      </c>
      <c r="F7" s="407">
        <v>46.2</v>
      </c>
      <c r="G7" s="27"/>
      <c r="H7" s="141"/>
      <c r="I7" s="284"/>
      <c r="J7" s="28"/>
      <c r="K7" s="131"/>
      <c r="L7" s="131"/>
      <c r="M7" s="132"/>
      <c r="N7" s="28"/>
    </row>
    <row r="8" spans="2:14" ht="16.5" customHeight="1">
      <c r="B8" s="984"/>
      <c r="C8" s="136" t="s">
        <v>156</v>
      </c>
      <c r="D8" s="406">
        <f>SUM(D6:D7)</f>
        <v>20937</v>
      </c>
      <c r="E8" s="406">
        <f>E6+E7</f>
        <v>127865.99</v>
      </c>
      <c r="F8" s="407">
        <f>E8/D8*10</f>
        <v>61.071782012704787</v>
      </c>
      <c r="G8" s="27"/>
      <c r="H8" s="141"/>
      <c r="I8" s="142"/>
      <c r="J8" s="28"/>
      <c r="K8" s="131"/>
      <c r="L8" s="131"/>
      <c r="M8" s="132"/>
      <c r="N8" s="28"/>
    </row>
    <row r="9" spans="2:14" ht="16.5" customHeight="1">
      <c r="B9" s="982" t="s">
        <v>548</v>
      </c>
      <c r="C9" s="136" t="s">
        <v>149</v>
      </c>
      <c r="D9" s="406">
        <v>27885</v>
      </c>
      <c r="E9" s="405">
        <f>1815355/10</f>
        <v>181535.5</v>
      </c>
      <c r="F9" s="407">
        <f>+E9*10/D9</f>
        <v>65.101488255334402</v>
      </c>
      <c r="G9" s="27"/>
      <c r="H9" s="141"/>
      <c r="I9" s="142"/>
      <c r="J9" s="28"/>
      <c r="K9" s="131"/>
      <c r="L9" s="131"/>
      <c r="M9" s="132"/>
      <c r="N9" s="28"/>
    </row>
    <row r="10" spans="2:14" ht="16.5" customHeight="1">
      <c r="B10" s="983"/>
      <c r="C10" s="136" t="s">
        <v>151</v>
      </c>
      <c r="D10" s="406">
        <v>1637</v>
      </c>
      <c r="E10" s="405">
        <f>112725/10</f>
        <v>11272.5</v>
      </c>
      <c r="F10" s="407">
        <f>+E10*10/D10</f>
        <v>68.860720830788026</v>
      </c>
      <c r="G10" s="27"/>
      <c r="H10" s="141"/>
      <c r="I10" s="142"/>
      <c r="J10" s="287"/>
      <c r="K10" s="284"/>
      <c r="L10" s="131"/>
      <c r="M10" s="132"/>
      <c r="N10" s="28"/>
    </row>
    <row r="11" spans="2:14" ht="16.5" customHeight="1">
      <c r="B11" s="984"/>
      <c r="C11" s="136" t="s">
        <v>156</v>
      </c>
      <c r="D11" s="406">
        <f>+D9+D10</f>
        <v>29522</v>
      </c>
      <c r="E11" s="406">
        <f>+E9+E10</f>
        <v>192808</v>
      </c>
      <c r="F11" s="407">
        <f>+E11*10/D11</f>
        <v>65.309938351060225</v>
      </c>
      <c r="G11" s="27"/>
      <c r="H11" s="289"/>
      <c r="I11" s="292"/>
      <c r="J11" s="289"/>
      <c r="K11" s="131"/>
      <c r="L11" s="131"/>
      <c r="M11" s="132"/>
      <c r="N11" s="28"/>
    </row>
    <row r="12" spans="2:14" ht="16.5" customHeight="1">
      <c r="B12" s="982" t="s">
        <v>549</v>
      </c>
      <c r="C12" s="136" t="s">
        <v>149</v>
      </c>
      <c r="D12" s="406">
        <v>23083</v>
      </c>
      <c r="E12" s="406">
        <v>154923.79999999999</v>
      </c>
      <c r="F12" s="407">
        <f>E12/D12*10</f>
        <v>67.115972793830963</v>
      </c>
      <c r="G12" s="27"/>
      <c r="H12" s="141"/>
      <c r="I12" s="142"/>
      <c r="J12" s="28"/>
      <c r="K12" s="131"/>
      <c r="L12" s="131"/>
      <c r="M12" s="132"/>
      <c r="N12" s="28"/>
    </row>
    <row r="13" spans="2:14" ht="16.5" customHeight="1">
      <c r="B13" s="983"/>
      <c r="C13" s="136" t="s">
        <v>150</v>
      </c>
      <c r="D13" s="406">
        <v>3159</v>
      </c>
      <c r="E13" s="406">
        <v>19973.400000000001</v>
      </c>
      <c r="F13" s="407">
        <f>E13/D13*10</f>
        <v>63.226970560303897</v>
      </c>
      <c r="G13" s="27"/>
      <c r="H13" s="141"/>
      <c r="I13" s="142"/>
      <c r="J13" s="283"/>
      <c r="K13" s="131"/>
      <c r="L13" s="131"/>
      <c r="M13" s="132"/>
      <c r="N13" s="28"/>
    </row>
    <row r="14" spans="2:14" ht="16.5" customHeight="1">
      <c r="B14" s="984"/>
      <c r="C14" s="136" t="s">
        <v>156</v>
      </c>
      <c r="D14" s="406">
        <v>26242</v>
      </c>
      <c r="E14" s="406">
        <v>174897.2</v>
      </c>
      <c r="F14" s="407">
        <v>66.599999999999994</v>
      </c>
      <c r="G14" s="27"/>
      <c r="H14" s="142"/>
      <c r="I14" s="292"/>
      <c r="J14" s="291"/>
      <c r="K14" s="131"/>
      <c r="L14" s="131"/>
      <c r="M14" s="132"/>
      <c r="N14" s="28"/>
    </row>
    <row r="15" spans="2:14" ht="16.5" customHeight="1">
      <c r="B15" s="939" t="s">
        <v>395</v>
      </c>
      <c r="C15" s="136" t="s">
        <v>149</v>
      </c>
      <c r="D15" s="406">
        <v>20185</v>
      </c>
      <c r="E15" s="406">
        <v>126140.9</v>
      </c>
      <c r="F15" s="407">
        <f>E15/D15*10</f>
        <v>62.492395343076545</v>
      </c>
      <c r="G15" s="27"/>
      <c r="H15" s="142"/>
      <c r="I15" s="292"/>
      <c r="J15" s="291"/>
      <c r="K15" s="131"/>
      <c r="L15" s="131"/>
      <c r="M15" s="132"/>
      <c r="N15" s="28"/>
    </row>
    <row r="16" spans="2:14" ht="16.5" customHeight="1">
      <c r="B16" s="939"/>
      <c r="C16" s="136" t="s">
        <v>150</v>
      </c>
      <c r="D16" s="406">
        <v>6209</v>
      </c>
      <c r="E16" s="406">
        <v>43555.6</v>
      </c>
      <c r="F16" s="407">
        <f>E16/D16*10</f>
        <v>70.149138347559997</v>
      </c>
      <c r="G16" s="27"/>
      <c r="H16" s="142"/>
      <c r="I16" s="292"/>
      <c r="J16" s="291"/>
      <c r="K16" s="131"/>
      <c r="L16" s="131"/>
      <c r="M16" s="132"/>
      <c r="N16" s="28"/>
    </row>
    <row r="17" spans="2:14" ht="16.5" customHeight="1">
      <c r="B17" s="939"/>
      <c r="C17" s="136" t="s">
        <v>156</v>
      </c>
      <c r="D17" s="406">
        <f>D15+D16</f>
        <v>26394</v>
      </c>
      <c r="E17" s="406">
        <f>E15+E16</f>
        <v>169696.5</v>
      </c>
      <c r="F17" s="407">
        <f>E17/D17*10</f>
        <v>64.293589452148211</v>
      </c>
      <c r="G17" s="27"/>
      <c r="H17" s="142"/>
      <c r="I17" s="292"/>
      <c r="J17" s="291"/>
      <c r="K17" s="131"/>
      <c r="L17" s="131"/>
      <c r="M17" s="132"/>
      <c r="N17" s="28"/>
    </row>
    <row r="18" spans="2:14" ht="16.5" customHeight="1">
      <c r="B18" s="800" t="s">
        <v>396</v>
      </c>
      <c r="C18" s="136" t="s">
        <v>149</v>
      </c>
      <c r="D18" s="406">
        <v>19256</v>
      </c>
      <c r="E18" s="575">
        <f>D18*F18/10</f>
        <v>124910.8</v>
      </c>
      <c r="F18" s="407">
        <v>64.868508516825926</v>
      </c>
      <c r="G18" s="27"/>
      <c r="H18" s="142"/>
      <c r="I18" s="292"/>
      <c r="J18" s="574"/>
      <c r="K18" s="131"/>
      <c r="L18" s="131"/>
      <c r="M18" s="132"/>
      <c r="N18" s="28"/>
    </row>
    <row r="19" spans="2:14" ht="16.5" customHeight="1">
      <c r="B19" s="800"/>
      <c r="C19" s="136" t="s">
        <v>150</v>
      </c>
      <c r="D19" s="406">
        <v>3709</v>
      </c>
      <c r="E19" s="575">
        <f>D19*F19/10</f>
        <v>21174.3</v>
      </c>
      <c r="F19" s="407">
        <v>57.088972768940415</v>
      </c>
      <c r="G19" s="27"/>
      <c r="H19" s="142"/>
      <c r="I19" s="292"/>
      <c r="J19" s="430"/>
      <c r="K19" s="131"/>
      <c r="L19" s="131"/>
      <c r="M19" s="132"/>
      <c r="N19" s="28"/>
    </row>
    <row r="20" spans="2:14" ht="16.5" customHeight="1">
      <c r="B20" s="800"/>
      <c r="C20" s="136" t="s">
        <v>156</v>
      </c>
      <c r="D20" s="406">
        <f>SUM(D18:D19)</f>
        <v>22965</v>
      </c>
      <c r="E20" s="575">
        <f>SUM(E18:E19)</f>
        <v>146085.1</v>
      </c>
      <c r="F20" s="407">
        <v>63.612061833224473</v>
      </c>
      <c r="G20" s="27"/>
      <c r="H20" s="142"/>
      <c r="I20" s="292"/>
      <c r="J20" s="291"/>
      <c r="K20" s="131"/>
      <c r="L20" s="131"/>
      <c r="M20" s="132"/>
      <c r="N20" s="28"/>
    </row>
    <row r="21" spans="2:14" ht="16.5" customHeight="1">
      <c r="B21" s="800" t="s">
        <v>667</v>
      </c>
      <c r="C21" s="136" t="s">
        <v>149</v>
      </c>
      <c r="D21" s="406">
        <v>17328</v>
      </c>
      <c r="E21" s="575">
        <f>846546.536205146/10</f>
        <v>84654.653620514597</v>
      </c>
      <c r="F21" s="407">
        <v>48.854255321164949</v>
      </c>
      <c r="G21" s="27"/>
      <c r="H21" s="142"/>
      <c r="I21" s="292"/>
      <c r="J21" s="291"/>
      <c r="K21" s="131"/>
      <c r="L21" s="131"/>
      <c r="M21" s="132"/>
      <c r="N21" s="28"/>
    </row>
    <row r="22" spans="2:14" ht="16.5" customHeight="1">
      <c r="B22" s="800"/>
      <c r="C22" s="136" t="s">
        <v>150</v>
      </c>
      <c r="D22" s="406">
        <v>3384</v>
      </c>
      <c r="E22" s="575">
        <f>159023.470522341/10</f>
        <v>15902.347052234099</v>
      </c>
      <c r="F22" s="407">
        <v>46.992751336389084</v>
      </c>
      <c r="G22" s="27"/>
      <c r="H22" s="142"/>
      <c r="I22" s="292"/>
      <c r="J22" s="291"/>
      <c r="K22" s="131"/>
      <c r="L22" s="131"/>
      <c r="M22" s="132"/>
      <c r="N22" s="28"/>
    </row>
    <row r="23" spans="2:14" ht="16.5" customHeight="1">
      <c r="B23" s="800"/>
      <c r="C23" s="136" t="s">
        <v>156</v>
      </c>
      <c r="D23" s="406">
        <v>20712</v>
      </c>
      <c r="E23" s="575">
        <f>1005570.00672749/10</f>
        <v>100557.000672749</v>
      </c>
      <c r="F23" s="407">
        <v>48.550116199666228</v>
      </c>
      <c r="G23" s="27"/>
      <c r="H23" s="142"/>
      <c r="I23" s="292"/>
      <c r="J23" s="291"/>
      <c r="K23" s="131"/>
      <c r="L23" s="131"/>
      <c r="M23" s="132"/>
      <c r="N23" s="28"/>
    </row>
    <row r="24" spans="2:14" ht="18" customHeight="1">
      <c r="B24" s="794" t="s">
        <v>550</v>
      </c>
      <c r="C24" s="795"/>
      <c r="D24" s="795"/>
      <c r="E24" s="795"/>
      <c r="F24" s="796"/>
    </row>
    <row r="25" spans="2:14" ht="14.25">
      <c r="B25" s="323"/>
    </row>
    <row r="26" spans="2:14" ht="16.5" customHeight="1">
      <c r="B26" s="323"/>
      <c r="D26" s="302"/>
    </row>
    <row r="27" spans="2:14" ht="15" customHeight="1">
      <c r="B27" s="323"/>
      <c r="D27" s="302"/>
      <c r="E27" s="302"/>
      <c r="F27" s="285"/>
    </row>
    <row r="28" spans="2:14" ht="14.25">
      <c r="B28" s="323"/>
      <c r="E28" s="132"/>
      <c r="F28" s="285"/>
    </row>
    <row r="29" spans="2:14">
      <c r="F29" s="285"/>
    </row>
    <row r="30" spans="2:14">
      <c r="F30" s="285"/>
    </row>
    <row r="31" spans="2:14">
      <c r="F31" s="285"/>
    </row>
    <row r="32" spans="2:14">
      <c r="F32" s="285"/>
    </row>
  </sheetData>
  <mergeCells count="10">
    <mergeCell ref="B24:F24"/>
    <mergeCell ref="B1:F1"/>
    <mergeCell ref="B2:F2"/>
    <mergeCell ref="B3:F3"/>
    <mergeCell ref="B6:B8"/>
    <mergeCell ref="B9:B11"/>
    <mergeCell ref="B12:B14"/>
    <mergeCell ref="B15:B17"/>
    <mergeCell ref="B18:B20"/>
    <mergeCell ref="B21:B23"/>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&amp;C&amp;11&amp;A</oddFooter>
  </headerFooter>
  <ignoredErrors>
    <ignoredError sqref="E20" formula="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H31"/>
  <sheetViews>
    <sheetView topLeftCell="A8" zoomScaleNormal="100" workbookViewId="0">
      <selection activeCell="H9" sqref="H9"/>
    </sheetView>
  </sheetViews>
  <sheetFormatPr baseColWidth="10" defaultColWidth="10.90625" defaultRowHeight="18"/>
  <cols>
    <col min="1" max="1" width="0.7265625" customWidth="1"/>
    <col min="2" max="2" width="18.453125" customWidth="1"/>
    <col min="3" max="3" width="5.90625" customWidth="1"/>
    <col min="4" max="4" width="8.08984375" customWidth="1"/>
    <col min="5" max="5" width="5.90625" customWidth="1"/>
    <col min="6" max="6" width="14.36328125" customWidth="1"/>
  </cols>
  <sheetData>
    <row r="1" spans="2:8">
      <c r="B1" s="789" t="s">
        <v>159</v>
      </c>
      <c r="C1" s="789"/>
      <c r="D1" s="789"/>
      <c r="E1" s="789"/>
      <c r="F1" s="789"/>
    </row>
    <row r="2" spans="2:8" ht="17.649999999999999" customHeight="1">
      <c r="B2" s="790" t="s">
        <v>736</v>
      </c>
      <c r="C2" s="790"/>
      <c r="D2" s="790"/>
      <c r="E2" s="790"/>
      <c r="F2" s="790"/>
    </row>
    <row r="3" spans="2:8" ht="31.7" customHeight="1">
      <c r="B3" s="791" t="s">
        <v>735</v>
      </c>
      <c r="C3" s="791"/>
      <c r="D3" s="791"/>
      <c r="E3" s="791"/>
      <c r="F3" s="791"/>
    </row>
    <row r="4" spans="2:8">
      <c r="B4" s="789" t="s">
        <v>734</v>
      </c>
      <c r="C4" s="789"/>
      <c r="D4" s="789"/>
      <c r="E4" s="789"/>
      <c r="F4" s="789"/>
    </row>
    <row r="5" spans="2:8" ht="17.649999999999999" customHeight="1"/>
    <row r="6" spans="2:8">
      <c r="B6" s="806" t="s">
        <v>551</v>
      </c>
      <c r="C6" s="805"/>
      <c r="D6" s="988" t="s">
        <v>149</v>
      </c>
      <c r="E6" s="989"/>
      <c r="F6" s="339" t="s">
        <v>149</v>
      </c>
      <c r="G6" s="444"/>
    </row>
    <row r="7" spans="2:8" ht="34.5" customHeight="1">
      <c r="B7" s="805" t="s">
        <v>552</v>
      </c>
      <c r="C7" s="985"/>
      <c r="D7" s="988" t="s">
        <v>553</v>
      </c>
      <c r="E7" s="989"/>
      <c r="F7" s="339" t="s">
        <v>553</v>
      </c>
      <c r="G7" s="444"/>
    </row>
    <row r="8" spans="2:8">
      <c r="B8" s="805" t="s">
        <v>554</v>
      </c>
      <c r="C8" s="985"/>
      <c r="D8" s="988" t="s">
        <v>555</v>
      </c>
      <c r="E8" s="989"/>
      <c r="F8" s="339" t="s">
        <v>556</v>
      </c>
      <c r="H8" s="445"/>
    </row>
    <row r="9" spans="2:8" ht="39" customHeight="1">
      <c r="B9" s="805" t="s">
        <v>557</v>
      </c>
      <c r="C9" s="985"/>
      <c r="D9" s="988" t="s">
        <v>558</v>
      </c>
      <c r="E9" s="989"/>
      <c r="F9" s="339" t="s">
        <v>559</v>
      </c>
    </row>
    <row r="10" spans="2:8" ht="18.600000000000001" customHeight="1">
      <c r="B10" s="806" t="s">
        <v>399</v>
      </c>
      <c r="C10" s="805"/>
      <c r="D10" s="988">
        <v>53</v>
      </c>
      <c r="E10" s="989"/>
      <c r="F10" s="339">
        <v>90</v>
      </c>
    </row>
    <row r="11" spans="2:8" ht="21" customHeight="1">
      <c r="B11" s="806" t="s">
        <v>560</v>
      </c>
      <c r="C11" s="805"/>
      <c r="D11" s="988" t="s">
        <v>401</v>
      </c>
      <c r="E11" s="989"/>
      <c r="F11" s="339" t="s">
        <v>401</v>
      </c>
      <c r="G11" s="35"/>
    </row>
    <row r="12" spans="2:8" ht="21" customHeight="1">
      <c r="B12" s="805" t="s">
        <v>561</v>
      </c>
      <c r="C12" s="985"/>
      <c r="D12" s="986">
        <v>1092488.25</v>
      </c>
      <c r="E12" s="987"/>
      <c r="F12" s="147">
        <v>1342176.1499999999</v>
      </c>
    </row>
    <row r="13" spans="2:8">
      <c r="B13" s="990" t="s">
        <v>166</v>
      </c>
      <c r="C13" s="991"/>
      <c r="D13" s="986">
        <v>138400</v>
      </c>
      <c r="E13" s="987"/>
      <c r="F13" s="147">
        <v>101200</v>
      </c>
    </row>
    <row r="14" spans="2:8">
      <c r="B14" s="990" t="s">
        <v>167</v>
      </c>
      <c r="C14" s="991"/>
      <c r="D14" s="986">
        <v>305000</v>
      </c>
      <c r="E14" s="987"/>
      <c r="F14" s="147">
        <v>470000</v>
      </c>
    </row>
    <row r="15" spans="2:8">
      <c r="B15" s="990" t="s">
        <v>168</v>
      </c>
      <c r="C15" s="991"/>
      <c r="D15" s="986">
        <v>597065</v>
      </c>
      <c r="E15" s="987"/>
      <c r="F15" s="147">
        <v>707063</v>
      </c>
    </row>
    <row r="16" spans="2:8">
      <c r="B16" s="992" t="s">
        <v>562</v>
      </c>
      <c r="C16" s="993"/>
      <c r="D16" s="986">
        <v>52023.25</v>
      </c>
      <c r="E16" s="987"/>
      <c r="F16" s="147">
        <v>63913.15</v>
      </c>
    </row>
    <row r="17" spans="2:7">
      <c r="B17" s="807" t="s">
        <v>563</v>
      </c>
      <c r="C17" s="998"/>
      <c r="D17" s="986">
        <v>73742.956875000003</v>
      </c>
      <c r="E17" s="987"/>
      <c r="F17" s="147">
        <v>90596.890124999991</v>
      </c>
    </row>
    <row r="18" spans="2:7">
      <c r="B18" s="990" t="s">
        <v>169</v>
      </c>
      <c r="C18" s="990"/>
      <c r="D18" s="986">
        <f>SUM(D13:E17)</f>
        <v>1166231.2068749999</v>
      </c>
      <c r="E18" s="987"/>
      <c r="F18" s="147">
        <f>SUM(F13:F17)</f>
        <v>1432773.0401249998</v>
      </c>
      <c r="G18" s="432"/>
    </row>
    <row r="19" spans="2:7" ht="41.25" customHeight="1">
      <c r="B19" s="834" t="s">
        <v>737</v>
      </c>
      <c r="C19" s="835"/>
      <c r="D19" s="835"/>
      <c r="E19" s="835"/>
      <c r="F19" s="836"/>
    </row>
    <row r="20" spans="2:7" ht="22.7" customHeight="1">
      <c r="B20" s="995" t="s">
        <v>564</v>
      </c>
      <c r="C20" s="996"/>
      <c r="D20" s="996"/>
      <c r="E20" s="996"/>
      <c r="F20" s="997"/>
    </row>
    <row r="21" spans="2:7" ht="14.25" customHeight="1">
      <c r="B21" s="994"/>
      <c r="C21" s="994"/>
      <c r="D21" s="994"/>
      <c r="E21" s="994"/>
    </row>
    <row r="28" spans="2:7">
      <c r="C28" s="432"/>
      <c r="D28" s="432"/>
    </row>
    <row r="29" spans="2:7">
      <c r="C29" s="432"/>
      <c r="D29" s="432"/>
    </row>
    <row r="30" spans="2:7">
      <c r="C30" s="432"/>
      <c r="D30" s="432"/>
    </row>
    <row r="31" spans="2:7">
      <c r="C31" s="432"/>
      <c r="D31" s="432"/>
    </row>
  </sheetData>
  <mergeCells count="33">
    <mergeCell ref="D14:E14"/>
    <mergeCell ref="B13:C13"/>
    <mergeCell ref="B10:C10"/>
    <mergeCell ref="D9:E9"/>
    <mergeCell ref="D13:E13"/>
    <mergeCell ref="B14:C14"/>
    <mergeCell ref="B21:E21"/>
    <mergeCell ref="B20:F20"/>
    <mergeCell ref="B17:C17"/>
    <mergeCell ref="D17:E17"/>
    <mergeCell ref="B19:F19"/>
    <mergeCell ref="B15:C15"/>
    <mergeCell ref="B18:C18"/>
    <mergeCell ref="B16:C16"/>
    <mergeCell ref="D15:E15"/>
    <mergeCell ref="D16:E16"/>
    <mergeCell ref="D18:E18"/>
    <mergeCell ref="B1:F1"/>
    <mergeCell ref="B2:F2"/>
    <mergeCell ref="B3:F3"/>
    <mergeCell ref="B4:F4"/>
    <mergeCell ref="B12:C12"/>
    <mergeCell ref="D12:E12"/>
    <mergeCell ref="D6:E6"/>
    <mergeCell ref="B6:C6"/>
    <mergeCell ref="B11:C11"/>
    <mergeCell ref="B7:C7"/>
    <mergeCell ref="D7:E7"/>
    <mergeCell ref="B8:C8"/>
    <mergeCell ref="D8:E8"/>
    <mergeCell ref="B9:C9"/>
    <mergeCell ref="D11:E11"/>
    <mergeCell ref="D10:E10"/>
  </mergeCells>
  <pageMargins left="1.5748031496062993" right="0.98425196850393704" top="0.98425196850393704" bottom="0.98425196850393704" header="0.51181102362204722" footer="0.51181102362204722"/>
  <pageSetup paperSize="126" scale="99" orientation="portrait" r:id="rId1"/>
  <headerFooter>
    <oddFooter>&amp;C&amp;11&amp;A</oddFooter>
  </headerFooter>
  <ignoredErrors>
    <ignoredError sqref="F18" formulaRange="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N36"/>
  <sheetViews>
    <sheetView topLeftCell="A11" zoomScaleNormal="100" workbookViewId="0">
      <selection activeCell="N19" sqref="N19"/>
    </sheetView>
  </sheetViews>
  <sheetFormatPr baseColWidth="10" defaultColWidth="9.6328125" defaultRowHeight="12"/>
  <cols>
    <col min="1" max="1" width="1.26953125" style="1" customWidth="1"/>
    <col min="2" max="2" width="7.6328125" style="1" customWidth="1"/>
    <col min="3" max="7" width="10.6328125" style="1" customWidth="1"/>
    <col min="8" max="8" width="2.08984375" style="1" customWidth="1"/>
    <col min="9" max="9" width="8.26953125" style="1" bestFit="1" customWidth="1"/>
    <col min="10" max="10" width="14.7265625" style="1" bestFit="1" customWidth="1"/>
    <col min="11" max="11" width="7.453125" style="1" customWidth="1"/>
    <col min="12" max="16384" width="9.6328125" style="1"/>
  </cols>
  <sheetData>
    <row r="1" spans="2:14" s="15" customFormat="1" ht="18" customHeight="1">
      <c r="B1" s="789" t="s">
        <v>162</v>
      </c>
      <c r="C1" s="789"/>
      <c r="D1" s="789"/>
      <c r="E1" s="789"/>
      <c r="F1" s="789"/>
      <c r="G1" s="789"/>
    </row>
    <row r="2" spans="2:14" s="15" customFormat="1" ht="12.75"/>
    <row r="3" spans="2:14" s="15" customFormat="1" ht="12.75">
      <c r="B3" s="767" t="s">
        <v>471</v>
      </c>
      <c r="C3" s="767"/>
      <c r="D3" s="767"/>
      <c r="E3" s="767"/>
      <c r="F3" s="767"/>
      <c r="G3" s="767"/>
    </row>
    <row r="4" spans="2:14" s="15" customFormat="1" ht="12.75">
      <c r="B4" s="767" t="s">
        <v>738</v>
      </c>
      <c r="C4" s="767"/>
      <c r="D4" s="767"/>
      <c r="E4" s="767"/>
      <c r="F4" s="767"/>
      <c r="G4" s="767"/>
    </row>
    <row r="5" spans="2:14" s="15" customFormat="1" ht="18">
      <c r="B5" s="999" t="s">
        <v>410</v>
      </c>
      <c r="C5" s="999"/>
      <c r="D5" s="999"/>
      <c r="E5" s="999"/>
      <c r="F5" s="999"/>
      <c r="G5" s="999"/>
      <c r="M5"/>
      <c r="N5"/>
    </row>
    <row r="6" spans="2:14" s="22" customFormat="1" ht="28.5" customHeight="1">
      <c r="B6" s="830" t="s">
        <v>111</v>
      </c>
      <c r="C6" s="830" t="s">
        <v>565</v>
      </c>
      <c r="D6" s="830" t="s">
        <v>566</v>
      </c>
      <c r="E6" s="830" t="s">
        <v>567</v>
      </c>
      <c r="F6" s="830" t="s">
        <v>186</v>
      </c>
      <c r="G6" s="832" t="s">
        <v>568</v>
      </c>
      <c r="M6"/>
      <c r="N6"/>
    </row>
    <row r="7" spans="2:14" s="22" customFormat="1" ht="18">
      <c r="B7" s="830"/>
      <c r="C7" s="830"/>
      <c r="D7" s="830"/>
      <c r="E7" s="830"/>
      <c r="F7" s="830"/>
      <c r="G7" s="833"/>
      <c r="I7" s="20"/>
      <c r="M7"/>
      <c r="N7"/>
    </row>
    <row r="8" spans="2:14" s="22" customFormat="1" ht="15.75" customHeight="1">
      <c r="B8" s="52">
        <v>2011</v>
      </c>
      <c r="C8" s="206">
        <v>70402.445999999996</v>
      </c>
      <c r="D8" s="206">
        <v>83594.012600000002</v>
      </c>
      <c r="E8" s="206">
        <v>346.1</v>
      </c>
      <c r="F8" s="206">
        <f t="shared" ref="F8:F15" si="0">C8+D8-E8</f>
        <v>153650.35860000001</v>
      </c>
      <c r="G8" s="209"/>
      <c r="I8" s="20"/>
      <c r="J8" s="11"/>
      <c r="K8" s="208"/>
      <c r="M8"/>
      <c r="N8"/>
    </row>
    <row r="9" spans="2:14" s="22" customFormat="1" ht="15.75" customHeight="1">
      <c r="B9" s="52">
        <v>2012</v>
      </c>
      <c r="C9" s="206">
        <v>80885.466</v>
      </c>
      <c r="D9" s="206">
        <v>93846.020999999993</v>
      </c>
      <c r="E9" s="207">
        <v>62.3</v>
      </c>
      <c r="F9" s="206">
        <f t="shared" si="0"/>
        <v>174669.18700000001</v>
      </c>
      <c r="G9" s="209">
        <f t="shared" ref="G9:G15" si="1">F9/F8*100-100</f>
        <v>13.679648125468162</v>
      </c>
      <c r="I9" s="11"/>
      <c r="J9" s="11"/>
      <c r="K9" s="208"/>
      <c r="M9"/>
      <c r="N9"/>
    </row>
    <row r="10" spans="2:14" s="22" customFormat="1" ht="15.75" customHeight="1">
      <c r="B10" s="52">
        <v>2013</v>
      </c>
      <c r="C10" s="206">
        <v>70365.941999999995</v>
      </c>
      <c r="D10" s="206">
        <v>90685.751000000004</v>
      </c>
      <c r="E10" s="207">
        <v>2</v>
      </c>
      <c r="F10" s="206">
        <f t="shared" si="0"/>
        <v>161049.693</v>
      </c>
      <c r="G10" s="209">
        <f t="shared" si="1"/>
        <v>-7.797307718618967</v>
      </c>
      <c r="I10" s="11"/>
      <c r="J10" s="11"/>
      <c r="K10" s="208"/>
      <c r="M10"/>
      <c r="N10"/>
    </row>
    <row r="11" spans="2:14" s="22" customFormat="1" ht="15.75" customHeight="1">
      <c r="B11" s="52">
        <v>2014</v>
      </c>
      <c r="C11" s="206">
        <v>72837.521999999997</v>
      </c>
      <c r="D11" s="206">
        <v>90177</v>
      </c>
      <c r="E11" s="207">
        <v>7217.1</v>
      </c>
      <c r="F11" s="206">
        <f t="shared" si="0"/>
        <v>155797.42199999999</v>
      </c>
      <c r="G11" s="209">
        <f t="shared" si="1"/>
        <v>-3.2612735250603748</v>
      </c>
      <c r="I11" s="11"/>
      <c r="J11" s="11"/>
      <c r="K11" s="208"/>
      <c r="M11"/>
      <c r="N11"/>
    </row>
    <row r="12" spans="2:14" s="22" customFormat="1" ht="15.75" customHeight="1">
      <c r="B12" s="52">
        <v>2015</v>
      </c>
      <c r="C12" s="206">
        <v>88322.4</v>
      </c>
      <c r="D12" s="206">
        <v>118644</v>
      </c>
      <c r="E12" s="207">
        <v>3019</v>
      </c>
      <c r="F12" s="206">
        <f t="shared" si="0"/>
        <v>203947.4</v>
      </c>
      <c r="G12" s="209">
        <f t="shared" si="1"/>
        <v>30.905503686704151</v>
      </c>
      <c r="I12" s="11"/>
      <c r="J12" s="11"/>
      <c r="K12" s="208"/>
      <c r="M12"/>
      <c r="N12"/>
    </row>
    <row r="13" spans="2:14" s="22" customFormat="1" ht="15.75" customHeight="1">
      <c r="B13" s="52">
        <v>2016</v>
      </c>
      <c r="C13" s="206">
        <v>93964</v>
      </c>
      <c r="D13" s="206">
        <v>103903.446</v>
      </c>
      <c r="E13" s="207">
        <v>1218.712</v>
      </c>
      <c r="F13" s="206">
        <f t="shared" si="0"/>
        <v>196648.734</v>
      </c>
      <c r="G13" s="209">
        <f t="shared" si="1"/>
        <v>-3.5787001942657781</v>
      </c>
      <c r="I13" s="11"/>
      <c r="J13" s="11"/>
      <c r="K13" s="208"/>
      <c r="M13"/>
      <c r="N13"/>
    </row>
    <row r="14" spans="2:14" s="22" customFormat="1" ht="15.75" customHeight="1">
      <c r="B14" s="52">
        <v>2017</v>
      </c>
      <c r="C14" s="206">
        <f>+'48'!E8*0.56</f>
        <v>71604.954400000017</v>
      </c>
      <c r="D14" s="206">
        <f>'51'!C18</f>
        <v>133366.25400000002</v>
      </c>
      <c r="E14" s="207">
        <v>1483</v>
      </c>
      <c r="F14" s="206">
        <f t="shared" si="0"/>
        <v>203488.20840000003</v>
      </c>
      <c r="G14" s="209">
        <f t="shared" si="1"/>
        <v>3.4780159835659248</v>
      </c>
      <c r="I14" s="11"/>
      <c r="J14" s="11"/>
      <c r="K14" s="11"/>
      <c r="M14"/>
      <c r="N14"/>
    </row>
    <row r="15" spans="2:14" s="22" customFormat="1" ht="15.75" customHeight="1">
      <c r="B15" s="52">
        <v>2018</v>
      </c>
      <c r="C15" s="206">
        <f>+'48'!E11*0.56</f>
        <v>107972.48000000001</v>
      </c>
      <c r="D15" s="206">
        <f>+'51'!D18</f>
        <v>126281.10111</v>
      </c>
      <c r="E15" s="207">
        <f>4385587/1000</f>
        <v>4385.5870000000004</v>
      </c>
      <c r="F15" s="206">
        <f t="shared" si="0"/>
        <v>229867.99411000003</v>
      </c>
      <c r="G15" s="209">
        <f t="shared" si="1"/>
        <v>12.963790834574951</v>
      </c>
      <c r="I15" s="11"/>
      <c r="J15" s="11"/>
      <c r="K15" s="11"/>
      <c r="M15"/>
      <c r="N15"/>
    </row>
    <row r="16" spans="2:14" s="22" customFormat="1" ht="15.75" customHeight="1">
      <c r="B16" s="52">
        <v>2019</v>
      </c>
      <c r="C16" s="206">
        <f>+'48'!E14*0.56</f>
        <v>97942.432000000015</v>
      </c>
      <c r="D16" s="206">
        <f>+'51'!D18</f>
        <v>126281.10111</v>
      </c>
      <c r="E16" s="207">
        <v>3192</v>
      </c>
      <c r="F16" s="206">
        <f>C16+D16-E16</f>
        <v>221031.53311000002</v>
      </c>
      <c r="G16" s="209">
        <f>F16/F15*100-100</f>
        <v>-3.8441458691162751</v>
      </c>
      <c r="I16" s="11"/>
      <c r="J16" s="11"/>
      <c r="K16" s="11"/>
      <c r="M16"/>
      <c r="N16"/>
    </row>
    <row r="17" spans="2:14" s="22" customFormat="1" ht="15.75" customHeight="1">
      <c r="B17" s="52">
        <v>2020</v>
      </c>
      <c r="C17" s="206">
        <f>+'48'!E17*0.56</f>
        <v>95030.040000000008</v>
      </c>
      <c r="D17" s="206">
        <f>+'51'!E18</f>
        <v>167355.36387</v>
      </c>
      <c r="E17" s="207">
        <v>162</v>
      </c>
      <c r="F17" s="206">
        <f>C17+D17-E17</f>
        <v>262223.40387000004</v>
      </c>
      <c r="G17" s="209">
        <f>F17/F16*100-100</f>
        <v>18.636196465008538</v>
      </c>
      <c r="I17" s="11"/>
      <c r="J17" s="11"/>
      <c r="K17" s="11"/>
      <c r="M17"/>
      <c r="N17"/>
    </row>
    <row r="18" spans="2:14" s="22" customFormat="1" ht="15.75" customHeight="1">
      <c r="B18" s="52">
        <v>2021</v>
      </c>
      <c r="C18" s="206">
        <f>+'48'!E20*0.56</f>
        <v>81807.656000000017</v>
      </c>
      <c r="D18" s="206">
        <f>+'51'!F18</f>
        <v>131208.58575</v>
      </c>
      <c r="E18" s="207">
        <f>22157.26/1000</f>
        <v>22.157259999999997</v>
      </c>
      <c r="F18" s="206">
        <f>C18+D18-E18</f>
        <v>212994.08449000001</v>
      </c>
      <c r="G18" s="209">
        <f>F18/F17*100-100</f>
        <v>-18.77380838378788</v>
      </c>
      <c r="I18" s="11"/>
      <c r="J18" s="11"/>
      <c r="K18" s="11"/>
      <c r="M18"/>
      <c r="N18"/>
    </row>
    <row r="19" spans="2:14" s="22" customFormat="1" ht="15.75" customHeight="1">
      <c r="B19" s="52" t="s">
        <v>646</v>
      </c>
      <c r="C19" s="206">
        <f>+'48'!E23*0.56</f>
        <v>56311.920376739443</v>
      </c>
      <c r="D19" s="707">
        <f>+'51'!G18</f>
        <v>85947.892900000006</v>
      </c>
      <c r="E19" s="207"/>
      <c r="F19" s="206"/>
      <c r="G19" s="209"/>
      <c r="J19" s="11"/>
      <c r="K19" s="11"/>
      <c r="M19"/>
      <c r="N19"/>
    </row>
    <row r="20" spans="2:14" s="22" customFormat="1" ht="29.45" customHeight="1">
      <c r="B20" s="792" t="s">
        <v>761</v>
      </c>
      <c r="C20" s="864"/>
      <c r="D20" s="864"/>
      <c r="E20" s="864"/>
      <c r="F20" s="864"/>
      <c r="G20" s="864"/>
      <c r="I20" s="11"/>
      <c r="J20" s="11"/>
      <c r="M20"/>
      <c r="N20"/>
    </row>
    <row r="21" spans="2:14" ht="24.75" customHeight="1"/>
    <row r="22" spans="2:14" ht="15.75" customHeight="1">
      <c r="J22" s="11"/>
    </row>
    <row r="23" spans="2:14" ht="15" customHeight="1"/>
    <row r="24" spans="2:14" ht="15" customHeight="1"/>
    <row r="25" spans="2:14" ht="15" customHeight="1"/>
    <row r="26" spans="2:14" ht="15" customHeight="1"/>
    <row r="27" spans="2:14" ht="15" customHeight="1"/>
    <row r="28" spans="2:14" ht="15" customHeight="1">
      <c r="G28" s="10"/>
    </row>
    <row r="29" spans="2:14" ht="15" customHeight="1">
      <c r="G29" s="11"/>
      <c r="L29" s="210"/>
    </row>
    <row r="30" spans="2:14" ht="15" customHeight="1">
      <c r="L30" s="210"/>
    </row>
    <row r="31" spans="2:14" ht="15" customHeight="1">
      <c r="L31" s="210"/>
    </row>
    <row r="32" spans="2:14" ht="15" customHeight="1"/>
    <row r="33" spans="9:9" ht="15" customHeight="1"/>
    <row r="34" spans="9:9" ht="15" customHeight="1"/>
    <row r="35" spans="9:9" ht="15" customHeight="1">
      <c r="I35" s="21"/>
    </row>
    <row r="36" spans="9:9" ht="7.5" customHeight="1"/>
  </sheetData>
  <mergeCells count="11">
    <mergeCell ref="B20:G20"/>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L36"/>
  <sheetViews>
    <sheetView topLeftCell="B10" zoomScaleNormal="100" workbookViewId="0">
      <selection activeCell="K13" sqref="K13"/>
    </sheetView>
  </sheetViews>
  <sheetFormatPr baseColWidth="10" defaultColWidth="10.90625" defaultRowHeight="18"/>
  <cols>
    <col min="1" max="1" width="1.36328125" style="1" customWidth="1"/>
    <col min="2" max="2" width="9.453125" customWidth="1"/>
    <col min="3" max="6" width="9.08984375" customWidth="1"/>
    <col min="7" max="7" width="9.08984375" style="1" customWidth="1"/>
    <col min="8" max="8" width="7.90625" style="1" customWidth="1"/>
    <col min="9" max="9" width="13.7265625" style="1" bestFit="1" customWidth="1"/>
    <col min="10" max="16384" width="10.90625" style="1"/>
  </cols>
  <sheetData>
    <row r="1" spans="1:10" s="15" customFormat="1" ht="16.5" customHeight="1">
      <c r="B1" s="767" t="s">
        <v>178</v>
      </c>
      <c r="C1" s="767"/>
      <c r="D1" s="767"/>
      <c r="E1" s="767"/>
      <c r="F1" s="767"/>
      <c r="G1" s="767"/>
    </row>
    <row r="2" spans="1:10" s="15" customFormat="1" ht="11.25" customHeight="1">
      <c r="A2" s="17"/>
      <c r="B2" s="17"/>
      <c r="C2" s="17"/>
      <c r="D2" s="17"/>
      <c r="E2" s="16"/>
      <c r="F2" s="419"/>
      <c r="G2" s="419"/>
      <c r="H2" s="11"/>
    </row>
    <row r="3" spans="1:10" s="15" customFormat="1" ht="24.75" customHeight="1">
      <c r="B3" s="858" t="s">
        <v>569</v>
      </c>
      <c r="C3" s="858"/>
      <c r="D3" s="858"/>
      <c r="E3" s="858"/>
      <c r="F3" s="858"/>
      <c r="G3" s="858"/>
    </row>
    <row r="4" spans="1:10" s="15" customFormat="1" ht="15.75" customHeight="1">
      <c r="B4" s="839" t="s">
        <v>643</v>
      </c>
      <c r="C4" s="839"/>
      <c r="D4" s="839"/>
      <c r="E4" s="839"/>
      <c r="F4" s="839"/>
      <c r="G4" s="839"/>
    </row>
    <row r="5" spans="1:10" s="22" customFormat="1" ht="15.75" customHeight="1">
      <c r="B5" s="128" t="s">
        <v>413</v>
      </c>
      <c r="C5" s="159">
        <v>2018</v>
      </c>
      <c r="D5" s="159">
        <v>2019</v>
      </c>
      <c r="E5" s="159">
        <v>2020</v>
      </c>
      <c r="F5" s="159">
        <v>2021</v>
      </c>
      <c r="G5" s="159">
        <v>2022</v>
      </c>
      <c r="H5" s="95"/>
      <c r="I5" s="95"/>
      <c r="J5" s="95"/>
    </row>
    <row r="6" spans="1:10" s="22" customFormat="1" ht="15.75" customHeight="1">
      <c r="B6" s="24" t="str">
        <f>'52'!B7</f>
        <v>Enero</v>
      </c>
      <c r="C6" s="46">
        <v>9627.125</v>
      </c>
      <c r="D6" s="306">
        <v>9764.720800000001</v>
      </c>
      <c r="E6" s="306">
        <v>8803</v>
      </c>
      <c r="F6" s="46">
        <v>8285</v>
      </c>
      <c r="G6" s="46">
        <v>7846</v>
      </c>
      <c r="H6" s="95"/>
      <c r="I6" s="95"/>
      <c r="J6" s="95"/>
    </row>
    <row r="7" spans="1:10" s="22" customFormat="1" ht="15.75" customHeight="1">
      <c r="B7" s="24" t="str">
        <f>'52'!B8</f>
        <v>Febrero</v>
      </c>
      <c r="C7" s="46">
        <v>9983.5290000000005</v>
      </c>
      <c r="D7" s="306">
        <v>9739</v>
      </c>
      <c r="E7" s="306">
        <v>10115</v>
      </c>
      <c r="F7" s="46">
        <v>10165</v>
      </c>
      <c r="G7" s="46">
        <v>7834</v>
      </c>
      <c r="H7" s="95"/>
      <c r="I7" s="95"/>
    </row>
    <row r="8" spans="1:10" s="22" customFormat="1" ht="15.75" customHeight="1">
      <c r="B8" s="24" t="str">
        <f>'52'!B9</f>
        <v>Marzo</v>
      </c>
      <c r="C8" s="46">
        <v>13439</v>
      </c>
      <c r="D8" s="306">
        <v>9720.3803099999986</v>
      </c>
      <c r="E8" s="306">
        <v>10593.363869999997</v>
      </c>
      <c r="F8" s="46">
        <v>8486</v>
      </c>
      <c r="G8" s="46">
        <v>14581.501040000001</v>
      </c>
      <c r="H8" s="95"/>
      <c r="I8" s="11"/>
    </row>
    <row r="9" spans="1:10" s="22" customFormat="1" ht="15.75" customHeight="1">
      <c r="B9" s="24" t="str">
        <f>'52'!B10</f>
        <v>Abril</v>
      </c>
      <c r="C9" s="46">
        <v>13435</v>
      </c>
      <c r="D9" s="306">
        <v>11090</v>
      </c>
      <c r="E9" s="306">
        <v>16660</v>
      </c>
      <c r="F9" s="46">
        <v>7510</v>
      </c>
      <c r="G9" s="46">
        <v>14602.845460000002</v>
      </c>
      <c r="H9" s="95"/>
      <c r="I9" s="95"/>
    </row>
    <row r="10" spans="1:10" s="22" customFormat="1" ht="15.75" customHeight="1">
      <c r="B10" s="24" t="str">
        <f>'52'!B11</f>
        <v>Mayo</v>
      </c>
      <c r="C10" s="46">
        <v>15360</v>
      </c>
      <c r="D10" s="306">
        <v>10562</v>
      </c>
      <c r="E10" s="306">
        <v>14952</v>
      </c>
      <c r="F10" s="46">
        <v>12437</v>
      </c>
      <c r="G10" s="46">
        <v>15988.013730000001</v>
      </c>
      <c r="H10" s="95"/>
      <c r="I10" s="95"/>
    </row>
    <row r="11" spans="1:10" s="22" customFormat="1" ht="15.75" customHeight="1">
      <c r="B11" s="24" t="str">
        <f>'52'!B12</f>
        <v>Junio</v>
      </c>
      <c r="C11" s="46">
        <v>11595.6</v>
      </c>
      <c r="D11" s="306">
        <v>10405</v>
      </c>
      <c r="E11" s="306">
        <v>15182</v>
      </c>
      <c r="F11" s="46">
        <v>11749.450769999998</v>
      </c>
      <c r="G11" s="46">
        <v>13953.49475</v>
      </c>
      <c r="H11" s="95"/>
      <c r="I11" s="95"/>
    </row>
    <row r="12" spans="1:10" s="22" customFormat="1" ht="15.75" customHeight="1">
      <c r="B12" s="24" t="str">
        <f>'52'!B13</f>
        <v>Julio</v>
      </c>
      <c r="C12" s="46">
        <v>10589</v>
      </c>
      <c r="D12" s="306">
        <v>9905</v>
      </c>
      <c r="E12" s="306">
        <v>19199</v>
      </c>
      <c r="F12" s="46">
        <v>14191</v>
      </c>
      <c r="G12" s="46">
        <v>11142.037920000001</v>
      </c>
      <c r="H12" s="95"/>
      <c r="I12" s="95"/>
    </row>
    <row r="13" spans="1:10" s="22" customFormat="1" ht="15.75" customHeight="1">
      <c r="B13" s="24" t="str">
        <f>'52'!B14</f>
        <v>Agosto</v>
      </c>
      <c r="C13" s="46">
        <v>12381</v>
      </c>
      <c r="D13" s="306">
        <v>11502</v>
      </c>
      <c r="E13" s="306">
        <v>19294</v>
      </c>
      <c r="F13" s="46">
        <v>14413</v>
      </c>
      <c r="G13" s="46"/>
      <c r="H13" s="95"/>
      <c r="I13" s="95"/>
    </row>
    <row r="14" spans="1:10" s="22" customFormat="1" ht="15.75" customHeight="1">
      <c r="B14" s="24" t="str">
        <f>'52'!B15</f>
        <v>Septiembre</v>
      </c>
      <c r="C14" s="46">
        <v>6745</v>
      </c>
      <c r="D14" s="306">
        <v>11560</v>
      </c>
      <c r="E14" s="306">
        <v>21882</v>
      </c>
      <c r="F14" s="46">
        <v>10322</v>
      </c>
      <c r="G14" s="46"/>
      <c r="H14" s="95"/>
      <c r="I14" s="95"/>
    </row>
    <row r="15" spans="1:10" s="22" customFormat="1" ht="15.75" customHeight="1">
      <c r="B15" s="24" t="str">
        <f>'52'!B16</f>
        <v>Octubre</v>
      </c>
      <c r="C15" s="46">
        <v>11079</v>
      </c>
      <c r="D15" s="306">
        <v>8853</v>
      </c>
      <c r="E15" s="306">
        <v>13942</v>
      </c>
      <c r="F15" s="46">
        <v>13685</v>
      </c>
      <c r="G15" s="46"/>
      <c r="H15" s="95"/>
      <c r="I15" s="95"/>
    </row>
    <row r="16" spans="1:10" s="22" customFormat="1" ht="15.75" customHeight="1">
      <c r="B16" s="24" t="str">
        <f>'52'!B17</f>
        <v>Noviembre</v>
      </c>
      <c r="C16" s="46">
        <v>10817</v>
      </c>
      <c r="D16" s="306">
        <v>11852</v>
      </c>
      <c r="E16" s="306">
        <v>6854</v>
      </c>
      <c r="F16" s="46">
        <v>9525.1349799999989</v>
      </c>
      <c r="G16" s="46"/>
      <c r="H16" s="95"/>
      <c r="I16" s="95"/>
    </row>
    <row r="17" spans="2:12" s="22" customFormat="1" ht="15.75" customHeight="1">
      <c r="B17" s="24" t="str">
        <f>'52'!B18</f>
        <v>Diciembre</v>
      </c>
      <c r="C17" s="46">
        <v>8315</v>
      </c>
      <c r="D17" s="306">
        <v>11328</v>
      </c>
      <c r="E17" s="306">
        <v>9879</v>
      </c>
      <c r="F17" s="46">
        <v>10440</v>
      </c>
      <c r="G17" s="46"/>
      <c r="H17" s="95"/>
      <c r="I17" s="95"/>
    </row>
    <row r="18" spans="2:12" s="22" customFormat="1" ht="15.75" customHeight="1">
      <c r="B18" s="24" t="s">
        <v>195</v>
      </c>
      <c r="C18" s="46">
        <f>SUM(C6:C17)</f>
        <v>133366.25400000002</v>
      </c>
      <c r="D18" s="306">
        <f>SUM(D6:D17)</f>
        <v>126281.10111</v>
      </c>
      <c r="E18" s="306">
        <f>SUM(E6:E17)</f>
        <v>167355.36387</v>
      </c>
      <c r="F18" s="306">
        <f>SUM(F6:F17)</f>
        <v>131208.58575</v>
      </c>
      <c r="G18" s="306">
        <f>SUM(G6:G17)</f>
        <v>85947.892900000006</v>
      </c>
      <c r="H18" s="95"/>
      <c r="I18" s="11"/>
      <c r="J18" s="95"/>
      <c r="K18" s="248"/>
      <c r="L18" s="95"/>
    </row>
    <row r="19" spans="2:12" ht="18" customHeight="1">
      <c r="B19" s="792" t="s">
        <v>414</v>
      </c>
      <c r="C19" s="792"/>
      <c r="D19" s="792"/>
      <c r="E19" s="792"/>
      <c r="F19" s="792"/>
      <c r="G19" s="792"/>
      <c r="H19" s="12"/>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1" customFormat="1" ht="15" customHeight="1"/>
    <row r="34" s="1" customFormat="1" ht="15" customHeight="1"/>
    <row r="35" s="1" customFormat="1" ht="15" customHeight="1"/>
    <row r="36" s="1" customFormat="1" ht="15" customHeight="1"/>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C18:G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AB878"/>
  <sheetViews>
    <sheetView topLeftCell="A10" zoomScaleNormal="100" workbookViewId="0">
      <selection activeCell="O35" sqref="O35"/>
    </sheetView>
  </sheetViews>
  <sheetFormatPr baseColWidth="10" defaultColWidth="10.90625" defaultRowHeight="12"/>
  <cols>
    <col min="1" max="1" width="1.26953125" style="1" customWidth="1"/>
    <col min="2" max="2" width="8.453125" style="1" customWidth="1"/>
    <col min="3" max="6" width="4.90625" style="1" customWidth="1"/>
    <col min="7" max="10" width="4.90625" style="375" customWidth="1"/>
    <col min="11" max="12" width="5.81640625" style="375" customWidth="1"/>
    <col min="13" max="13" width="4.7265625" style="1" bestFit="1" customWidth="1"/>
    <col min="14" max="14" width="6" style="1" customWidth="1"/>
    <col min="15" max="15" width="6.453125" style="1" bestFit="1" customWidth="1"/>
    <col min="16" max="16" width="6.1796875" style="1" bestFit="1" customWidth="1"/>
    <col min="17" max="17" width="5.90625" style="1" customWidth="1"/>
    <col min="18" max="18" width="7.6328125" style="580" customWidth="1"/>
    <col min="19" max="19" width="5.90625" style="580" customWidth="1"/>
    <col min="20" max="20" width="6.26953125" style="580" bestFit="1" customWidth="1"/>
    <col min="21" max="21" width="5.26953125" style="580" customWidth="1"/>
    <col min="22" max="23" width="10.90625" style="580"/>
    <col min="24" max="24" width="10.90625" style="373"/>
    <col min="25" max="27" width="10.90625" style="1"/>
    <col min="28" max="28" width="4.7265625" style="1" customWidth="1"/>
    <col min="29" max="16384" width="10.90625" style="1"/>
  </cols>
  <sheetData>
    <row r="1" spans="2:24" s="15" customFormat="1" ht="12.75">
      <c r="B1" s="767" t="s">
        <v>189</v>
      </c>
      <c r="C1" s="767"/>
      <c r="D1" s="767"/>
      <c r="E1" s="767"/>
      <c r="F1" s="767"/>
      <c r="G1" s="767"/>
      <c r="H1" s="767"/>
      <c r="I1" s="767"/>
      <c r="J1" s="767"/>
      <c r="K1" s="767"/>
      <c r="L1" s="767"/>
      <c r="M1" s="767"/>
      <c r="Q1" s="22"/>
      <c r="R1" s="583" t="str">
        <f>C5</f>
        <v>Argentina</v>
      </c>
      <c r="S1" s="583" t="str">
        <f>E5</f>
        <v>Uruguay</v>
      </c>
      <c r="T1" s="583" t="str">
        <f>I5</f>
        <v>Pakistán</v>
      </c>
      <c r="U1" s="583" t="str">
        <f>G5</f>
        <v>Paraguay</v>
      </c>
      <c r="V1" s="583" t="s">
        <v>197</v>
      </c>
      <c r="W1" s="583"/>
      <c r="X1" s="308"/>
    </row>
    <row r="2" spans="2:24" s="15" customFormat="1" ht="18">
      <c r="B2" s="767" t="s">
        <v>475</v>
      </c>
      <c r="C2" s="767"/>
      <c r="D2" s="767"/>
      <c r="E2" s="767"/>
      <c r="F2" s="767"/>
      <c r="G2" s="767"/>
      <c r="H2" s="767"/>
      <c r="I2" s="767"/>
      <c r="J2" s="767"/>
      <c r="K2" s="767"/>
      <c r="L2" s="767"/>
      <c r="M2" s="767"/>
      <c r="Q2" s="22"/>
      <c r="R2" s="441">
        <f>D20</f>
        <v>0.53472146954578148</v>
      </c>
      <c r="S2" s="441">
        <f>F20</f>
        <v>8.5563008682615405E-2</v>
      </c>
      <c r="T2" s="441">
        <f>J20</f>
        <v>6.6900909648911003E-3</v>
      </c>
      <c r="U2" s="441">
        <f>H20</f>
        <v>0.3627885076029933</v>
      </c>
      <c r="V2" s="441">
        <f>1-(SUM(U2+T2+S2+R2))</f>
        <v>1.0236923203718717E-2</v>
      </c>
      <c r="W2" s="583"/>
      <c r="X2" s="308"/>
    </row>
    <row r="3" spans="2:24" s="15" customFormat="1" ht="12.75">
      <c r="B3" s="839" t="s">
        <v>636</v>
      </c>
      <c r="C3" s="839"/>
      <c r="D3" s="839"/>
      <c r="E3" s="839"/>
      <c r="F3" s="839"/>
      <c r="G3" s="839"/>
      <c r="H3" s="839"/>
      <c r="I3" s="839"/>
      <c r="J3" s="839"/>
      <c r="K3" s="839"/>
      <c r="L3" s="839"/>
      <c r="M3" s="839"/>
      <c r="Q3" s="22"/>
      <c r="R3" s="582"/>
      <c r="S3" s="582"/>
      <c r="T3" s="582"/>
      <c r="U3" s="582"/>
      <c r="V3" s="582"/>
      <c r="W3" s="583"/>
      <c r="X3" s="308"/>
    </row>
    <row r="4" spans="2:24" s="15" customFormat="1" ht="12.75">
      <c r="B4" s="578"/>
      <c r="C4" s="578"/>
      <c r="D4" s="578"/>
      <c r="E4" s="578"/>
      <c r="F4" s="578"/>
      <c r="G4" s="578"/>
      <c r="H4" s="578"/>
      <c r="I4" s="578"/>
      <c r="J4" s="578"/>
      <c r="K4" s="578"/>
      <c r="L4" s="578"/>
      <c r="M4" s="578"/>
      <c r="Q4" s="22"/>
      <c r="R4" s="582"/>
      <c r="S4" s="582"/>
      <c r="T4" s="582"/>
      <c r="U4" s="582"/>
      <c r="V4" s="582"/>
      <c r="W4" s="583"/>
      <c r="X4" s="308"/>
    </row>
    <row r="5" spans="2:24" s="22" customFormat="1" ht="15.75" customHeight="1">
      <c r="B5" s="128" t="s">
        <v>416</v>
      </c>
      <c r="C5" s="830" t="s">
        <v>112</v>
      </c>
      <c r="D5" s="830"/>
      <c r="E5" s="830" t="s">
        <v>539</v>
      </c>
      <c r="F5" s="830"/>
      <c r="G5" s="1000" t="s">
        <v>417</v>
      </c>
      <c r="H5" s="1000"/>
      <c r="I5" s="1005" t="s">
        <v>537</v>
      </c>
      <c r="J5" s="1006"/>
      <c r="K5" s="1001" t="s">
        <v>195</v>
      </c>
      <c r="L5" s="1002"/>
      <c r="M5" s="1003"/>
      <c r="O5" s="15"/>
      <c r="P5" s="15"/>
      <c r="R5" s="583"/>
      <c r="S5" s="583"/>
      <c r="T5" s="583"/>
      <c r="U5" s="583"/>
      <c r="V5" s="583"/>
      <c r="W5" s="583"/>
      <c r="X5" s="300"/>
    </row>
    <row r="6" spans="2:24" s="22" customFormat="1" ht="15.75" customHeight="1">
      <c r="B6" s="24"/>
      <c r="C6" s="212">
        <v>2021</v>
      </c>
      <c r="D6" s="212">
        <v>2022</v>
      </c>
      <c r="E6" s="212">
        <v>2021</v>
      </c>
      <c r="F6" s="212">
        <v>2022</v>
      </c>
      <c r="G6" s="434">
        <v>2021</v>
      </c>
      <c r="H6" s="434">
        <v>2022</v>
      </c>
      <c r="I6" s="434">
        <v>2021</v>
      </c>
      <c r="J6" s="434">
        <v>2022</v>
      </c>
      <c r="K6" s="434">
        <v>2021</v>
      </c>
      <c r="L6" s="434">
        <v>2022</v>
      </c>
      <c r="M6" s="212" t="s">
        <v>199</v>
      </c>
      <c r="O6" s="15"/>
      <c r="P6" s="15"/>
      <c r="R6" s="583"/>
      <c r="S6" s="583"/>
      <c r="T6" s="583"/>
      <c r="U6" s="583"/>
      <c r="V6" s="583"/>
      <c r="W6" s="583"/>
      <c r="X6" s="300"/>
    </row>
    <row r="7" spans="2:24" s="22" customFormat="1" ht="15.75" customHeight="1">
      <c r="B7" s="24" t="s">
        <v>200</v>
      </c>
      <c r="C7" s="67">
        <v>2671.4</v>
      </c>
      <c r="D7" s="67">
        <v>3532.5475999999999</v>
      </c>
      <c r="E7" s="67">
        <v>360.00200000000001</v>
      </c>
      <c r="F7" s="67">
        <v>828.56</v>
      </c>
      <c r="G7" s="67">
        <v>1233.4000000000001</v>
      </c>
      <c r="H7" s="67">
        <v>3240.48</v>
      </c>
      <c r="I7" s="67">
        <v>330</v>
      </c>
      <c r="J7" s="67">
        <v>75</v>
      </c>
      <c r="K7" s="67">
        <v>8284.7797800000008</v>
      </c>
      <c r="L7" s="67">
        <v>7845.8767399999997</v>
      </c>
      <c r="M7" s="67">
        <f t="shared" ref="M7:M13" si="0">L7/K7*100-100</f>
        <v>-5.2977031575364464</v>
      </c>
      <c r="O7" s="15"/>
      <c r="P7" s="15"/>
      <c r="R7" s="583"/>
      <c r="S7" s="583"/>
      <c r="T7" s="583"/>
      <c r="U7" s="583"/>
      <c r="V7" s="583"/>
      <c r="W7" s="583"/>
      <c r="X7" s="300"/>
    </row>
    <row r="8" spans="2:24" s="22" customFormat="1" ht="15.75" customHeight="1">
      <c r="B8" s="24" t="s">
        <v>201</v>
      </c>
      <c r="C8" s="67">
        <v>2568.4079999999999</v>
      </c>
      <c r="D8" s="67">
        <v>3620.3625000000002</v>
      </c>
      <c r="E8" s="67">
        <v>280.11200000000002</v>
      </c>
      <c r="F8" s="67">
        <v>960.20025999999996</v>
      </c>
      <c r="G8" s="67">
        <v>3760.1840000000002</v>
      </c>
      <c r="H8" s="67">
        <v>3036.3</v>
      </c>
      <c r="I8" s="67">
        <v>1269</v>
      </c>
      <c r="J8" s="67">
        <v>75</v>
      </c>
      <c r="K8" s="67">
        <v>10165.29904</v>
      </c>
      <c r="L8" s="67">
        <v>7834.2395900000001</v>
      </c>
      <c r="M8" s="67">
        <f t="shared" si="0"/>
        <v>-22.931538372136274</v>
      </c>
      <c r="O8" s="15"/>
      <c r="P8" s="15"/>
      <c r="R8" s="583"/>
      <c r="S8" s="583"/>
      <c r="T8" s="583"/>
      <c r="U8" s="583"/>
      <c r="V8" s="583"/>
      <c r="W8" s="583"/>
      <c r="X8" s="300"/>
    </row>
    <row r="9" spans="2:24" s="22" customFormat="1" ht="15.75" customHeight="1">
      <c r="B9" s="24" t="s">
        <v>202</v>
      </c>
      <c r="C9" s="67">
        <v>3379.7550000000001</v>
      </c>
      <c r="D9" s="67">
        <v>8271.3004999999994</v>
      </c>
      <c r="E9" s="67">
        <v>560</v>
      </c>
      <c r="F9" s="67">
        <v>1226.5999999999999</v>
      </c>
      <c r="G9" s="67">
        <v>2760.22</v>
      </c>
      <c r="H9" s="67">
        <v>4790.9399999999996</v>
      </c>
      <c r="I9" s="67">
        <v>353.34602000000001</v>
      </c>
      <c r="J9" s="67">
        <v>100</v>
      </c>
      <c r="K9" s="67">
        <v>8486.4847499999996</v>
      </c>
      <c r="L9" s="67">
        <v>14581.501040000001</v>
      </c>
      <c r="M9" s="67">
        <f t="shared" si="0"/>
        <v>71.820270342205021</v>
      </c>
      <c r="O9" s="15"/>
      <c r="P9" s="15"/>
      <c r="Q9" s="439"/>
      <c r="R9" s="581"/>
      <c r="S9" s="581"/>
      <c r="T9" s="581"/>
      <c r="U9" s="583"/>
      <c r="V9" s="583"/>
      <c r="W9" s="583"/>
      <c r="X9" s="300"/>
    </row>
    <row r="10" spans="2:24" s="22" customFormat="1" ht="15.75" customHeight="1">
      <c r="B10" s="24" t="s">
        <v>203</v>
      </c>
      <c r="C10" s="67">
        <v>3719.50092</v>
      </c>
      <c r="D10" s="67">
        <v>9851.1512000000002</v>
      </c>
      <c r="E10" s="67">
        <v>420.28</v>
      </c>
      <c r="F10" s="67">
        <v>638.6</v>
      </c>
      <c r="G10" s="67">
        <v>2393.5</v>
      </c>
      <c r="H10" s="67">
        <v>4012.366</v>
      </c>
      <c r="I10" s="67">
        <v>287.00200000000001</v>
      </c>
      <c r="J10" s="67">
        <v>0</v>
      </c>
      <c r="K10" s="67">
        <v>7510.1323300000004</v>
      </c>
      <c r="L10" s="67">
        <v>14602.845460000002</v>
      </c>
      <c r="M10" s="67">
        <f t="shared" si="0"/>
        <v>94.441919507428992</v>
      </c>
      <c r="O10" s="15"/>
      <c r="P10" s="15"/>
      <c r="R10" s="583"/>
      <c r="S10" s="583"/>
      <c r="T10" s="583"/>
      <c r="U10" s="583"/>
      <c r="V10" s="583"/>
      <c r="W10" s="583"/>
      <c r="X10" s="300"/>
    </row>
    <row r="11" spans="2:24" s="22" customFormat="1" ht="15.75" customHeight="1">
      <c r="B11" s="24" t="s">
        <v>204</v>
      </c>
      <c r="C11" s="67">
        <v>5798.42</v>
      </c>
      <c r="D11" s="67">
        <v>9017.9599999999991</v>
      </c>
      <c r="E11" s="67">
        <v>1609.0840000000001</v>
      </c>
      <c r="F11" s="67">
        <v>1694.8</v>
      </c>
      <c r="G11" s="67">
        <v>4662.4799999999996</v>
      </c>
      <c r="H11" s="67">
        <v>5033.04</v>
      </c>
      <c r="I11" s="67">
        <v>140</v>
      </c>
      <c r="J11" s="67">
        <v>100</v>
      </c>
      <c r="K11" s="67">
        <v>12436.743660000002</v>
      </c>
      <c r="L11" s="67">
        <v>15988.013730000001</v>
      </c>
      <c r="M11" s="67">
        <f t="shared" si="0"/>
        <v>28.554661630776081</v>
      </c>
      <c r="O11" s="15"/>
      <c r="P11" s="15"/>
      <c r="R11" s="583"/>
      <c r="S11" s="583"/>
      <c r="T11" s="583"/>
      <c r="U11" s="583"/>
      <c r="V11" s="583"/>
      <c r="W11" s="583"/>
      <c r="X11" s="300"/>
    </row>
    <row r="12" spans="2:24" s="22" customFormat="1" ht="15.75" customHeight="1">
      <c r="B12" s="24" t="s">
        <v>205</v>
      </c>
      <c r="C12" s="67">
        <v>6504.28</v>
      </c>
      <c r="D12" s="67">
        <v>6283.5240000000003</v>
      </c>
      <c r="E12" s="67">
        <v>2305</v>
      </c>
      <c r="F12" s="67">
        <v>1392.8</v>
      </c>
      <c r="G12" s="67">
        <v>2149.424</v>
      </c>
      <c r="H12" s="67">
        <v>6116.424</v>
      </c>
      <c r="I12" s="67">
        <v>169.54</v>
      </c>
      <c r="J12" s="67">
        <v>100</v>
      </c>
      <c r="K12" s="67">
        <v>11749.450769999998</v>
      </c>
      <c r="L12" s="67">
        <v>13953.49475</v>
      </c>
      <c r="M12" s="67">
        <f t="shared" si="0"/>
        <v>18.758697943801877</v>
      </c>
      <c r="O12" s="15"/>
      <c r="P12" s="15"/>
      <c r="R12" s="583"/>
      <c r="S12" s="583"/>
      <c r="T12" s="583"/>
      <c r="U12" s="583"/>
      <c r="V12" s="583"/>
      <c r="W12" s="583"/>
      <c r="X12" s="300"/>
    </row>
    <row r="13" spans="2:24" s="22" customFormat="1" ht="15.75" customHeight="1">
      <c r="B13" s="24" t="s">
        <v>206</v>
      </c>
      <c r="C13" s="67">
        <v>9515.1859999999997</v>
      </c>
      <c r="D13" s="67">
        <v>5381.4</v>
      </c>
      <c r="E13" s="67">
        <v>1668.1120000000001</v>
      </c>
      <c r="F13" s="67">
        <v>612.41</v>
      </c>
      <c r="G13" s="67">
        <v>2866.5039999999999</v>
      </c>
      <c r="H13" s="67">
        <v>4951.3999999999996</v>
      </c>
      <c r="I13" s="67">
        <v>52.52</v>
      </c>
      <c r="J13" s="67">
        <v>125</v>
      </c>
      <c r="K13" s="67">
        <v>14191.0929</v>
      </c>
      <c r="L13" s="67">
        <v>11142.037920000001</v>
      </c>
      <c r="M13" s="67">
        <f t="shared" si="0"/>
        <v>-21.485695298351544</v>
      </c>
      <c r="O13" s="15"/>
      <c r="P13" s="15"/>
      <c r="R13" s="583"/>
      <c r="S13" s="583"/>
      <c r="T13" s="583"/>
      <c r="U13" s="583"/>
      <c r="V13" s="583"/>
      <c r="W13" s="583"/>
      <c r="X13" s="300"/>
    </row>
    <row r="14" spans="2:24" s="22" customFormat="1" ht="15.75" customHeight="1">
      <c r="B14" s="24" t="s">
        <v>207</v>
      </c>
      <c r="C14" s="67">
        <v>9964</v>
      </c>
      <c r="D14" s="67"/>
      <c r="E14" s="67">
        <v>1260</v>
      </c>
      <c r="F14" s="67"/>
      <c r="G14" s="67">
        <v>2622</v>
      </c>
      <c r="H14" s="67"/>
      <c r="I14" s="67">
        <v>56</v>
      </c>
      <c r="J14" s="67"/>
      <c r="K14" s="67">
        <v>14413</v>
      </c>
      <c r="L14" s="67"/>
      <c r="M14" s="67"/>
      <c r="O14" s="15"/>
      <c r="P14" s="15"/>
      <c r="R14" s="583"/>
      <c r="S14" s="583"/>
      <c r="T14" s="583"/>
      <c r="U14" s="583"/>
      <c r="V14" s="583"/>
      <c r="W14" s="583"/>
      <c r="X14" s="300"/>
    </row>
    <row r="15" spans="2:24" s="22" customFormat="1" ht="15.75" customHeight="1">
      <c r="B15" s="24" t="s">
        <v>208</v>
      </c>
      <c r="C15" s="67">
        <v>7205</v>
      </c>
      <c r="D15" s="67"/>
      <c r="E15" s="67">
        <v>868</v>
      </c>
      <c r="F15" s="67"/>
      <c r="G15" s="67">
        <v>1451</v>
      </c>
      <c r="H15" s="67"/>
      <c r="I15" s="67">
        <v>324</v>
      </c>
      <c r="J15" s="67"/>
      <c r="K15" s="67">
        <v>10322</v>
      </c>
      <c r="L15" s="67"/>
      <c r="M15" s="67"/>
      <c r="O15" s="15"/>
      <c r="P15" s="15"/>
      <c r="R15" s="583"/>
      <c r="S15" s="583"/>
      <c r="T15" s="583"/>
      <c r="U15" s="583"/>
      <c r="V15" s="583"/>
      <c r="W15" s="583"/>
      <c r="X15" s="300"/>
    </row>
    <row r="16" spans="2:24" s="22" customFormat="1" ht="15.75" customHeight="1">
      <c r="B16" s="24" t="s">
        <v>209</v>
      </c>
      <c r="C16" s="67">
        <v>9065.2199999999993</v>
      </c>
      <c r="D16" s="67"/>
      <c r="E16" s="67">
        <v>1189</v>
      </c>
      <c r="F16" s="67"/>
      <c r="G16" s="67">
        <v>3069.7</v>
      </c>
      <c r="H16" s="67"/>
      <c r="I16" s="67">
        <v>8</v>
      </c>
      <c r="J16" s="67"/>
      <c r="K16" s="67">
        <v>13685</v>
      </c>
      <c r="L16" s="67"/>
      <c r="M16" s="67"/>
      <c r="O16" s="15"/>
      <c r="P16" s="15"/>
      <c r="R16" s="583"/>
      <c r="S16" s="583"/>
      <c r="T16" s="583"/>
      <c r="U16" s="583"/>
      <c r="V16" s="583"/>
      <c r="W16" s="583"/>
      <c r="X16" s="300"/>
    </row>
    <row r="17" spans="2:24" s="22" customFormat="1" ht="15.75" customHeight="1">
      <c r="B17" s="24" t="s">
        <v>193</v>
      </c>
      <c r="C17" s="67">
        <v>6172.94</v>
      </c>
      <c r="D17" s="67"/>
      <c r="E17" s="67">
        <v>1389.24</v>
      </c>
      <c r="F17" s="67"/>
      <c r="G17" s="67">
        <v>1706.40948</v>
      </c>
      <c r="H17" s="67"/>
      <c r="I17" s="67">
        <v>144</v>
      </c>
      <c r="J17" s="67"/>
      <c r="K17" s="67">
        <v>9525.1349799999989</v>
      </c>
      <c r="L17" s="67"/>
      <c r="M17" s="67"/>
      <c r="O17" s="15"/>
      <c r="P17" s="15"/>
      <c r="R17" s="583"/>
      <c r="S17" s="583"/>
      <c r="T17" s="583"/>
      <c r="U17" s="583"/>
      <c r="V17" s="583"/>
      <c r="W17" s="583"/>
      <c r="X17" s="300"/>
    </row>
    <row r="18" spans="2:24" s="22" customFormat="1" ht="15.75" customHeight="1">
      <c r="B18" s="24" t="s">
        <v>194</v>
      </c>
      <c r="C18" s="67">
        <v>5579.29</v>
      </c>
      <c r="D18" s="67"/>
      <c r="E18" s="67">
        <v>2233.2399999999998</v>
      </c>
      <c r="F18" s="67"/>
      <c r="G18" s="67">
        <v>2434.6</v>
      </c>
      <c r="H18" s="67"/>
      <c r="I18" s="67">
        <v>50</v>
      </c>
      <c r="J18" s="67"/>
      <c r="K18" s="67">
        <v>10440</v>
      </c>
      <c r="L18" s="67"/>
      <c r="M18" s="67"/>
      <c r="O18" s="15"/>
      <c r="P18" s="15"/>
      <c r="R18" s="583"/>
      <c r="S18" s="583"/>
      <c r="T18" s="583"/>
      <c r="U18" s="583"/>
      <c r="V18" s="583"/>
      <c r="W18" s="583"/>
      <c r="X18" s="300"/>
    </row>
    <row r="19" spans="2:24" s="22" customFormat="1" ht="15.75" customHeight="1">
      <c r="B19" s="57" t="s">
        <v>195</v>
      </c>
      <c r="C19" s="67">
        <f t="shared" ref="C19:L19" si="1">SUM(C7:C18)</f>
        <v>72143.399919999996</v>
      </c>
      <c r="D19" s="67">
        <f t="shared" si="1"/>
        <v>45958.245799999997</v>
      </c>
      <c r="E19" s="67">
        <f t="shared" si="1"/>
        <v>14142.07</v>
      </c>
      <c r="F19" s="67">
        <f t="shared" si="1"/>
        <v>7353.9702600000001</v>
      </c>
      <c r="G19" s="67">
        <f t="shared" si="1"/>
        <v>31109.421479999997</v>
      </c>
      <c r="H19" s="67">
        <f t="shared" si="1"/>
        <v>31180.949999999997</v>
      </c>
      <c r="I19" s="67">
        <f t="shared" si="1"/>
        <v>3183.4080199999999</v>
      </c>
      <c r="J19" s="67">
        <f t="shared" si="1"/>
        <v>575</v>
      </c>
      <c r="K19" s="67">
        <f t="shared" si="1"/>
        <v>131209.11820999999</v>
      </c>
      <c r="L19" s="67">
        <f t="shared" si="1"/>
        <v>85948.009230000011</v>
      </c>
      <c r="M19" s="67"/>
      <c r="O19" s="424"/>
      <c r="P19" s="25"/>
      <c r="R19" s="583"/>
      <c r="S19" s="583"/>
      <c r="T19" s="583"/>
      <c r="U19" s="583"/>
      <c r="V19" s="583"/>
      <c r="W19" s="583"/>
      <c r="X19" s="300"/>
    </row>
    <row r="20" spans="2:24" s="22" customFormat="1" ht="15.75" customHeight="1">
      <c r="B20" s="247" t="s">
        <v>215</v>
      </c>
      <c r="C20" s="221">
        <f>C19/K19</f>
        <v>0.54983526224552925</v>
      </c>
      <c r="D20" s="221">
        <f>D19/L19</f>
        <v>0.53472146954578148</v>
      </c>
      <c r="E20" s="221">
        <f>E19/K19</f>
        <v>0.10778267694296702</v>
      </c>
      <c r="F20" s="221">
        <f>F19/L19</f>
        <v>8.5563008682615405E-2</v>
      </c>
      <c r="G20" s="221">
        <f>G19/K19</f>
        <v>0.23709801501911945</v>
      </c>
      <c r="H20" s="221">
        <f>H19/L19</f>
        <v>0.3627885076029933</v>
      </c>
      <c r="I20" s="221">
        <f>I19/K19</f>
        <v>2.4262094459814601E-2</v>
      </c>
      <c r="J20" s="221">
        <f>J19/L19</f>
        <v>6.6900909648911003E-3</v>
      </c>
      <c r="K20" s="221">
        <f>+K19/K19</f>
        <v>1</v>
      </c>
      <c r="L20" s="221">
        <f>+L19/L19</f>
        <v>1</v>
      </c>
      <c r="M20" s="221"/>
      <c r="O20" s="390"/>
      <c r="P20"/>
      <c r="R20" s="583"/>
      <c r="S20" s="583"/>
      <c r="T20" s="583"/>
      <c r="U20" s="583"/>
      <c r="V20" s="583"/>
      <c r="W20" s="583"/>
      <c r="X20" s="300"/>
    </row>
    <row r="21" spans="2:24" s="22" customFormat="1" ht="23.25" customHeight="1">
      <c r="B21" s="1004" t="s">
        <v>438</v>
      </c>
      <c r="C21" s="1004"/>
      <c r="D21" s="1004"/>
      <c r="E21" s="1004"/>
      <c r="F21" s="1004"/>
      <c r="G21" s="1004"/>
      <c r="H21" s="1004"/>
      <c r="I21" s="1004"/>
      <c r="J21" s="1004"/>
      <c r="K21" s="1004"/>
      <c r="L21" s="1004"/>
      <c r="M21" s="1004"/>
      <c r="O21" s="299"/>
      <c r="P21"/>
      <c r="R21" s="583"/>
      <c r="S21" s="583"/>
      <c r="T21" s="583"/>
      <c r="U21" s="583"/>
      <c r="V21" s="583"/>
      <c r="W21" s="583"/>
      <c r="X21" s="300"/>
    </row>
    <row r="22" spans="2:24" ht="17.25" customHeight="1">
      <c r="B22" s="852"/>
      <c r="C22" s="852"/>
      <c r="D22" s="852"/>
      <c r="E22" s="852"/>
      <c r="F22" s="852"/>
      <c r="G22" s="852"/>
      <c r="H22" s="852"/>
      <c r="I22" s="852"/>
      <c r="J22" s="852"/>
      <c r="K22" s="852"/>
      <c r="L22" s="852"/>
      <c r="M22" s="852"/>
      <c r="P22" s="425"/>
    </row>
    <row r="23" spans="2:24" ht="15" customHeight="1">
      <c r="P23"/>
    </row>
    <row r="24" spans="2:24" ht="15" customHeight="1">
      <c r="P24"/>
    </row>
    <row r="25" spans="2:24" ht="15" customHeight="1">
      <c r="P25"/>
    </row>
    <row r="26" spans="2:24" ht="15" customHeight="1">
      <c r="P26"/>
    </row>
    <row r="27" spans="2:24" ht="15" customHeight="1">
      <c r="P27"/>
    </row>
    <row r="28" spans="2:24" ht="15" customHeight="1"/>
    <row r="29" spans="2:24" ht="15" customHeight="1"/>
    <row r="30" spans="2:24" ht="15" customHeight="1"/>
    <row r="32" spans="2:24" ht="15" customHeight="1"/>
    <row r="33" spans="2:28" ht="15" customHeight="1">
      <c r="AB33" s="9"/>
    </row>
    <row r="34" spans="2:28" ht="15" customHeight="1"/>
    <row r="35" spans="2:28" ht="15" customHeight="1"/>
    <row r="36" spans="2:28" ht="15" customHeight="1">
      <c r="G36" s="1"/>
      <c r="H36" s="1"/>
      <c r="I36" s="1"/>
      <c r="J36" s="1"/>
      <c r="K36" s="1"/>
      <c r="L36" s="1"/>
    </row>
    <row r="37" spans="2:28" ht="15" customHeight="1">
      <c r="G37" s="1"/>
      <c r="H37" s="1"/>
      <c r="I37" s="1"/>
      <c r="J37" s="1"/>
      <c r="K37" s="1"/>
      <c r="L37" s="1"/>
    </row>
    <row r="38" spans="2:28">
      <c r="G38" s="1"/>
      <c r="H38" s="1"/>
      <c r="I38" s="1"/>
      <c r="J38" s="1"/>
      <c r="K38" s="1"/>
      <c r="L38" s="1"/>
    </row>
    <row r="39" spans="2:28" ht="15.75" customHeight="1">
      <c r="B39" s="847" t="s">
        <v>438</v>
      </c>
      <c r="C39" s="847"/>
      <c r="D39" s="847"/>
      <c r="E39" s="847"/>
      <c r="F39" s="847"/>
      <c r="G39" s="847"/>
      <c r="H39" s="847"/>
      <c r="I39" s="847"/>
      <c r="J39" s="847"/>
      <c r="K39" s="847"/>
      <c r="L39" s="847"/>
      <c r="M39" s="847"/>
    </row>
    <row r="40" spans="2:28">
      <c r="G40" s="1"/>
      <c r="H40" s="1"/>
      <c r="I40" s="1"/>
      <c r="J40" s="1"/>
      <c r="K40" s="1"/>
      <c r="L40" s="1"/>
    </row>
    <row r="41" spans="2:28">
      <c r="G41" s="1"/>
      <c r="H41" s="1"/>
      <c r="I41" s="1"/>
      <c r="J41" s="1"/>
      <c r="K41" s="1"/>
      <c r="L41" s="1"/>
    </row>
    <row r="42" spans="2:28">
      <c r="G42" s="1"/>
      <c r="H42" s="1"/>
      <c r="I42" s="1"/>
      <c r="J42" s="1"/>
      <c r="K42" s="1"/>
      <c r="L42" s="1"/>
    </row>
    <row r="43" spans="2:28">
      <c r="G43" s="1"/>
      <c r="H43" s="1"/>
      <c r="I43" s="1"/>
      <c r="J43" s="1"/>
      <c r="K43" s="1"/>
      <c r="L43" s="1"/>
    </row>
    <row r="44" spans="2:28">
      <c r="G44" s="1"/>
      <c r="H44" s="1"/>
      <c r="I44" s="1"/>
      <c r="J44" s="1"/>
      <c r="K44" s="1"/>
      <c r="L44" s="1"/>
    </row>
    <row r="45" spans="2:28">
      <c r="G45" s="1"/>
      <c r="H45" s="1"/>
      <c r="I45" s="1"/>
      <c r="J45" s="1"/>
      <c r="K45" s="1"/>
      <c r="L45" s="1"/>
    </row>
    <row r="46" spans="2:28">
      <c r="G46" s="1"/>
      <c r="H46" s="1"/>
      <c r="I46" s="1"/>
      <c r="J46" s="1"/>
      <c r="K46" s="1"/>
      <c r="L46" s="1"/>
    </row>
    <row r="47" spans="2:28">
      <c r="G47" s="1"/>
      <c r="H47" s="1"/>
      <c r="I47" s="1"/>
      <c r="J47" s="1"/>
      <c r="K47" s="1"/>
      <c r="L47" s="1"/>
    </row>
    <row r="48" spans="2:28">
      <c r="G48" s="1"/>
      <c r="H48" s="1"/>
      <c r="I48" s="1"/>
      <c r="J48" s="1"/>
      <c r="K48" s="1"/>
      <c r="L48" s="1"/>
    </row>
    <row r="49" spans="18:24" s="1" customFormat="1">
      <c r="R49" s="580"/>
      <c r="S49" s="580"/>
      <c r="T49" s="580"/>
      <c r="U49" s="580"/>
      <c r="V49" s="580"/>
      <c r="W49" s="580"/>
      <c r="X49" s="373"/>
    </row>
    <row r="50" spans="18:24" s="1" customFormat="1">
      <c r="R50" s="580"/>
      <c r="S50" s="580"/>
      <c r="T50" s="580"/>
      <c r="U50" s="580"/>
      <c r="V50" s="580"/>
      <c r="W50" s="580"/>
      <c r="X50" s="373"/>
    </row>
    <row r="51" spans="18:24" s="1" customFormat="1">
      <c r="R51" s="580"/>
      <c r="S51" s="580"/>
      <c r="T51" s="580"/>
      <c r="U51" s="580"/>
      <c r="V51" s="580"/>
      <c r="W51" s="580"/>
      <c r="X51" s="373"/>
    </row>
    <row r="52" spans="18:24" s="1" customFormat="1">
      <c r="R52" s="580"/>
      <c r="S52" s="580"/>
      <c r="T52" s="580"/>
      <c r="U52" s="580"/>
      <c r="V52" s="580"/>
      <c r="W52" s="580"/>
      <c r="X52" s="373"/>
    </row>
    <row r="53" spans="18:24" s="1" customFormat="1">
      <c r="R53" s="580"/>
      <c r="S53" s="580"/>
      <c r="T53" s="580"/>
      <c r="U53" s="580"/>
      <c r="V53" s="580"/>
      <c r="W53" s="580"/>
      <c r="X53" s="373"/>
    </row>
    <row r="54" spans="18:24" s="1" customFormat="1">
      <c r="R54" s="580"/>
      <c r="S54" s="580"/>
      <c r="T54" s="580"/>
      <c r="U54" s="580"/>
      <c r="V54" s="580"/>
      <c r="W54" s="580"/>
      <c r="X54" s="373"/>
    </row>
    <row r="55" spans="18:24" s="1" customFormat="1">
      <c r="R55" s="580"/>
      <c r="S55" s="580"/>
      <c r="T55" s="580"/>
      <c r="U55" s="580"/>
      <c r="V55" s="580"/>
      <c r="W55" s="580"/>
      <c r="X55" s="373"/>
    </row>
    <row r="56" spans="18:24" s="1" customFormat="1">
      <c r="R56" s="580"/>
      <c r="S56" s="580"/>
      <c r="T56" s="580"/>
      <c r="U56" s="580"/>
      <c r="V56" s="580"/>
      <c r="W56" s="580"/>
      <c r="X56" s="373"/>
    </row>
    <row r="57" spans="18:24" s="1" customFormat="1">
      <c r="R57" s="580"/>
      <c r="S57" s="580"/>
      <c r="T57" s="580"/>
      <c r="U57" s="580"/>
      <c r="V57" s="580"/>
      <c r="W57" s="580"/>
      <c r="X57" s="373"/>
    </row>
    <row r="58" spans="18:24" s="1" customFormat="1">
      <c r="R58" s="580"/>
      <c r="S58" s="580"/>
      <c r="T58" s="580"/>
      <c r="U58" s="580"/>
      <c r="V58" s="580"/>
      <c r="W58" s="580"/>
      <c r="X58" s="373"/>
    </row>
    <row r="59" spans="18:24" s="1" customFormat="1">
      <c r="R59" s="580"/>
      <c r="S59" s="580"/>
      <c r="T59" s="580"/>
      <c r="U59" s="580"/>
      <c r="V59" s="580"/>
      <c r="W59" s="580"/>
      <c r="X59" s="373"/>
    </row>
    <row r="60" spans="18:24" s="1" customFormat="1">
      <c r="R60" s="580"/>
      <c r="S60" s="580"/>
      <c r="T60" s="580"/>
      <c r="U60" s="580"/>
      <c r="V60" s="580"/>
      <c r="W60" s="580"/>
      <c r="X60" s="373"/>
    </row>
    <row r="61" spans="18:24" s="1" customFormat="1">
      <c r="R61" s="580"/>
      <c r="S61" s="580"/>
      <c r="T61" s="580"/>
      <c r="U61" s="580"/>
      <c r="V61" s="580"/>
      <c r="W61" s="580"/>
      <c r="X61" s="373"/>
    </row>
    <row r="62" spans="18:24" s="1" customFormat="1">
      <c r="R62" s="580"/>
      <c r="S62" s="580"/>
      <c r="T62" s="580"/>
      <c r="U62" s="580"/>
      <c r="V62" s="580"/>
      <c r="W62" s="580"/>
      <c r="X62" s="373"/>
    </row>
    <row r="63" spans="18:24" s="1" customFormat="1">
      <c r="R63" s="580"/>
      <c r="S63" s="580"/>
      <c r="T63" s="580"/>
      <c r="U63" s="580"/>
      <c r="V63" s="580"/>
      <c r="W63" s="580"/>
      <c r="X63" s="373"/>
    </row>
    <row r="64" spans="18:24" s="1" customFormat="1">
      <c r="R64" s="580"/>
      <c r="S64" s="580"/>
      <c r="T64" s="580"/>
      <c r="U64" s="580"/>
      <c r="V64" s="580"/>
      <c r="W64" s="580"/>
      <c r="X64" s="373"/>
    </row>
    <row r="65" spans="18:24" s="1" customFormat="1">
      <c r="R65" s="580"/>
      <c r="S65" s="580"/>
      <c r="T65" s="580"/>
      <c r="U65" s="580"/>
      <c r="V65" s="580"/>
      <c r="W65" s="580"/>
      <c r="X65" s="373"/>
    </row>
    <row r="66" spans="18:24" s="1" customFormat="1">
      <c r="R66" s="580"/>
      <c r="S66" s="580"/>
      <c r="T66" s="580"/>
      <c r="U66" s="580"/>
      <c r="V66" s="580"/>
      <c r="W66" s="580"/>
      <c r="X66" s="373"/>
    </row>
    <row r="67" spans="18:24" s="1" customFormat="1">
      <c r="R67" s="580"/>
      <c r="S67" s="580"/>
      <c r="T67" s="580"/>
      <c r="U67" s="580"/>
      <c r="V67" s="580"/>
      <c r="W67" s="580"/>
      <c r="X67" s="373"/>
    </row>
    <row r="68" spans="18:24" s="1" customFormat="1">
      <c r="R68" s="580"/>
      <c r="S68" s="580"/>
      <c r="T68" s="580"/>
      <c r="U68" s="580"/>
      <c r="V68" s="580"/>
      <c r="W68" s="580"/>
      <c r="X68" s="373"/>
    </row>
    <row r="69" spans="18:24" s="1" customFormat="1">
      <c r="R69" s="580"/>
      <c r="S69" s="580"/>
      <c r="T69" s="580"/>
      <c r="U69" s="580"/>
      <c r="V69" s="580"/>
      <c r="W69" s="580"/>
      <c r="X69" s="373"/>
    </row>
    <row r="70" spans="18:24" s="1" customFormat="1">
      <c r="R70" s="580"/>
      <c r="S70" s="580"/>
      <c r="T70" s="580"/>
      <c r="U70" s="580"/>
      <c r="V70" s="580"/>
      <c r="W70" s="580"/>
      <c r="X70" s="373"/>
    </row>
    <row r="71" spans="18:24" s="1" customFormat="1">
      <c r="R71" s="580"/>
      <c r="S71" s="580"/>
      <c r="T71" s="580"/>
      <c r="U71" s="580"/>
      <c r="V71" s="580"/>
      <c r="W71" s="580"/>
      <c r="X71" s="373"/>
    </row>
    <row r="72" spans="18:24" s="1" customFormat="1">
      <c r="R72" s="580"/>
      <c r="S72" s="580"/>
      <c r="T72" s="580"/>
      <c r="U72" s="580"/>
      <c r="V72" s="580"/>
      <c r="W72" s="580"/>
      <c r="X72" s="373"/>
    </row>
    <row r="73" spans="18:24" s="1" customFormat="1">
      <c r="R73" s="580"/>
      <c r="S73" s="580"/>
      <c r="T73" s="580"/>
      <c r="U73" s="580"/>
      <c r="V73" s="580"/>
      <c r="W73" s="580"/>
      <c r="X73" s="373"/>
    </row>
    <row r="74" spans="18:24" s="1" customFormat="1">
      <c r="R74" s="580"/>
      <c r="S74" s="580"/>
      <c r="T74" s="580"/>
      <c r="U74" s="580"/>
      <c r="V74" s="580"/>
      <c r="W74" s="580"/>
      <c r="X74" s="373"/>
    </row>
    <row r="75" spans="18:24" s="1" customFormat="1">
      <c r="R75" s="580"/>
      <c r="S75" s="580"/>
      <c r="T75" s="580"/>
      <c r="U75" s="580"/>
      <c r="V75" s="580"/>
      <c r="W75" s="580"/>
      <c r="X75" s="373"/>
    </row>
    <row r="76" spans="18:24" s="1" customFormat="1">
      <c r="R76" s="580"/>
      <c r="S76" s="580"/>
      <c r="T76" s="580"/>
      <c r="U76" s="580"/>
      <c r="V76" s="580"/>
      <c r="W76" s="580"/>
      <c r="X76" s="373"/>
    </row>
    <row r="77" spans="18:24" s="1" customFormat="1">
      <c r="R77" s="580"/>
      <c r="S77" s="580"/>
      <c r="T77" s="580"/>
      <c r="U77" s="580"/>
      <c r="V77" s="580"/>
      <c r="W77" s="580"/>
      <c r="X77" s="373"/>
    </row>
    <row r="78" spans="18:24" s="1" customFormat="1">
      <c r="R78" s="580"/>
      <c r="S78" s="580"/>
      <c r="T78" s="580"/>
      <c r="U78" s="580"/>
      <c r="V78" s="580"/>
      <c r="W78" s="580"/>
      <c r="X78" s="373"/>
    </row>
    <row r="79" spans="18:24" s="1" customFormat="1">
      <c r="R79" s="580"/>
      <c r="S79" s="580"/>
      <c r="T79" s="580"/>
      <c r="U79" s="580"/>
      <c r="V79" s="580"/>
      <c r="W79" s="580"/>
      <c r="X79" s="373"/>
    </row>
    <row r="80" spans="18:24" s="1" customFormat="1">
      <c r="R80" s="580"/>
      <c r="S80" s="580"/>
      <c r="T80" s="580"/>
      <c r="U80" s="580"/>
      <c r="V80" s="580"/>
      <c r="W80" s="580"/>
      <c r="X80" s="373"/>
    </row>
    <row r="81" spans="18:24" s="1" customFormat="1">
      <c r="R81" s="580"/>
      <c r="S81" s="580"/>
      <c r="T81" s="580"/>
      <c r="U81" s="580"/>
      <c r="V81" s="580"/>
      <c r="W81" s="580"/>
      <c r="X81" s="373"/>
    </row>
    <row r="82" spans="18:24" s="1" customFormat="1">
      <c r="R82" s="580"/>
      <c r="S82" s="580"/>
      <c r="T82" s="580"/>
      <c r="U82" s="580"/>
      <c r="V82" s="580"/>
      <c r="W82" s="580"/>
      <c r="X82" s="373"/>
    </row>
    <row r="83" spans="18:24" s="1" customFormat="1">
      <c r="R83" s="580"/>
      <c r="S83" s="580"/>
      <c r="T83" s="580"/>
      <c r="U83" s="580"/>
      <c r="V83" s="580"/>
      <c r="W83" s="580"/>
      <c r="X83" s="373"/>
    </row>
    <row r="84" spans="18:24" s="1" customFormat="1">
      <c r="R84" s="580"/>
      <c r="S84" s="580"/>
      <c r="T84" s="580"/>
      <c r="U84" s="580"/>
      <c r="V84" s="580"/>
      <c r="W84" s="580"/>
      <c r="X84" s="373"/>
    </row>
    <row r="85" spans="18:24" s="1" customFormat="1">
      <c r="R85" s="580"/>
      <c r="S85" s="580"/>
      <c r="T85" s="580"/>
      <c r="U85" s="580"/>
      <c r="V85" s="580"/>
      <c r="W85" s="580"/>
      <c r="X85" s="373"/>
    </row>
    <row r="86" spans="18:24" s="1" customFormat="1">
      <c r="R86" s="580"/>
      <c r="S86" s="580"/>
      <c r="T86" s="580"/>
      <c r="U86" s="580"/>
      <c r="V86" s="580"/>
      <c r="W86" s="580"/>
      <c r="X86" s="373"/>
    </row>
    <row r="87" spans="18:24" s="1" customFormat="1">
      <c r="R87" s="580"/>
      <c r="S87" s="580"/>
      <c r="T87" s="580"/>
      <c r="U87" s="580"/>
      <c r="V87" s="580"/>
      <c r="W87" s="580"/>
      <c r="X87" s="373"/>
    </row>
    <row r="88" spans="18:24" s="1" customFormat="1">
      <c r="R88" s="580"/>
      <c r="S88" s="580"/>
      <c r="T88" s="580"/>
      <c r="U88" s="580"/>
      <c r="V88" s="580"/>
      <c r="W88" s="580"/>
      <c r="X88" s="373"/>
    </row>
    <row r="89" spans="18:24" s="1" customFormat="1">
      <c r="R89" s="580"/>
      <c r="S89" s="580"/>
      <c r="T89" s="580"/>
      <c r="U89" s="580"/>
      <c r="V89" s="580"/>
      <c r="W89" s="580"/>
      <c r="X89" s="373"/>
    </row>
    <row r="90" spans="18:24" s="1" customFormat="1">
      <c r="R90" s="580"/>
      <c r="S90" s="580"/>
      <c r="T90" s="580"/>
      <c r="U90" s="580"/>
      <c r="V90" s="580"/>
      <c r="W90" s="580"/>
      <c r="X90" s="373"/>
    </row>
    <row r="91" spans="18:24" s="1" customFormat="1">
      <c r="R91" s="580"/>
      <c r="S91" s="580"/>
      <c r="T91" s="580"/>
      <c r="U91" s="580"/>
      <c r="V91" s="580"/>
      <c r="W91" s="580"/>
      <c r="X91" s="373"/>
    </row>
    <row r="92" spans="18:24" s="1" customFormat="1">
      <c r="R92" s="580"/>
      <c r="S92" s="580"/>
      <c r="T92" s="580"/>
      <c r="U92" s="580"/>
      <c r="V92" s="580"/>
      <c r="W92" s="580"/>
      <c r="X92" s="373"/>
    </row>
    <row r="93" spans="18:24" s="1" customFormat="1">
      <c r="R93" s="580"/>
      <c r="S93" s="580"/>
      <c r="T93" s="580"/>
      <c r="U93" s="580"/>
      <c r="V93" s="580"/>
      <c r="W93" s="580"/>
      <c r="X93" s="373"/>
    </row>
    <row r="94" spans="18:24" s="1" customFormat="1">
      <c r="R94" s="580"/>
      <c r="S94" s="580"/>
      <c r="T94" s="580"/>
      <c r="U94" s="580"/>
      <c r="V94" s="580"/>
      <c r="W94" s="580"/>
      <c r="X94" s="373"/>
    </row>
    <row r="95" spans="18:24" s="1" customFormat="1">
      <c r="R95" s="580"/>
      <c r="S95" s="580"/>
      <c r="T95" s="580"/>
      <c r="U95" s="580"/>
      <c r="V95" s="580"/>
      <c r="W95" s="580"/>
      <c r="X95" s="373"/>
    </row>
    <row r="96" spans="18:24" s="1" customFormat="1">
      <c r="R96" s="580"/>
      <c r="S96" s="580"/>
      <c r="T96" s="580"/>
      <c r="U96" s="580"/>
      <c r="V96" s="580"/>
      <c r="W96" s="580"/>
      <c r="X96" s="373"/>
    </row>
    <row r="97" spans="18:24" s="1" customFormat="1">
      <c r="R97" s="580"/>
      <c r="S97" s="580"/>
      <c r="T97" s="580"/>
      <c r="U97" s="580"/>
      <c r="V97" s="580"/>
      <c r="W97" s="580"/>
      <c r="X97" s="373"/>
    </row>
    <row r="98" spans="18:24" s="1" customFormat="1">
      <c r="R98" s="580"/>
      <c r="S98" s="580"/>
      <c r="T98" s="580"/>
      <c r="U98" s="580"/>
      <c r="V98" s="580"/>
      <c r="W98" s="580"/>
      <c r="X98" s="373"/>
    </row>
    <row r="99" spans="18:24" s="1" customFormat="1">
      <c r="R99" s="580"/>
      <c r="S99" s="580"/>
      <c r="T99" s="580"/>
      <c r="U99" s="580"/>
      <c r="V99" s="580"/>
      <c r="W99" s="580"/>
      <c r="X99" s="373"/>
    </row>
    <row r="100" spans="18:24" s="1" customFormat="1">
      <c r="R100" s="580"/>
      <c r="S100" s="580"/>
      <c r="T100" s="580"/>
      <c r="U100" s="580"/>
      <c r="V100" s="580"/>
      <c r="W100" s="580"/>
      <c r="X100" s="373"/>
    </row>
    <row r="101" spans="18:24" s="1" customFormat="1">
      <c r="R101" s="580"/>
      <c r="S101" s="580"/>
      <c r="T101" s="580"/>
      <c r="U101" s="580"/>
      <c r="V101" s="580"/>
      <c r="W101" s="580"/>
      <c r="X101" s="373"/>
    </row>
    <row r="102" spans="18:24" s="1" customFormat="1">
      <c r="R102" s="580"/>
      <c r="S102" s="580"/>
      <c r="T102" s="580"/>
      <c r="U102" s="580"/>
      <c r="V102" s="580"/>
      <c r="W102" s="580"/>
      <c r="X102" s="373"/>
    </row>
    <row r="103" spans="18:24" s="1" customFormat="1">
      <c r="R103" s="580"/>
      <c r="S103" s="580"/>
      <c r="T103" s="580"/>
      <c r="U103" s="580"/>
      <c r="V103" s="580"/>
      <c r="W103" s="580"/>
      <c r="X103" s="373"/>
    </row>
    <row r="104" spans="18:24" s="1" customFormat="1">
      <c r="R104" s="580"/>
      <c r="S104" s="580"/>
      <c r="T104" s="580"/>
      <c r="U104" s="580"/>
      <c r="V104" s="580"/>
      <c r="W104" s="580"/>
      <c r="X104" s="373"/>
    </row>
    <row r="105" spans="18:24" s="1" customFormat="1">
      <c r="R105" s="580"/>
      <c r="S105" s="580"/>
      <c r="T105" s="580"/>
      <c r="U105" s="580"/>
      <c r="V105" s="580"/>
      <c r="W105" s="580"/>
      <c r="X105" s="373"/>
    </row>
    <row r="106" spans="18:24" s="1" customFormat="1">
      <c r="R106" s="580"/>
      <c r="S106" s="580"/>
      <c r="T106" s="580"/>
      <c r="U106" s="580"/>
      <c r="V106" s="580"/>
      <c r="W106" s="580"/>
      <c r="X106" s="373"/>
    </row>
    <row r="107" spans="18:24" s="1" customFormat="1">
      <c r="R107" s="580"/>
      <c r="S107" s="580"/>
      <c r="T107" s="580"/>
      <c r="U107" s="580"/>
      <c r="V107" s="580"/>
      <c r="W107" s="580"/>
      <c r="X107" s="373"/>
    </row>
    <row r="108" spans="18:24" s="1" customFormat="1">
      <c r="R108" s="580"/>
      <c r="S108" s="580"/>
      <c r="T108" s="580"/>
      <c r="U108" s="580"/>
      <c r="V108" s="580"/>
      <c r="W108" s="580"/>
      <c r="X108" s="373"/>
    </row>
    <row r="109" spans="18:24" s="1" customFormat="1">
      <c r="R109" s="580"/>
      <c r="S109" s="580"/>
      <c r="T109" s="580"/>
      <c r="U109" s="580"/>
      <c r="V109" s="580"/>
      <c r="W109" s="580"/>
      <c r="X109" s="373"/>
    </row>
    <row r="110" spans="18:24" s="1" customFormat="1">
      <c r="R110" s="580"/>
      <c r="S110" s="580"/>
      <c r="T110" s="580"/>
      <c r="U110" s="580"/>
      <c r="V110" s="580"/>
      <c r="W110" s="580"/>
      <c r="X110" s="373"/>
    </row>
    <row r="111" spans="18:24" s="1" customFormat="1">
      <c r="R111" s="580"/>
      <c r="S111" s="580"/>
      <c r="T111" s="580"/>
      <c r="U111" s="580"/>
      <c r="V111" s="580"/>
      <c r="W111" s="580"/>
      <c r="X111" s="373"/>
    </row>
    <row r="112" spans="18:24" s="1" customFormat="1">
      <c r="R112" s="580"/>
      <c r="S112" s="580"/>
      <c r="T112" s="580"/>
      <c r="U112" s="580"/>
      <c r="V112" s="580"/>
      <c r="W112" s="580"/>
      <c r="X112" s="373"/>
    </row>
    <row r="113" spans="18:24" s="1" customFormat="1">
      <c r="R113" s="580"/>
      <c r="S113" s="580"/>
      <c r="T113" s="580"/>
      <c r="U113" s="580"/>
      <c r="V113" s="580"/>
      <c r="W113" s="580"/>
      <c r="X113" s="373"/>
    </row>
    <row r="114" spans="18:24" s="1" customFormat="1">
      <c r="R114" s="580"/>
      <c r="S114" s="580"/>
      <c r="T114" s="580"/>
      <c r="U114" s="580"/>
      <c r="V114" s="580"/>
      <c r="W114" s="580"/>
      <c r="X114" s="373"/>
    </row>
    <row r="115" spans="18:24" s="1" customFormat="1">
      <c r="R115" s="580"/>
      <c r="S115" s="580"/>
      <c r="T115" s="580"/>
      <c r="U115" s="580"/>
      <c r="V115" s="580"/>
      <c r="W115" s="580"/>
      <c r="X115" s="373"/>
    </row>
    <row r="116" spans="18:24" s="1" customFormat="1">
      <c r="R116" s="580"/>
      <c r="S116" s="580"/>
      <c r="T116" s="580"/>
      <c r="U116" s="580"/>
      <c r="V116" s="580"/>
      <c r="W116" s="580"/>
      <c r="X116" s="373"/>
    </row>
    <row r="117" spans="18:24" s="1" customFormat="1">
      <c r="R117" s="580"/>
      <c r="S117" s="580"/>
      <c r="T117" s="580"/>
      <c r="U117" s="580"/>
      <c r="V117" s="580"/>
      <c r="W117" s="580"/>
      <c r="X117" s="373"/>
    </row>
    <row r="118" spans="18:24" s="1" customFormat="1">
      <c r="R118" s="580"/>
      <c r="S118" s="580"/>
      <c r="T118" s="580"/>
      <c r="U118" s="580"/>
      <c r="V118" s="580"/>
      <c r="W118" s="580"/>
      <c r="X118" s="373"/>
    </row>
    <row r="119" spans="18:24" s="1" customFormat="1">
      <c r="R119" s="580"/>
      <c r="S119" s="580"/>
      <c r="T119" s="580"/>
      <c r="U119" s="580"/>
      <c r="V119" s="580"/>
      <c r="W119" s="580"/>
      <c r="X119" s="373"/>
    </row>
    <row r="120" spans="18:24" s="1" customFormat="1">
      <c r="R120" s="580"/>
      <c r="S120" s="580"/>
      <c r="T120" s="580"/>
      <c r="U120" s="580"/>
      <c r="V120" s="580"/>
      <c r="W120" s="580"/>
      <c r="X120" s="373"/>
    </row>
    <row r="121" spans="18:24" s="1" customFormat="1">
      <c r="R121" s="580"/>
      <c r="S121" s="580"/>
      <c r="T121" s="580"/>
      <c r="U121" s="580"/>
      <c r="V121" s="580"/>
      <c r="W121" s="580"/>
      <c r="X121" s="373"/>
    </row>
    <row r="122" spans="18:24" s="1" customFormat="1">
      <c r="R122" s="580"/>
      <c r="S122" s="580"/>
      <c r="T122" s="580"/>
      <c r="U122" s="580"/>
      <c r="V122" s="580"/>
      <c r="W122" s="580"/>
      <c r="X122" s="373"/>
    </row>
    <row r="123" spans="18:24" s="1" customFormat="1">
      <c r="R123" s="580"/>
      <c r="S123" s="580"/>
      <c r="T123" s="580"/>
      <c r="U123" s="580"/>
      <c r="V123" s="580"/>
      <c r="W123" s="580"/>
      <c r="X123" s="373"/>
    </row>
    <row r="124" spans="18:24" s="1" customFormat="1">
      <c r="R124" s="580"/>
      <c r="S124" s="580"/>
      <c r="T124" s="580"/>
      <c r="U124" s="580"/>
      <c r="V124" s="580"/>
      <c r="W124" s="580"/>
      <c r="X124" s="373"/>
    </row>
    <row r="125" spans="18:24" s="1" customFormat="1">
      <c r="R125" s="580"/>
      <c r="S125" s="580"/>
      <c r="T125" s="580"/>
      <c r="U125" s="580"/>
      <c r="V125" s="580"/>
      <c r="W125" s="580"/>
      <c r="X125" s="373"/>
    </row>
    <row r="126" spans="18:24" s="1" customFormat="1">
      <c r="R126" s="580"/>
      <c r="S126" s="580"/>
      <c r="T126" s="580"/>
      <c r="U126" s="580"/>
      <c r="V126" s="580"/>
      <c r="W126" s="580"/>
      <c r="X126" s="373"/>
    </row>
    <row r="127" spans="18:24" s="1" customFormat="1">
      <c r="R127" s="580"/>
      <c r="S127" s="580"/>
      <c r="T127" s="580"/>
      <c r="U127" s="580"/>
      <c r="V127" s="580"/>
      <c r="W127" s="580"/>
      <c r="X127" s="373"/>
    </row>
    <row r="128" spans="18:24" s="1" customFormat="1">
      <c r="R128" s="580"/>
      <c r="S128" s="580"/>
      <c r="T128" s="580"/>
      <c r="U128" s="580"/>
      <c r="V128" s="580"/>
      <c r="W128" s="580"/>
      <c r="X128" s="373"/>
    </row>
    <row r="129" spans="18:24" s="1" customFormat="1">
      <c r="R129" s="580"/>
      <c r="S129" s="580"/>
      <c r="T129" s="580"/>
      <c r="U129" s="580"/>
      <c r="V129" s="580"/>
      <c r="W129" s="580"/>
      <c r="X129" s="373"/>
    </row>
    <row r="130" spans="18:24" s="1" customFormat="1">
      <c r="R130" s="580"/>
      <c r="S130" s="580"/>
      <c r="T130" s="580"/>
      <c r="U130" s="580"/>
      <c r="V130" s="580"/>
      <c r="W130" s="580"/>
      <c r="X130" s="373"/>
    </row>
    <row r="131" spans="18:24" s="1" customFormat="1">
      <c r="R131" s="580"/>
      <c r="S131" s="580"/>
      <c r="T131" s="580"/>
      <c r="U131" s="580"/>
      <c r="V131" s="580"/>
      <c r="W131" s="580"/>
      <c r="X131" s="373"/>
    </row>
    <row r="132" spans="18:24" s="1" customFormat="1">
      <c r="R132" s="580"/>
      <c r="S132" s="580"/>
      <c r="T132" s="580"/>
      <c r="U132" s="580"/>
      <c r="V132" s="580"/>
      <c r="W132" s="580"/>
      <c r="X132" s="373"/>
    </row>
    <row r="133" spans="18:24" s="1" customFormat="1">
      <c r="R133" s="580"/>
      <c r="S133" s="580"/>
      <c r="T133" s="580"/>
      <c r="U133" s="580"/>
      <c r="V133" s="580"/>
      <c r="W133" s="580"/>
      <c r="X133" s="373"/>
    </row>
    <row r="134" spans="18:24" s="1" customFormat="1">
      <c r="R134" s="580"/>
      <c r="S134" s="580"/>
      <c r="T134" s="580"/>
      <c r="U134" s="580"/>
      <c r="V134" s="580"/>
      <c r="W134" s="580"/>
      <c r="X134" s="373"/>
    </row>
    <row r="135" spans="18:24" s="1" customFormat="1">
      <c r="R135" s="580"/>
      <c r="S135" s="580"/>
      <c r="T135" s="580"/>
      <c r="U135" s="580"/>
      <c r="V135" s="580"/>
      <c r="W135" s="580"/>
      <c r="X135" s="373"/>
    </row>
    <row r="136" spans="18:24" s="1" customFormat="1">
      <c r="R136" s="580"/>
      <c r="S136" s="580"/>
      <c r="T136" s="580"/>
      <c r="U136" s="580"/>
      <c r="V136" s="580"/>
      <c r="W136" s="580"/>
      <c r="X136" s="373"/>
    </row>
    <row r="137" spans="18:24" s="1" customFormat="1">
      <c r="R137" s="580"/>
      <c r="S137" s="580"/>
      <c r="T137" s="580"/>
      <c r="U137" s="580"/>
      <c r="V137" s="580"/>
      <c r="W137" s="580"/>
      <c r="X137" s="373"/>
    </row>
    <row r="138" spans="18:24" s="1" customFormat="1">
      <c r="R138" s="580"/>
      <c r="S138" s="580"/>
      <c r="T138" s="580"/>
      <c r="U138" s="580"/>
      <c r="V138" s="580"/>
      <c r="W138" s="580"/>
      <c r="X138" s="373"/>
    </row>
    <row r="139" spans="18:24" s="1" customFormat="1">
      <c r="R139" s="580"/>
      <c r="S139" s="580"/>
      <c r="T139" s="580"/>
      <c r="U139" s="580"/>
      <c r="V139" s="580"/>
      <c r="W139" s="580"/>
      <c r="X139" s="373"/>
    </row>
    <row r="140" spans="18:24" s="1" customFormat="1">
      <c r="R140" s="580"/>
      <c r="S140" s="580"/>
      <c r="T140" s="580"/>
      <c r="U140" s="580"/>
      <c r="V140" s="580"/>
      <c r="W140" s="580"/>
      <c r="X140" s="373"/>
    </row>
    <row r="141" spans="18:24" s="1" customFormat="1">
      <c r="R141" s="580"/>
      <c r="S141" s="580"/>
      <c r="T141" s="580"/>
      <c r="U141" s="580"/>
      <c r="V141" s="580"/>
      <c r="W141" s="580"/>
      <c r="X141" s="373"/>
    </row>
    <row r="142" spans="18:24" s="1" customFormat="1">
      <c r="R142" s="580"/>
      <c r="S142" s="580"/>
      <c r="T142" s="580"/>
      <c r="U142" s="580"/>
      <c r="V142" s="580"/>
      <c r="W142" s="580"/>
      <c r="X142" s="373"/>
    </row>
    <row r="143" spans="18:24" s="1" customFormat="1">
      <c r="R143" s="580"/>
      <c r="S143" s="580"/>
      <c r="T143" s="580"/>
      <c r="U143" s="580"/>
      <c r="V143" s="580"/>
      <c r="W143" s="580"/>
      <c r="X143" s="373"/>
    </row>
    <row r="144" spans="18:24" s="1" customFormat="1">
      <c r="R144" s="580"/>
      <c r="S144" s="580"/>
      <c r="T144" s="580"/>
      <c r="U144" s="580"/>
      <c r="V144" s="580"/>
      <c r="W144" s="580"/>
      <c r="X144" s="373"/>
    </row>
    <row r="145" spans="18:24" s="1" customFormat="1">
      <c r="R145" s="580"/>
      <c r="S145" s="580"/>
      <c r="T145" s="580"/>
      <c r="U145" s="580"/>
      <c r="V145" s="580"/>
      <c r="W145" s="580"/>
      <c r="X145" s="373"/>
    </row>
    <row r="146" spans="18:24" s="1" customFormat="1">
      <c r="R146" s="580"/>
      <c r="S146" s="580"/>
      <c r="T146" s="580"/>
      <c r="U146" s="580"/>
      <c r="V146" s="580"/>
      <c r="W146" s="580"/>
      <c r="X146" s="373"/>
    </row>
    <row r="147" spans="18:24" s="1" customFormat="1">
      <c r="R147" s="580"/>
      <c r="S147" s="580"/>
      <c r="T147" s="580"/>
      <c r="U147" s="580"/>
      <c r="V147" s="580"/>
      <c r="W147" s="580"/>
      <c r="X147" s="373"/>
    </row>
    <row r="148" spans="18:24" s="1" customFormat="1">
      <c r="R148" s="580"/>
      <c r="S148" s="580"/>
      <c r="T148" s="580"/>
      <c r="U148" s="580"/>
      <c r="V148" s="580"/>
      <c r="W148" s="580"/>
      <c r="X148" s="373"/>
    </row>
    <row r="149" spans="18:24" s="1" customFormat="1">
      <c r="R149" s="580"/>
      <c r="S149" s="580"/>
      <c r="T149" s="580"/>
      <c r="U149" s="580"/>
      <c r="V149" s="580"/>
      <c r="W149" s="580"/>
      <c r="X149" s="373"/>
    </row>
    <row r="150" spans="18:24" s="1" customFormat="1">
      <c r="R150" s="580"/>
      <c r="S150" s="580"/>
      <c r="T150" s="580"/>
      <c r="U150" s="580"/>
      <c r="V150" s="580"/>
      <c r="W150" s="580"/>
      <c r="X150" s="373"/>
    </row>
    <row r="151" spans="18:24" s="1" customFormat="1">
      <c r="R151" s="580"/>
      <c r="S151" s="580"/>
      <c r="T151" s="580"/>
      <c r="U151" s="580"/>
      <c r="V151" s="580"/>
      <c r="W151" s="580"/>
      <c r="X151" s="373"/>
    </row>
    <row r="152" spans="18:24" s="1" customFormat="1">
      <c r="R152" s="580"/>
      <c r="S152" s="580"/>
      <c r="T152" s="580"/>
      <c r="U152" s="580"/>
      <c r="V152" s="580"/>
      <c r="W152" s="580"/>
      <c r="X152" s="373"/>
    </row>
    <row r="153" spans="18:24" s="1" customFormat="1">
      <c r="R153" s="580"/>
      <c r="S153" s="580"/>
      <c r="T153" s="580"/>
      <c r="U153" s="580"/>
      <c r="V153" s="580"/>
      <c r="W153" s="580"/>
      <c r="X153" s="373"/>
    </row>
    <row r="154" spans="18:24" s="1" customFormat="1">
      <c r="R154" s="580"/>
      <c r="S154" s="580"/>
      <c r="T154" s="580"/>
      <c r="U154" s="580"/>
      <c r="V154" s="580"/>
      <c r="W154" s="580"/>
      <c r="X154" s="373"/>
    </row>
    <row r="155" spans="18:24" s="1" customFormat="1">
      <c r="R155" s="580"/>
      <c r="S155" s="580"/>
      <c r="T155" s="580"/>
      <c r="U155" s="580"/>
      <c r="V155" s="580"/>
      <c r="W155" s="580"/>
      <c r="X155" s="373"/>
    </row>
    <row r="156" spans="18:24" s="1" customFormat="1">
      <c r="R156" s="580"/>
      <c r="S156" s="580"/>
      <c r="T156" s="580"/>
      <c r="U156" s="580"/>
      <c r="V156" s="580"/>
      <c r="W156" s="580"/>
      <c r="X156" s="373"/>
    </row>
    <row r="157" spans="18:24" s="1" customFormat="1">
      <c r="R157" s="580"/>
      <c r="S157" s="580"/>
      <c r="T157" s="580"/>
      <c r="U157" s="580"/>
      <c r="V157" s="580"/>
      <c r="W157" s="580"/>
      <c r="X157" s="373"/>
    </row>
    <row r="158" spans="18:24" s="1" customFormat="1">
      <c r="R158" s="580"/>
      <c r="S158" s="580"/>
      <c r="T158" s="580"/>
      <c r="U158" s="580"/>
      <c r="V158" s="580"/>
      <c r="W158" s="580"/>
      <c r="X158" s="373"/>
    </row>
    <row r="159" spans="18:24" s="1" customFormat="1">
      <c r="R159" s="580"/>
      <c r="S159" s="580"/>
      <c r="T159" s="580"/>
      <c r="U159" s="580"/>
      <c r="V159" s="580"/>
      <c r="W159" s="580"/>
      <c r="X159" s="373"/>
    </row>
    <row r="160" spans="18:24" s="1" customFormat="1">
      <c r="R160" s="580"/>
      <c r="S160" s="580"/>
      <c r="T160" s="580"/>
      <c r="U160" s="580"/>
      <c r="V160" s="580"/>
      <c r="W160" s="580"/>
      <c r="X160" s="373"/>
    </row>
    <row r="161" spans="18:24" s="1" customFormat="1">
      <c r="R161" s="580"/>
      <c r="S161" s="580"/>
      <c r="T161" s="580"/>
      <c r="U161" s="580"/>
      <c r="V161" s="580"/>
      <c r="W161" s="580"/>
      <c r="X161" s="373"/>
    </row>
    <row r="162" spans="18:24" s="1" customFormat="1">
      <c r="R162" s="580"/>
      <c r="S162" s="580"/>
      <c r="T162" s="580"/>
      <c r="U162" s="580"/>
      <c r="V162" s="580"/>
      <c r="W162" s="580"/>
      <c r="X162" s="373"/>
    </row>
    <row r="163" spans="18:24" s="1" customFormat="1">
      <c r="R163" s="580"/>
      <c r="S163" s="580"/>
      <c r="T163" s="580"/>
      <c r="U163" s="580"/>
      <c r="V163" s="580"/>
      <c r="W163" s="580"/>
      <c r="X163" s="373"/>
    </row>
    <row r="164" spans="18:24" s="1" customFormat="1">
      <c r="R164" s="580"/>
      <c r="S164" s="580"/>
      <c r="T164" s="580"/>
      <c r="U164" s="580"/>
      <c r="V164" s="580"/>
      <c r="W164" s="580"/>
      <c r="X164" s="373"/>
    </row>
    <row r="165" spans="18:24" s="1" customFormat="1">
      <c r="R165" s="580"/>
      <c r="S165" s="580"/>
      <c r="T165" s="580"/>
      <c r="U165" s="580"/>
      <c r="V165" s="580"/>
      <c r="W165" s="580"/>
      <c r="X165" s="373"/>
    </row>
    <row r="166" spans="18:24" s="1" customFormat="1">
      <c r="R166" s="580"/>
      <c r="S166" s="580"/>
      <c r="T166" s="580"/>
      <c r="U166" s="580"/>
      <c r="V166" s="580"/>
      <c r="W166" s="580"/>
      <c r="X166" s="373"/>
    </row>
    <row r="167" spans="18:24" s="1" customFormat="1">
      <c r="R167" s="580"/>
      <c r="S167" s="580"/>
      <c r="T167" s="580"/>
      <c r="U167" s="580"/>
      <c r="V167" s="580"/>
      <c r="W167" s="580"/>
      <c r="X167" s="373"/>
    </row>
    <row r="168" spans="18:24" s="1" customFormat="1">
      <c r="R168" s="580"/>
      <c r="S168" s="580"/>
      <c r="T168" s="580"/>
      <c r="U168" s="580"/>
      <c r="V168" s="580"/>
      <c r="W168" s="580"/>
      <c r="X168" s="373"/>
    </row>
    <row r="169" spans="18:24" s="1" customFormat="1">
      <c r="R169" s="580"/>
      <c r="S169" s="580"/>
      <c r="T169" s="580"/>
      <c r="U169" s="580"/>
      <c r="V169" s="580"/>
      <c r="W169" s="580"/>
      <c r="X169" s="373"/>
    </row>
    <row r="170" spans="18:24" s="1" customFormat="1">
      <c r="R170" s="580"/>
      <c r="S170" s="580"/>
      <c r="T170" s="580"/>
      <c r="U170" s="580"/>
      <c r="V170" s="580"/>
      <c r="W170" s="580"/>
      <c r="X170" s="373"/>
    </row>
    <row r="171" spans="18:24" s="1" customFormat="1">
      <c r="R171" s="580"/>
      <c r="S171" s="580"/>
      <c r="T171" s="580"/>
      <c r="U171" s="580"/>
      <c r="V171" s="580"/>
      <c r="W171" s="580"/>
      <c r="X171" s="373"/>
    </row>
    <row r="172" spans="18:24" s="1" customFormat="1">
      <c r="R172" s="580"/>
      <c r="S172" s="580"/>
      <c r="T172" s="580"/>
      <c r="U172" s="580"/>
      <c r="V172" s="580"/>
      <c r="W172" s="580"/>
      <c r="X172" s="373"/>
    </row>
    <row r="173" spans="18:24" s="1" customFormat="1">
      <c r="R173" s="580"/>
      <c r="S173" s="580"/>
      <c r="T173" s="580"/>
      <c r="U173" s="580"/>
      <c r="V173" s="580"/>
      <c r="W173" s="580"/>
      <c r="X173" s="373"/>
    </row>
    <row r="174" spans="18:24" s="1" customFormat="1">
      <c r="R174" s="580"/>
      <c r="S174" s="580"/>
      <c r="T174" s="580"/>
      <c r="U174" s="580"/>
      <c r="V174" s="580"/>
      <c r="W174" s="580"/>
      <c r="X174" s="373"/>
    </row>
    <row r="175" spans="18:24" s="1" customFormat="1">
      <c r="R175" s="580"/>
      <c r="S175" s="580"/>
      <c r="T175" s="580"/>
      <c r="U175" s="580"/>
      <c r="V175" s="580"/>
      <c r="W175" s="580"/>
      <c r="X175" s="373"/>
    </row>
    <row r="176" spans="18:24" s="1" customFormat="1">
      <c r="R176" s="580"/>
      <c r="S176" s="580"/>
      <c r="T176" s="580"/>
      <c r="U176" s="580"/>
      <c r="V176" s="580"/>
      <c r="W176" s="580"/>
      <c r="X176" s="373"/>
    </row>
    <row r="177" spans="18:24" s="1" customFormat="1">
      <c r="R177" s="580"/>
      <c r="S177" s="580"/>
      <c r="T177" s="580"/>
      <c r="U177" s="580"/>
      <c r="V177" s="580"/>
      <c r="W177" s="580"/>
      <c r="X177" s="373"/>
    </row>
    <row r="178" spans="18:24" s="1" customFormat="1">
      <c r="R178" s="580"/>
      <c r="S178" s="580"/>
      <c r="T178" s="580"/>
      <c r="U178" s="580"/>
      <c r="V178" s="580"/>
      <c r="W178" s="580"/>
      <c r="X178" s="373"/>
    </row>
    <row r="179" spans="18:24" s="1" customFormat="1">
      <c r="R179" s="580"/>
      <c r="S179" s="580"/>
      <c r="T179" s="580"/>
      <c r="U179" s="580"/>
      <c r="V179" s="580"/>
      <c r="W179" s="580"/>
      <c r="X179" s="373"/>
    </row>
    <row r="180" spans="18:24" s="1" customFormat="1">
      <c r="R180" s="580"/>
      <c r="S180" s="580"/>
      <c r="T180" s="580"/>
      <c r="U180" s="580"/>
      <c r="V180" s="580"/>
      <c r="W180" s="580"/>
      <c r="X180" s="373"/>
    </row>
    <row r="181" spans="18:24" s="1" customFormat="1">
      <c r="R181" s="580"/>
      <c r="S181" s="580"/>
      <c r="T181" s="580"/>
      <c r="U181" s="580"/>
      <c r="V181" s="580"/>
      <c r="W181" s="580"/>
      <c r="X181" s="373"/>
    </row>
    <row r="182" spans="18:24" s="1" customFormat="1">
      <c r="R182" s="580"/>
      <c r="S182" s="580"/>
      <c r="T182" s="580"/>
      <c r="U182" s="580"/>
      <c r="V182" s="580"/>
      <c r="W182" s="580"/>
      <c r="X182" s="373"/>
    </row>
    <row r="183" spans="18:24" s="1" customFormat="1">
      <c r="R183" s="580"/>
      <c r="S183" s="580"/>
      <c r="T183" s="580"/>
      <c r="U183" s="580"/>
      <c r="V183" s="580"/>
      <c r="W183" s="580"/>
      <c r="X183" s="373"/>
    </row>
    <row r="184" spans="18:24" s="1" customFormat="1">
      <c r="R184" s="580"/>
      <c r="S184" s="580"/>
      <c r="T184" s="580"/>
      <c r="U184" s="580"/>
      <c r="V184" s="580"/>
      <c r="W184" s="580"/>
      <c r="X184" s="373"/>
    </row>
    <row r="185" spans="18:24" s="1" customFormat="1">
      <c r="R185" s="580"/>
      <c r="S185" s="580"/>
      <c r="T185" s="580"/>
      <c r="U185" s="580"/>
      <c r="V185" s="580"/>
      <c r="W185" s="580"/>
      <c r="X185" s="373"/>
    </row>
    <row r="186" spans="18:24" s="1" customFormat="1">
      <c r="R186" s="580"/>
      <c r="S186" s="580"/>
      <c r="T186" s="580"/>
      <c r="U186" s="580"/>
      <c r="V186" s="580"/>
      <c r="W186" s="580"/>
      <c r="X186" s="373"/>
    </row>
    <row r="187" spans="18:24" s="1" customFormat="1">
      <c r="R187" s="580"/>
      <c r="S187" s="580"/>
      <c r="T187" s="580"/>
      <c r="U187" s="580"/>
      <c r="V187" s="580"/>
      <c r="W187" s="580"/>
      <c r="X187" s="373"/>
    </row>
    <row r="188" spans="18:24" s="1" customFormat="1">
      <c r="R188" s="580"/>
      <c r="S188" s="580"/>
      <c r="T188" s="580"/>
      <c r="U188" s="580"/>
      <c r="V188" s="580"/>
      <c r="W188" s="580"/>
      <c r="X188" s="373"/>
    </row>
    <row r="189" spans="18:24" s="1" customFormat="1">
      <c r="R189" s="580"/>
      <c r="S189" s="580"/>
      <c r="T189" s="580"/>
      <c r="U189" s="580"/>
      <c r="V189" s="580"/>
      <c r="W189" s="580"/>
      <c r="X189" s="373"/>
    </row>
    <row r="190" spans="18:24" s="1" customFormat="1">
      <c r="R190" s="580"/>
      <c r="S190" s="580"/>
      <c r="T190" s="580"/>
      <c r="U190" s="580"/>
      <c r="V190" s="580"/>
      <c r="W190" s="580"/>
      <c r="X190" s="373"/>
    </row>
    <row r="191" spans="18:24" s="1" customFormat="1">
      <c r="R191" s="580"/>
      <c r="S191" s="580"/>
      <c r="T191" s="580"/>
      <c r="U191" s="580"/>
      <c r="V191" s="580"/>
      <c r="W191" s="580"/>
      <c r="X191" s="373"/>
    </row>
    <row r="192" spans="18:24" s="1" customFormat="1">
      <c r="R192" s="580"/>
      <c r="S192" s="580"/>
      <c r="T192" s="580"/>
      <c r="U192" s="580"/>
      <c r="V192" s="580"/>
      <c r="W192" s="580"/>
      <c r="X192" s="373"/>
    </row>
    <row r="193" spans="18:24" s="1" customFormat="1">
      <c r="R193" s="580"/>
      <c r="S193" s="580"/>
      <c r="T193" s="580"/>
      <c r="U193" s="580"/>
      <c r="V193" s="580"/>
      <c r="W193" s="580"/>
      <c r="X193" s="373"/>
    </row>
    <row r="194" spans="18:24" s="1" customFormat="1">
      <c r="R194" s="580"/>
      <c r="S194" s="580"/>
      <c r="T194" s="580"/>
      <c r="U194" s="580"/>
      <c r="V194" s="580"/>
      <c r="W194" s="580"/>
      <c r="X194" s="373"/>
    </row>
    <row r="195" spans="18:24" s="1" customFormat="1">
      <c r="R195" s="580"/>
      <c r="S195" s="580"/>
      <c r="T195" s="580"/>
      <c r="U195" s="580"/>
      <c r="V195" s="580"/>
      <c r="W195" s="580"/>
      <c r="X195" s="373"/>
    </row>
    <row r="196" spans="18:24" s="1" customFormat="1">
      <c r="R196" s="580"/>
      <c r="S196" s="580"/>
      <c r="T196" s="580"/>
      <c r="U196" s="580"/>
      <c r="V196" s="580"/>
      <c r="W196" s="580"/>
      <c r="X196" s="373"/>
    </row>
    <row r="197" spans="18:24" s="1" customFormat="1">
      <c r="R197" s="580"/>
      <c r="S197" s="580"/>
      <c r="T197" s="580"/>
      <c r="U197" s="580"/>
      <c r="V197" s="580"/>
      <c r="W197" s="580"/>
      <c r="X197" s="373"/>
    </row>
    <row r="198" spans="18:24" s="1" customFormat="1">
      <c r="R198" s="580"/>
      <c r="S198" s="580"/>
      <c r="T198" s="580"/>
      <c r="U198" s="580"/>
      <c r="V198" s="580"/>
      <c r="W198" s="580"/>
      <c r="X198" s="373"/>
    </row>
    <row r="199" spans="18:24" s="1" customFormat="1">
      <c r="R199" s="580"/>
      <c r="S199" s="580"/>
      <c r="T199" s="580"/>
      <c r="U199" s="580"/>
      <c r="V199" s="580"/>
      <c r="W199" s="580"/>
      <c r="X199" s="373"/>
    </row>
    <row r="200" spans="18:24" s="1" customFormat="1">
      <c r="R200" s="580"/>
      <c r="S200" s="580"/>
      <c r="T200" s="580"/>
      <c r="U200" s="580"/>
      <c r="V200" s="580"/>
      <c r="W200" s="580"/>
      <c r="X200" s="373"/>
    </row>
    <row r="201" spans="18:24" s="1" customFormat="1">
      <c r="R201" s="580"/>
      <c r="S201" s="580"/>
      <c r="T201" s="580"/>
      <c r="U201" s="580"/>
      <c r="V201" s="580"/>
      <c r="W201" s="580"/>
      <c r="X201" s="373"/>
    </row>
    <row r="202" spans="18:24" s="1" customFormat="1">
      <c r="R202" s="580"/>
      <c r="S202" s="580"/>
      <c r="T202" s="580"/>
      <c r="U202" s="580"/>
      <c r="V202" s="580"/>
      <c r="W202" s="580"/>
      <c r="X202" s="373"/>
    </row>
    <row r="203" spans="18:24" s="1" customFormat="1">
      <c r="R203" s="580"/>
      <c r="S203" s="580"/>
      <c r="T203" s="580"/>
      <c r="U203" s="580"/>
      <c r="V203" s="580"/>
      <c r="W203" s="580"/>
      <c r="X203" s="373"/>
    </row>
    <row r="204" spans="18:24" s="1" customFormat="1">
      <c r="R204" s="580"/>
      <c r="S204" s="580"/>
      <c r="T204" s="580"/>
      <c r="U204" s="580"/>
      <c r="V204" s="580"/>
      <c r="W204" s="580"/>
      <c r="X204" s="373"/>
    </row>
    <row r="205" spans="18:24" s="1" customFormat="1">
      <c r="R205" s="580"/>
      <c r="S205" s="580"/>
      <c r="T205" s="580"/>
      <c r="U205" s="580"/>
      <c r="V205" s="580"/>
      <c r="W205" s="580"/>
      <c r="X205" s="373"/>
    </row>
    <row r="206" spans="18:24" s="1" customFormat="1">
      <c r="R206" s="580"/>
      <c r="S206" s="580"/>
      <c r="T206" s="580"/>
      <c r="U206" s="580"/>
      <c r="V206" s="580"/>
      <c r="W206" s="580"/>
      <c r="X206" s="373"/>
    </row>
    <row r="207" spans="18:24" s="1" customFormat="1">
      <c r="R207" s="580"/>
      <c r="S207" s="580"/>
      <c r="T207" s="580"/>
      <c r="U207" s="580"/>
      <c r="V207" s="580"/>
      <c r="W207" s="580"/>
      <c r="X207" s="373"/>
    </row>
    <row r="208" spans="18:24" s="1" customFormat="1">
      <c r="R208" s="580"/>
      <c r="S208" s="580"/>
      <c r="T208" s="580"/>
      <c r="U208" s="580"/>
      <c r="V208" s="580"/>
      <c r="W208" s="580"/>
      <c r="X208" s="373"/>
    </row>
    <row r="209" spans="18:24" s="1" customFormat="1">
      <c r="R209" s="580"/>
      <c r="S209" s="580"/>
      <c r="T209" s="580"/>
      <c r="U209" s="580"/>
      <c r="V209" s="580"/>
      <c r="W209" s="580"/>
      <c r="X209" s="373"/>
    </row>
    <row r="210" spans="18:24" s="1" customFormat="1">
      <c r="R210" s="580"/>
      <c r="S210" s="580"/>
      <c r="T210" s="580"/>
      <c r="U210" s="580"/>
      <c r="V210" s="580"/>
      <c r="W210" s="580"/>
      <c r="X210" s="373"/>
    </row>
    <row r="211" spans="18:24" s="1" customFormat="1">
      <c r="R211" s="580"/>
      <c r="S211" s="580"/>
      <c r="T211" s="580"/>
      <c r="U211" s="580"/>
      <c r="V211" s="580"/>
      <c r="W211" s="580"/>
      <c r="X211" s="373"/>
    </row>
    <row r="212" spans="18:24" s="1" customFormat="1">
      <c r="R212" s="580"/>
      <c r="S212" s="580"/>
      <c r="T212" s="580"/>
      <c r="U212" s="580"/>
      <c r="V212" s="580"/>
      <c r="W212" s="580"/>
      <c r="X212" s="373"/>
    </row>
    <row r="213" spans="18:24" s="1" customFormat="1">
      <c r="R213" s="580"/>
      <c r="S213" s="580"/>
      <c r="T213" s="580"/>
      <c r="U213" s="580"/>
      <c r="V213" s="580"/>
      <c r="W213" s="580"/>
      <c r="X213" s="373"/>
    </row>
    <row r="214" spans="18:24" s="1" customFormat="1">
      <c r="R214" s="580"/>
      <c r="S214" s="580"/>
      <c r="T214" s="580"/>
      <c r="U214" s="580"/>
      <c r="V214" s="580"/>
      <c r="W214" s="580"/>
      <c r="X214" s="373"/>
    </row>
    <row r="215" spans="18:24" s="1" customFormat="1">
      <c r="R215" s="580"/>
      <c r="S215" s="580"/>
      <c r="T215" s="580"/>
      <c r="U215" s="580"/>
      <c r="V215" s="580"/>
      <c r="W215" s="580"/>
      <c r="X215" s="373"/>
    </row>
    <row r="216" spans="18:24" s="1" customFormat="1">
      <c r="R216" s="580"/>
      <c r="S216" s="580"/>
      <c r="T216" s="580"/>
      <c r="U216" s="580"/>
      <c r="V216" s="580"/>
      <c r="W216" s="580"/>
      <c r="X216" s="373"/>
    </row>
    <row r="217" spans="18:24" s="1" customFormat="1">
      <c r="R217" s="580"/>
      <c r="S217" s="580"/>
      <c r="T217" s="580"/>
      <c r="U217" s="580"/>
      <c r="V217" s="580"/>
      <c r="W217" s="580"/>
      <c r="X217" s="373"/>
    </row>
    <row r="218" spans="18:24" s="1" customFormat="1">
      <c r="R218" s="580"/>
      <c r="S218" s="580"/>
      <c r="T218" s="580"/>
      <c r="U218" s="580"/>
      <c r="V218" s="580"/>
      <c r="W218" s="580"/>
      <c r="X218" s="373"/>
    </row>
    <row r="219" spans="18:24" s="1" customFormat="1">
      <c r="R219" s="580"/>
      <c r="S219" s="580"/>
      <c r="T219" s="580"/>
      <c r="U219" s="580"/>
      <c r="V219" s="580"/>
      <c r="W219" s="580"/>
      <c r="X219" s="373"/>
    </row>
    <row r="220" spans="18:24" s="1" customFormat="1">
      <c r="R220" s="580"/>
      <c r="S220" s="580"/>
      <c r="T220" s="580"/>
      <c r="U220" s="580"/>
      <c r="V220" s="580"/>
      <c r="W220" s="580"/>
      <c r="X220" s="373"/>
    </row>
    <row r="221" spans="18:24" s="1" customFormat="1">
      <c r="R221" s="580"/>
      <c r="S221" s="580"/>
      <c r="T221" s="580"/>
      <c r="U221" s="580"/>
      <c r="V221" s="580"/>
      <c r="W221" s="580"/>
      <c r="X221" s="373"/>
    </row>
    <row r="222" spans="18:24" s="1" customFormat="1">
      <c r="R222" s="580"/>
      <c r="S222" s="580"/>
      <c r="T222" s="580"/>
      <c r="U222" s="580"/>
      <c r="V222" s="580"/>
      <c r="W222" s="580"/>
      <c r="X222" s="373"/>
    </row>
    <row r="223" spans="18:24" s="1" customFormat="1">
      <c r="R223" s="580"/>
      <c r="S223" s="580"/>
      <c r="T223" s="580"/>
      <c r="U223" s="580"/>
      <c r="V223" s="580"/>
      <c r="W223" s="580"/>
      <c r="X223" s="373"/>
    </row>
    <row r="224" spans="18:24" s="1" customFormat="1">
      <c r="R224" s="580"/>
      <c r="S224" s="580"/>
      <c r="T224" s="580"/>
      <c r="U224" s="580"/>
      <c r="V224" s="580"/>
      <c r="W224" s="580"/>
      <c r="X224" s="373"/>
    </row>
    <row r="225" spans="18:24" s="1" customFormat="1">
      <c r="R225" s="580"/>
      <c r="S225" s="580"/>
      <c r="T225" s="580"/>
      <c r="U225" s="580"/>
      <c r="V225" s="580"/>
      <c r="W225" s="580"/>
      <c r="X225" s="373"/>
    </row>
    <row r="226" spans="18:24" s="1" customFormat="1">
      <c r="R226" s="580"/>
      <c r="S226" s="580"/>
      <c r="T226" s="580"/>
      <c r="U226" s="580"/>
      <c r="V226" s="580"/>
      <c r="W226" s="580"/>
      <c r="X226" s="373"/>
    </row>
    <row r="227" spans="18:24" s="1" customFormat="1">
      <c r="R227" s="580"/>
      <c r="S227" s="580"/>
      <c r="T227" s="580"/>
      <c r="U227" s="580"/>
      <c r="V227" s="580"/>
      <c r="W227" s="580"/>
      <c r="X227" s="373"/>
    </row>
    <row r="228" spans="18:24" s="1" customFormat="1">
      <c r="R228" s="580"/>
      <c r="S228" s="580"/>
      <c r="T228" s="580"/>
      <c r="U228" s="580"/>
      <c r="V228" s="580"/>
      <c r="W228" s="580"/>
      <c r="X228" s="373"/>
    </row>
    <row r="229" spans="18:24" s="1" customFormat="1">
      <c r="R229" s="580"/>
      <c r="S229" s="580"/>
      <c r="T229" s="580"/>
      <c r="U229" s="580"/>
      <c r="V229" s="580"/>
      <c r="W229" s="580"/>
      <c r="X229" s="373"/>
    </row>
    <row r="230" spans="18:24" s="1" customFormat="1">
      <c r="R230" s="580"/>
      <c r="S230" s="580"/>
      <c r="T230" s="580"/>
      <c r="U230" s="580"/>
      <c r="V230" s="580"/>
      <c r="W230" s="580"/>
      <c r="X230" s="373"/>
    </row>
    <row r="231" spans="18:24" s="1" customFormat="1">
      <c r="R231" s="580"/>
      <c r="S231" s="580"/>
      <c r="T231" s="580"/>
      <c r="U231" s="580"/>
      <c r="V231" s="580"/>
      <c r="W231" s="580"/>
      <c r="X231" s="373"/>
    </row>
    <row r="232" spans="18:24" s="1" customFormat="1">
      <c r="R232" s="580"/>
      <c r="S232" s="580"/>
      <c r="T232" s="580"/>
      <c r="U232" s="580"/>
      <c r="V232" s="580"/>
      <c r="W232" s="580"/>
      <c r="X232" s="373"/>
    </row>
    <row r="233" spans="18:24" s="1" customFormat="1">
      <c r="R233" s="580"/>
      <c r="S233" s="580"/>
      <c r="T233" s="580"/>
      <c r="U233" s="580"/>
      <c r="V233" s="580"/>
      <c r="W233" s="580"/>
      <c r="X233" s="373"/>
    </row>
    <row r="234" spans="18:24" s="1" customFormat="1">
      <c r="R234" s="580"/>
      <c r="S234" s="580"/>
      <c r="T234" s="580"/>
      <c r="U234" s="580"/>
      <c r="V234" s="580"/>
      <c r="W234" s="580"/>
      <c r="X234" s="373"/>
    </row>
    <row r="235" spans="18:24" s="1" customFormat="1">
      <c r="R235" s="580"/>
      <c r="S235" s="580"/>
      <c r="T235" s="580"/>
      <c r="U235" s="580"/>
      <c r="V235" s="580"/>
      <c r="W235" s="580"/>
      <c r="X235" s="373"/>
    </row>
    <row r="236" spans="18:24" s="1" customFormat="1">
      <c r="R236" s="580"/>
      <c r="S236" s="580"/>
      <c r="T236" s="580"/>
      <c r="U236" s="580"/>
      <c r="V236" s="580"/>
      <c r="W236" s="580"/>
      <c r="X236" s="373"/>
    </row>
    <row r="237" spans="18:24" s="1" customFormat="1">
      <c r="R237" s="580"/>
      <c r="S237" s="580"/>
      <c r="T237" s="580"/>
      <c r="U237" s="580"/>
      <c r="V237" s="580"/>
      <c r="W237" s="580"/>
      <c r="X237" s="373"/>
    </row>
    <row r="238" spans="18:24" s="1" customFormat="1">
      <c r="R238" s="580"/>
      <c r="S238" s="580"/>
      <c r="T238" s="580"/>
      <c r="U238" s="580"/>
      <c r="V238" s="580"/>
      <c r="W238" s="580"/>
      <c r="X238" s="373"/>
    </row>
    <row r="239" spans="18:24" s="1" customFormat="1">
      <c r="R239" s="580"/>
      <c r="S239" s="580"/>
      <c r="T239" s="580"/>
      <c r="U239" s="580"/>
      <c r="V239" s="580"/>
      <c r="W239" s="580"/>
      <c r="X239" s="373"/>
    </row>
    <row r="240" spans="18:24" s="1" customFormat="1">
      <c r="R240" s="580"/>
      <c r="S240" s="580"/>
      <c r="T240" s="580"/>
      <c r="U240" s="580"/>
      <c r="V240" s="580"/>
      <c r="W240" s="580"/>
      <c r="X240" s="373"/>
    </row>
    <row r="241" spans="18:24" s="1" customFormat="1">
      <c r="R241" s="580"/>
      <c r="S241" s="580"/>
      <c r="T241" s="580"/>
      <c r="U241" s="580"/>
      <c r="V241" s="580"/>
      <c r="W241" s="580"/>
      <c r="X241" s="373"/>
    </row>
    <row r="242" spans="18:24" s="1" customFormat="1">
      <c r="R242" s="580"/>
      <c r="S242" s="580"/>
      <c r="T242" s="580"/>
      <c r="U242" s="580"/>
      <c r="V242" s="580"/>
      <c r="W242" s="580"/>
      <c r="X242" s="373"/>
    </row>
    <row r="243" spans="18:24" s="1" customFormat="1">
      <c r="R243" s="580"/>
      <c r="S243" s="580"/>
      <c r="T243" s="580"/>
      <c r="U243" s="580"/>
      <c r="V243" s="580"/>
      <c r="W243" s="580"/>
      <c r="X243" s="373"/>
    </row>
    <row r="244" spans="18:24" s="1" customFormat="1">
      <c r="R244" s="580"/>
      <c r="S244" s="580"/>
      <c r="T244" s="580"/>
      <c r="U244" s="580"/>
      <c r="V244" s="580"/>
      <c r="W244" s="580"/>
      <c r="X244" s="373"/>
    </row>
    <row r="245" spans="18:24" s="1" customFormat="1">
      <c r="R245" s="580"/>
      <c r="S245" s="580"/>
      <c r="T245" s="580"/>
      <c r="U245" s="580"/>
      <c r="V245" s="580"/>
      <c r="W245" s="580"/>
      <c r="X245" s="373"/>
    </row>
    <row r="246" spans="18:24" s="1" customFormat="1">
      <c r="R246" s="580"/>
      <c r="S246" s="580"/>
      <c r="T246" s="580"/>
      <c r="U246" s="580"/>
      <c r="V246" s="580"/>
      <c r="W246" s="580"/>
      <c r="X246" s="373"/>
    </row>
    <row r="247" spans="18:24" s="1" customFormat="1">
      <c r="R247" s="580"/>
      <c r="S247" s="580"/>
      <c r="T247" s="580"/>
      <c r="U247" s="580"/>
      <c r="V247" s="580"/>
      <c r="W247" s="580"/>
      <c r="X247" s="373"/>
    </row>
    <row r="248" spans="18:24" s="1" customFormat="1">
      <c r="R248" s="580"/>
      <c r="S248" s="580"/>
      <c r="T248" s="580"/>
      <c r="U248" s="580"/>
      <c r="V248" s="580"/>
      <c r="W248" s="580"/>
      <c r="X248" s="373"/>
    </row>
    <row r="249" spans="18:24" s="1" customFormat="1">
      <c r="R249" s="580"/>
      <c r="S249" s="580"/>
      <c r="T249" s="580"/>
      <c r="U249" s="580"/>
      <c r="V249" s="580"/>
      <c r="W249" s="580"/>
      <c r="X249" s="373"/>
    </row>
    <row r="250" spans="18:24" s="1" customFormat="1">
      <c r="R250" s="580"/>
      <c r="S250" s="580"/>
      <c r="T250" s="580"/>
      <c r="U250" s="580"/>
      <c r="V250" s="580"/>
      <c r="W250" s="580"/>
      <c r="X250" s="373"/>
    </row>
    <row r="251" spans="18:24" s="1" customFormat="1">
      <c r="R251" s="580"/>
      <c r="S251" s="580"/>
      <c r="T251" s="580"/>
      <c r="U251" s="580"/>
      <c r="V251" s="580"/>
      <c r="W251" s="580"/>
      <c r="X251" s="373"/>
    </row>
    <row r="252" spans="18:24" s="1" customFormat="1">
      <c r="R252" s="580"/>
      <c r="S252" s="580"/>
      <c r="T252" s="580"/>
      <c r="U252" s="580"/>
      <c r="V252" s="580"/>
      <c r="W252" s="580"/>
      <c r="X252" s="373"/>
    </row>
    <row r="253" spans="18:24" s="1" customFormat="1">
      <c r="R253" s="580"/>
      <c r="S253" s="580"/>
      <c r="T253" s="580"/>
      <c r="U253" s="580"/>
      <c r="V253" s="580"/>
      <c r="W253" s="580"/>
      <c r="X253" s="373"/>
    </row>
    <row r="254" spans="18:24" s="1" customFormat="1">
      <c r="R254" s="580"/>
      <c r="S254" s="580"/>
      <c r="T254" s="580"/>
      <c r="U254" s="580"/>
      <c r="V254" s="580"/>
      <c r="W254" s="580"/>
      <c r="X254" s="373"/>
    </row>
    <row r="255" spans="18:24" s="1" customFormat="1">
      <c r="R255" s="580"/>
      <c r="S255" s="580"/>
      <c r="T255" s="580"/>
      <c r="U255" s="580"/>
      <c r="V255" s="580"/>
      <c r="W255" s="580"/>
      <c r="X255" s="373"/>
    </row>
    <row r="256" spans="18:24" s="1" customFormat="1">
      <c r="R256" s="580"/>
      <c r="S256" s="580"/>
      <c r="T256" s="580"/>
      <c r="U256" s="580"/>
      <c r="V256" s="580"/>
      <c r="W256" s="580"/>
      <c r="X256" s="373"/>
    </row>
    <row r="257" spans="18:24" s="1" customFormat="1">
      <c r="R257" s="580"/>
      <c r="S257" s="580"/>
      <c r="T257" s="580"/>
      <c r="U257" s="580"/>
      <c r="V257" s="580"/>
      <c r="W257" s="580"/>
      <c r="X257" s="373"/>
    </row>
    <row r="258" spans="18:24" s="1" customFormat="1">
      <c r="R258" s="580"/>
      <c r="S258" s="580"/>
      <c r="T258" s="580"/>
      <c r="U258" s="580"/>
      <c r="V258" s="580"/>
      <c r="W258" s="580"/>
      <c r="X258" s="373"/>
    </row>
    <row r="259" spans="18:24" s="1" customFormat="1">
      <c r="R259" s="580"/>
      <c r="S259" s="580"/>
      <c r="T259" s="580"/>
      <c r="U259" s="580"/>
      <c r="V259" s="580"/>
      <c r="W259" s="580"/>
      <c r="X259" s="373"/>
    </row>
    <row r="260" spans="18:24" s="1" customFormat="1">
      <c r="R260" s="580"/>
      <c r="S260" s="580"/>
      <c r="T260" s="580"/>
      <c r="U260" s="580"/>
      <c r="V260" s="580"/>
      <c r="W260" s="580"/>
      <c r="X260" s="373"/>
    </row>
    <row r="261" spans="18:24" s="1" customFormat="1">
      <c r="R261" s="580"/>
      <c r="S261" s="580"/>
      <c r="T261" s="580"/>
      <c r="U261" s="580"/>
      <c r="V261" s="580"/>
      <c r="W261" s="580"/>
      <c r="X261" s="373"/>
    </row>
    <row r="262" spans="18:24" s="1" customFormat="1">
      <c r="R262" s="580"/>
      <c r="S262" s="580"/>
      <c r="T262" s="580"/>
      <c r="U262" s="580"/>
      <c r="V262" s="580"/>
      <c r="W262" s="580"/>
      <c r="X262" s="373"/>
    </row>
    <row r="263" spans="18:24" s="1" customFormat="1">
      <c r="R263" s="580"/>
      <c r="S263" s="580"/>
      <c r="T263" s="580"/>
      <c r="U263" s="580"/>
      <c r="V263" s="580"/>
      <c r="W263" s="580"/>
      <c r="X263" s="373"/>
    </row>
    <row r="264" spans="18:24" s="1" customFormat="1">
      <c r="R264" s="580"/>
      <c r="S264" s="580"/>
      <c r="T264" s="580"/>
      <c r="U264" s="580"/>
      <c r="V264" s="580"/>
      <c r="W264" s="580"/>
      <c r="X264" s="373"/>
    </row>
    <row r="265" spans="18:24" s="1" customFormat="1">
      <c r="R265" s="580"/>
      <c r="S265" s="580"/>
      <c r="T265" s="580"/>
      <c r="U265" s="580"/>
      <c r="V265" s="580"/>
      <c r="W265" s="580"/>
      <c r="X265" s="373"/>
    </row>
    <row r="266" spans="18:24" s="1" customFormat="1">
      <c r="R266" s="580"/>
      <c r="S266" s="580"/>
      <c r="T266" s="580"/>
      <c r="U266" s="580"/>
      <c r="V266" s="580"/>
      <c r="W266" s="580"/>
      <c r="X266" s="373"/>
    </row>
    <row r="267" spans="18:24" s="1" customFormat="1">
      <c r="R267" s="580"/>
      <c r="S267" s="580"/>
      <c r="T267" s="580"/>
      <c r="U267" s="580"/>
      <c r="V267" s="580"/>
      <c r="W267" s="580"/>
      <c r="X267" s="373"/>
    </row>
    <row r="268" spans="18:24" s="1" customFormat="1">
      <c r="R268" s="580"/>
      <c r="S268" s="580"/>
      <c r="T268" s="580"/>
      <c r="U268" s="580"/>
      <c r="V268" s="580"/>
      <c r="W268" s="580"/>
      <c r="X268" s="373"/>
    </row>
    <row r="269" spans="18:24" s="1" customFormat="1">
      <c r="R269" s="580"/>
      <c r="S269" s="580"/>
      <c r="T269" s="580"/>
      <c r="U269" s="580"/>
      <c r="V269" s="580"/>
      <c r="W269" s="580"/>
      <c r="X269" s="373"/>
    </row>
    <row r="270" spans="18:24" s="1" customFormat="1">
      <c r="R270" s="580"/>
      <c r="S270" s="580"/>
      <c r="T270" s="580"/>
      <c r="U270" s="580"/>
      <c r="V270" s="580"/>
      <c r="W270" s="580"/>
      <c r="X270" s="373"/>
    </row>
    <row r="271" spans="18:24" s="1" customFormat="1">
      <c r="R271" s="580"/>
      <c r="S271" s="580"/>
      <c r="T271" s="580"/>
      <c r="U271" s="580"/>
      <c r="V271" s="580"/>
      <c r="W271" s="580"/>
      <c r="X271" s="373"/>
    </row>
    <row r="272" spans="18:24" s="1" customFormat="1">
      <c r="R272" s="580"/>
      <c r="S272" s="580"/>
      <c r="T272" s="580"/>
      <c r="U272" s="580"/>
      <c r="V272" s="580"/>
      <c r="W272" s="580"/>
      <c r="X272" s="373"/>
    </row>
    <row r="273" spans="18:24" s="1" customFormat="1">
      <c r="R273" s="580"/>
      <c r="S273" s="580"/>
      <c r="T273" s="580"/>
      <c r="U273" s="580"/>
      <c r="V273" s="580"/>
      <c r="W273" s="580"/>
      <c r="X273" s="373"/>
    </row>
    <row r="274" spans="18:24" s="1" customFormat="1">
      <c r="R274" s="580"/>
      <c r="S274" s="580"/>
      <c r="T274" s="580"/>
      <c r="U274" s="580"/>
      <c r="V274" s="580"/>
      <c r="W274" s="580"/>
      <c r="X274" s="373"/>
    </row>
    <row r="275" spans="18:24" s="1" customFormat="1">
      <c r="R275" s="580"/>
      <c r="S275" s="580"/>
      <c r="T275" s="580"/>
      <c r="U275" s="580"/>
      <c r="V275" s="580"/>
      <c r="W275" s="580"/>
      <c r="X275" s="373"/>
    </row>
    <row r="276" spans="18:24" s="1" customFormat="1">
      <c r="R276" s="580"/>
      <c r="S276" s="580"/>
      <c r="T276" s="580"/>
      <c r="U276" s="580"/>
      <c r="V276" s="580"/>
      <c r="W276" s="580"/>
      <c r="X276" s="373"/>
    </row>
    <row r="277" spans="18:24" s="1" customFormat="1">
      <c r="R277" s="580"/>
      <c r="S277" s="580"/>
      <c r="T277" s="580"/>
      <c r="U277" s="580"/>
      <c r="V277" s="580"/>
      <c r="W277" s="580"/>
      <c r="X277" s="373"/>
    </row>
    <row r="278" spans="18:24" s="1" customFormat="1">
      <c r="R278" s="580"/>
      <c r="S278" s="580"/>
      <c r="T278" s="580"/>
      <c r="U278" s="580"/>
      <c r="V278" s="580"/>
      <c r="W278" s="580"/>
      <c r="X278" s="373"/>
    </row>
    <row r="279" spans="18:24" s="1" customFormat="1">
      <c r="R279" s="580"/>
      <c r="S279" s="580"/>
      <c r="T279" s="580"/>
      <c r="U279" s="580"/>
      <c r="V279" s="580"/>
      <c r="W279" s="580"/>
      <c r="X279" s="373"/>
    </row>
    <row r="280" spans="18:24" s="1" customFormat="1">
      <c r="R280" s="580"/>
      <c r="S280" s="580"/>
      <c r="T280" s="580"/>
      <c r="U280" s="580"/>
      <c r="V280" s="580"/>
      <c r="W280" s="580"/>
      <c r="X280" s="373"/>
    </row>
    <row r="281" spans="18:24" s="1" customFormat="1">
      <c r="R281" s="580"/>
      <c r="S281" s="580"/>
      <c r="T281" s="580"/>
      <c r="U281" s="580"/>
      <c r="V281" s="580"/>
      <c r="W281" s="580"/>
      <c r="X281" s="373"/>
    </row>
    <row r="282" spans="18:24" s="1" customFormat="1">
      <c r="R282" s="580"/>
      <c r="S282" s="580"/>
      <c r="T282" s="580"/>
      <c r="U282" s="580"/>
      <c r="V282" s="580"/>
      <c r="W282" s="580"/>
      <c r="X282" s="373"/>
    </row>
    <row r="283" spans="18:24" s="1" customFormat="1">
      <c r="R283" s="580"/>
      <c r="S283" s="580"/>
      <c r="T283" s="580"/>
      <c r="U283" s="580"/>
      <c r="V283" s="580"/>
      <c r="W283" s="580"/>
      <c r="X283" s="373"/>
    </row>
    <row r="284" spans="18:24" s="1" customFormat="1">
      <c r="R284" s="580"/>
      <c r="S284" s="580"/>
      <c r="T284" s="580"/>
      <c r="U284" s="580"/>
      <c r="V284" s="580"/>
      <c r="W284" s="580"/>
      <c r="X284" s="373"/>
    </row>
    <row r="285" spans="18:24" s="1" customFormat="1">
      <c r="R285" s="580"/>
      <c r="S285" s="580"/>
      <c r="T285" s="580"/>
      <c r="U285" s="580"/>
      <c r="V285" s="580"/>
      <c r="W285" s="580"/>
      <c r="X285" s="373"/>
    </row>
    <row r="286" spans="18:24" s="1" customFormat="1">
      <c r="R286" s="580"/>
      <c r="S286" s="580"/>
      <c r="T286" s="580"/>
      <c r="U286" s="580"/>
      <c r="V286" s="580"/>
      <c r="W286" s="580"/>
      <c r="X286" s="373"/>
    </row>
    <row r="287" spans="18:24" s="1" customFormat="1">
      <c r="R287" s="580"/>
      <c r="S287" s="580"/>
      <c r="T287" s="580"/>
      <c r="U287" s="580"/>
      <c r="V287" s="580"/>
      <c r="W287" s="580"/>
      <c r="X287" s="373"/>
    </row>
    <row r="288" spans="18:24" s="1" customFormat="1">
      <c r="R288" s="580"/>
      <c r="S288" s="580"/>
      <c r="T288" s="580"/>
      <c r="U288" s="580"/>
      <c r="V288" s="580"/>
      <c r="W288" s="580"/>
      <c r="X288" s="373"/>
    </row>
    <row r="289" spans="18:24" s="1" customFormat="1">
      <c r="R289" s="580"/>
      <c r="S289" s="580"/>
      <c r="T289" s="580"/>
      <c r="U289" s="580"/>
      <c r="V289" s="580"/>
      <c r="W289" s="580"/>
      <c r="X289" s="373"/>
    </row>
    <row r="290" spans="18:24" s="1" customFormat="1">
      <c r="R290" s="580"/>
      <c r="S290" s="580"/>
      <c r="T290" s="580"/>
      <c r="U290" s="580"/>
      <c r="V290" s="580"/>
      <c r="W290" s="580"/>
      <c r="X290" s="373"/>
    </row>
    <row r="291" spans="18:24" s="1" customFormat="1">
      <c r="R291" s="580"/>
      <c r="S291" s="580"/>
      <c r="T291" s="580"/>
      <c r="U291" s="580"/>
      <c r="V291" s="580"/>
      <c r="W291" s="580"/>
      <c r="X291" s="373"/>
    </row>
    <row r="292" spans="18:24" s="1" customFormat="1">
      <c r="R292" s="580"/>
      <c r="S292" s="580"/>
      <c r="T292" s="580"/>
      <c r="U292" s="580"/>
      <c r="V292" s="580"/>
      <c r="W292" s="580"/>
      <c r="X292" s="373"/>
    </row>
    <row r="293" spans="18:24" s="1" customFormat="1">
      <c r="R293" s="580"/>
      <c r="S293" s="580"/>
      <c r="T293" s="580"/>
      <c r="U293" s="580"/>
      <c r="V293" s="580"/>
      <c r="W293" s="580"/>
      <c r="X293" s="373"/>
    </row>
    <row r="294" spans="18:24" s="1" customFormat="1">
      <c r="R294" s="580"/>
      <c r="S294" s="580"/>
      <c r="T294" s="580"/>
      <c r="U294" s="580"/>
      <c r="V294" s="580"/>
      <c r="W294" s="580"/>
      <c r="X294" s="373"/>
    </row>
    <row r="295" spans="18:24" s="1" customFormat="1">
      <c r="R295" s="580"/>
      <c r="S295" s="580"/>
      <c r="T295" s="580"/>
      <c r="U295" s="580"/>
      <c r="V295" s="580"/>
      <c r="W295" s="580"/>
      <c r="X295" s="373"/>
    </row>
    <row r="296" spans="18:24" s="1" customFormat="1">
      <c r="R296" s="580"/>
      <c r="S296" s="580"/>
      <c r="T296" s="580"/>
      <c r="U296" s="580"/>
      <c r="V296" s="580"/>
      <c r="W296" s="580"/>
      <c r="X296" s="373"/>
    </row>
    <row r="297" spans="18:24" s="1" customFormat="1">
      <c r="R297" s="580"/>
      <c r="S297" s="580"/>
      <c r="T297" s="580"/>
      <c r="U297" s="580"/>
      <c r="V297" s="580"/>
      <c r="W297" s="580"/>
      <c r="X297" s="373"/>
    </row>
    <row r="298" spans="18:24" s="1" customFormat="1">
      <c r="R298" s="580"/>
      <c r="S298" s="580"/>
      <c r="T298" s="580"/>
      <c r="U298" s="580"/>
      <c r="V298" s="580"/>
      <c r="W298" s="580"/>
      <c r="X298" s="373"/>
    </row>
    <row r="299" spans="18:24" s="1" customFormat="1">
      <c r="R299" s="580"/>
      <c r="S299" s="580"/>
      <c r="T299" s="580"/>
      <c r="U299" s="580"/>
      <c r="V299" s="580"/>
      <c r="W299" s="580"/>
      <c r="X299" s="373"/>
    </row>
    <row r="300" spans="18:24" s="1" customFormat="1">
      <c r="R300" s="580"/>
      <c r="S300" s="580"/>
      <c r="T300" s="580"/>
      <c r="U300" s="580"/>
      <c r="V300" s="580"/>
      <c r="W300" s="580"/>
      <c r="X300" s="373"/>
    </row>
    <row r="301" spans="18:24" s="1" customFormat="1">
      <c r="R301" s="580"/>
      <c r="S301" s="580"/>
      <c r="T301" s="580"/>
      <c r="U301" s="580"/>
      <c r="V301" s="580"/>
      <c r="W301" s="580"/>
      <c r="X301" s="373"/>
    </row>
    <row r="302" spans="18:24" s="1" customFormat="1">
      <c r="R302" s="580"/>
      <c r="S302" s="580"/>
      <c r="T302" s="580"/>
      <c r="U302" s="580"/>
      <c r="V302" s="580"/>
      <c r="W302" s="580"/>
      <c r="X302" s="373"/>
    </row>
    <row r="303" spans="18:24" s="1" customFormat="1">
      <c r="R303" s="580"/>
      <c r="S303" s="580"/>
      <c r="T303" s="580"/>
      <c r="U303" s="580"/>
      <c r="V303" s="580"/>
      <c r="W303" s="580"/>
      <c r="X303" s="373"/>
    </row>
    <row r="304" spans="18:24" s="1" customFormat="1">
      <c r="R304" s="580"/>
      <c r="S304" s="580"/>
      <c r="T304" s="580"/>
      <c r="U304" s="580"/>
      <c r="V304" s="580"/>
      <c r="W304" s="580"/>
      <c r="X304" s="373"/>
    </row>
    <row r="305" spans="18:24" s="1" customFormat="1">
      <c r="R305" s="580"/>
      <c r="S305" s="580"/>
      <c r="T305" s="580"/>
      <c r="U305" s="580"/>
      <c r="V305" s="580"/>
      <c r="W305" s="580"/>
      <c r="X305" s="373"/>
    </row>
    <row r="306" spans="18:24" s="1" customFormat="1">
      <c r="R306" s="580"/>
      <c r="S306" s="580"/>
      <c r="T306" s="580"/>
      <c r="U306" s="580"/>
      <c r="V306" s="580"/>
      <c r="W306" s="580"/>
      <c r="X306" s="373"/>
    </row>
    <row r="307" spans="18:24" s="1" customFormat="1">
      <c r="R307" s="580"/>
      <c r="S307" s="580"/>
      <c r="T307" s="580"/>
      <c r="U307" s="580"/>
      <c r="V307" s="580"/>
      <c r="W307" s="580"/>
      <c r="X307" s="373"/>
    </row>
    <row r="308" spans="18:24" s="1" customFormat="1">
      <c r="R308" s="580"/>
      <c r="S308" s="580"/>
      <c r="T308" s="580"/>
      <c r="U308" s="580"/>
      <c r="V308" s="580"/>
      <c r="W308" s="580"/>
      <c r="X308" s="373"/>
    </row>
    <row r="309" spans="18:24" s="1" customFormat="1">
      <c r="R309" s="580"/>
      <c r="S309" s="580"/>
      <c r="T309" s="580"/>
      <c r="U309" s="580"/>
      <c r="V309" s="580"/>
      <c r="W309" s="580"/>
      <c r="X309" s="373"/>
    </row>
    <row r="310" spans="18:24" s="1" customFormat="1">
      <c r="R310" s="580"/>
      <c r="S310" s="580"/>
      <c r="T310" s="580"/>
      <c r="U310" s="580"/>
      <c r="V310" s="580"/>
      <c r="W310" s="580"/>
      <c r="X310" s="373"/>
    </row>
    <row r="311" spans="18:24" s="1" customFormat="1">
      <c r="R311" s="580"/>
      <c r="S311" s="580"/>
      <c r="T311" s="580"/>
      <c r="U311" s="580"/>
      <c r="V311" s="580"/>
      <c r="W311" s="580"/>
      <c r="X311" s="373"/>
    </row>
    <row r="312" spans="18:24" s="1" customFormat="1">
      <c r="R312" s="580"/>
      <c r="S312" s="580"/>
      <c r="T312" s="580"/>
      <c r="U312" s="580"/>
      <c r="V312" s="580"/>
      <c r="W312" s="580"/>
      <c r="X312" s="373"/>
    </row>
    <row r="313" spans="18:24" s="1" customFormat="1">
      <c r="R313" s="580"/>
      <c r="S313" s="580"/>
      <c r="T313" s="580"/>
      <c r="U313" s="580"/>
      <c r="V313" s="580"/>
      <c r="W313" s="580"/>
      <c r="X313" s="373"/>
    </row>
    <row r="314" spans="18:24" s="1" customFormat="1">
      <c r="R314" s="580"/>
      <c r="S314" s="580"/>
      <c r="T314" s="580"/>
      <c r="U314" s="580"/>
      <c r="V314" s="580"/>
      <c r="W314" s="580"/>
      <c r="X314" s="373"/>
    </row>
    <row r="315" spans="18:24" s="1" customFormat="1">
      <c r="R315" s="580"/>
      <c r="S315" s="580"/>
      <c r="T315" s="580"/>
      <c r="U315" s="580"/>
      <c r="V315" s="580"/>
      <c r="W315" s="580"/>
      <c r="X315" s="373"/>
    </row>
    <row r="316" spans="18:24" s="1" customFormat="1">
      <c r="R316" s="580"/>
      <c r="S316" s="580"/>
      <c r="T316" s="580"/>
      <c r="U316" s="580"/>
      <c r="V316" s="580"/>
      <c r="W316" s="580"/>
      <c r="X316" s="373"/>
    </row>
    <row r="317" spans="18:24" s="1" customFormat="1">
      <c r="R317" s="580"/>
      <c r="S317" s="580"/>
      <c r="T317" s="580"/>
      <c r="U317" s="580"/>
      <c r="V317" s="580"/>
      <c r="W317" s="580"/>
      <c r="X317" s="373"/>
    </row>
    <row r="318" spans="18:24" s="1" customFormat="1">
      <c r="R318" s="580"/>
      <c r="S318" s="580"/>
      <c r="T318" s="580"/>
      <c r="U318" s="580"/>
      <c r="V318" s="580"/>
      <c r="W318" s="580"/>
      <c r="X318" s="373"/>
    </row>
    <row r="319" spans="18:24" s="1" customFormat="1">
      <c r="R319" s="580"/>
      <c r="S319" s="580"/>
      <c r="T319" s="580"/>
      <c r="U319" s="580"/>
      <c r="V319" s="580"/>
      <c r="W319" s="580"/>
      <c r="X319" s="373"/>
    </row>
    <row r="320" spans="18:24" s="1" customFormat="1">
      <c r="R320" s="580"/>
      <c r="S320" s="580"/>
      <c r="T320" s="580"/>
      <c r="U320" s="580"/>
      <c r="V320" s="580"/>
      <c r="W320" s="580"/>
      <c r="X320" s="373"/>
    </row>
    <row r="321" spans="18:24" s="1" customFormat="1">
      <c r="R321" s="580"/>
      <c r="S321" s="580"/>
      <c r="T321" s="580"/>
      <c r="U321" s="580"/>
      <c r="V321" s="580"/>
      <c r="W321" s="580"/>
      <c r="X321" s="373"/>
    </row>
    <row r="322" spans="18:24" s="1" customFormat="1">
      <c r="R322" s="580"/>
      <c r="S322" s="580"/>
      <c r="T322" s="580"/>
      <c r="U322" s="580"/>
      <c r="V322" s="580"/>
      <c r="W322" s="580"/>
      <c r="X322" s="373"/>
    </row>
    <row r="323" spans="18:24" s="1" customFormat="1">
      <c r="R323" s="580"/>
      <c r="S323" s="580"/>
      <c r="T323" s="580"/>
      <c r="U323" s="580"/>
      <c r="V323" s="580"/>
      <c r="W323" s="580"/>
      <c r="X323" s="373"/>
    </row>
    <row r="324" spans="18:24" s="1" customFormat="1">
      <c r="R324" s="580"/>
      <c r="S324" s="580"/>
      <c r="T324" s="580"/>
      <c r="U324" s="580"/>
      <c r="V324" s="580"/>
      <c r="W324" s="580"/>
      <c r="X324" s="373"/>
    </row>
    <row r="325" spans="18:24" s="1" customFormat="1">
      <c r="R325" s="580"/>
      <c r="S325" s="580"/>
      <c r="T325" s="580"/>
      <c r="U325" s="580"/>
      <c r="V325" s="580"/>
      <c r="W325" s="580"/>
      <c r="X325" s="373"/>
    </row>
    <row r="326" spans="18:24" s="1" customFormat="1">
      <c r="R326" s="580"/>
      <c r="S326" s="580"/>
      <c r="T326" s="580"/>
      <c r="U326" s="580"/>
      <c r="V326" s="580"/>
      <c r="W326" s="580"/>
      <c r="X326" s="373"/>
    </row>
    <row r="327" spans="18:24" s="1" customFormat="1">
      <c r="R327" s="580"/>
      <c r="S327" s="580"/>
      <c r="T327" s="580"/>
      <c r="U327" s="580"/>
      <c r="V327" s="580"/>
      <c r="W327" s="580"/>
      <c r="X327" s="373"/>
    </row>
    <row r="328" spans="18:24" s="1" customFormat="1">
      <c r="R328" s="580"/>
      <c r="S328" s="580"/>
      <c r="T328" s="580"/>
      <c r="U328" s="580"/>
      <c r="V328" s="580"/>
      <c r="W328" s="580"/>
      <c r="X328" s="373"/>
    </row>
    <row r="329" spans="18:24" s="1" customFormat="1">
      <c r="R329" s="580"/>
      <c r="S329" s="580"/>
      <c r="T329" s="580"/>
      <c r="U329" s="580"/>
      <c r="V329" s="580"/>
      <c r="W329" s="580"/>
      <c r="X329" s="373"/>
    </row>
    <row r="330" spans="18:24" s="1" customFormat="1">
      <c r="R330" s="580"/>
      <c r="S330" s="580"/>
      <c r="T330" s="580"/>
      <c r="U330" s="580"/>
      <c r="V330" s="580"/>
      <c r="W330" s="580"/>
      <c r="X330" s="373"/>
    </row>
    <row r="331" spans="18:24" s="1" customFormat="1">
      <c r="R331" s="580"/>
      <c r="S331" s="580"/>
      <c r="T331" s="580"/>
      <c r="U331" s="580"/>
      <c r="V331" s="580"/>
      <c r="W331" s="580"/>
      <c r="X331" s="373"/>
    </row>
    <row r="332" spans="18:24" s="1" customFormat="1">
      <c r="R332" s="580"/>
      <c r="S332" s="580"/>
      <c r="T332" s="580"/>
      <c r="U332" s="580"/>
      <c r="V332" s="580"/>
      <c r="W332" s="580"/>
      <c r="X332" s="373"/>
    </row>
    <row r="333" spans="18:24" s="1" customFormat="1">
      <c r="R333" s="580"/>
      <c r="S333" s="580"/>
      <c r="T333" s="580"/>
      <c r="U333" s="580"/>
      <c r="V333" s="580"/>
      <c r="W333" s="580"/>
      <c r="X333" s="373"/>
    </row>
    <row r="334" spans="18:24" s="1" customFormat="1">
      <c r="R334" s="580"/>
      <c r="S334" s="580"/>
      <c r="T334" s="580"/>
      <c r="U334" s="580"/>
      <c r="V334" s="580"/>
      <c r="W334" s="580"/>
      <c r="X334" s="373"/>
    </row>
    <row r="335" spans="18:24" s="1" customFormat="1">
      <c r="R335" s="580"/>
      <c r="S335" s="580"/>
      <c r="T335" s="580"/>
      <c r="U335" s="580"/>
      <c r="V335" s="580"/>
      <c r="W335" s="580"/>
      <c r="X335" s="373"/>
    </row>
    <row r="336" spans="18:24" s="1" customFormat="1">
      <c r="R336" s="580"/>
      <c r="S336" s="580"/>
      <c r="T336" s="580"/>
      <c r="U336" s="580"/>
      <c r="V336" s="580"/>
      <c r="W336" s="580"/>
      <c r="X336" s="373"/>
    </row>
    <row r="337" spans="18:24" s="1" customFormat="1">
      <c r="R337" s="580"/>
      <c r="S337" s="580"/>
      <c r="T337" s="580"/>
      <c r="U337" s="580"/>
      <c r="V337" s="580"/>
      <c r="W337" s="580"/>
      <c r="X337" s="373"/>
    </row>
    <row r="338" spans="18:24" s="1" customFormat="1">
      <c r="R338" s="580"/>
      <c r="S338" s="580"/>
      <c r="T338" s="580"/>
      <c r="U338" s="580"/>
      <c r="V338" s="580"/>
      <c r="W338" s="580"/>
      <c r="X338" s="373"/>
    </row>
    <row r="339" spans="18:24" s="1" customFormat="1">
      <c r="R339" s="580"/>
      <c r="S339" s="580"/>
      <c r="T339" s="580"/>
      <c r="U339" s="580"/>
      <c r="V339" s="580"/>
      <c r="W339" s="580"/>
      <c r="X339" s="373"/>
    </row>
    <row r="340" spans="18:24" s="1" customFormat="1">
      <c r="R340" s="580"/>
      <c r="S340" s="580"/>
      <c r="T340" s="580"/>
      <c r="U340" s="580"/>
      <c r="V340" s="580"/>
      <c r="W340" s="580"/>
      <c r="X340" s="373"/>
    </row>
    <row r="341" spans="18:24" s="1" customFormat="1">
      <c r="R341" s="580"/>
      <c r="S341" s="580"/>
      <c r="T341" s="580"/>
      <c r="U341" s="580"/>
      <c r="V341" s="580"/>
      <c r="W341" s="580"/>
      <c r="X341" s="373"/>
    </row>
    <row r="342" spans="18:24" s="1" customFormat="1">
      <c r="R342" s="580"/>
      <c r="S342" s="580"/>
      <c r="T342" s="580"/>
      <c r="U342" s="580"/>
      <c r="V342" s="580"/>
      <c r="W342" s="580"/>
      <c r="X342" s="373"/>
    </row>
    <row r="343" spans="18:24" s="1" customFormat="1">
      <c r="R343" s="580"/>
      <c r="S343" s="580"/>
      <c r="T343" s="580"/>
      <c r="U343" s="580"/>
      <c r="V343" s="580"/>
      <c r="W343" s="580"/>
      <c r="X343" s="373"/>
    </row>
    <row r="344" spans="18:24" s="1" customFormat="1">
      <c r="R344" s="580"/>
      <c r="S344" s="580"/>
      <c r="T344" s="580"/>
      <c r="U344" s="580"/>
      <c r="V344" s="580"/>
      <c r="W344" s="580"/>
      <c r="X344" s="373"/>
    </row>
    <row r="345" spans="18:24" s="1" customFormat="1">
      <c r="R345" s="580"/>
      <c r="S345" s="580"/>
      <c r="T345" s="580"/>
      <c r="U345" s="580"/>
      <c r="V345" s="580"/>
      <c r="W345" s="580"/>
      <c r="X345" s="373"/>
    </row>
    <row r="346" spans="18:24" s="1" customFormat="1">
      <c r="R346" s="580"/>
      <c r="S346" s="580"/>
      <c r="T346" s="580"/>
      <c r="U346" s="580"/>
      <c r="V346" s="580"/>
      <c r="W346" s="580"/>
      <c r="X346" s="373"/>
    </row>
    <row r="347" spans="18:24" s="1" customFormat="1">
      <c r="R347" s="580"/>
      <c r="S347" s="580"/>
      <c r="T347" s="580"/>
      <c r="U347" s="580"/>
      <c r="V347" s="580"/>
      <c r="W347" s="580"/>
      <c r="X347" s="373"/>
    </row>
    <row r="348" spans="18:24" s="1" customFormat="1">
      <c r="R348" s="580"/>
      <c r="S348" s="580"/>
      <c r="T348" s="580"/>
      <c r="U348" s="580"/>
      <c r="V348" s="580"/>
      <c r="W348" s="580"/>
      <c r="X348" s="373"/>
    </row>
    <row r="349" spans="18:24" s="1" customFormat="1">
      <c r="R349" s="580"/>
      <c r="S349" s="580"/>
      <c r="T349" s="580"/>
      <c r="U349" s="580"/>
      <c r="V349" s="580"/>
      <c r="W349" s="580"/>
      <c r="X349" s="373"/>
    </row>
    <row r="350" spans="18:24" s="1" customFormat="1">
      <c r="R350" s="580"/>
      <c r="S350" s="580"/>
      <c r="T350" s="580"/>
      <c r="U350" s="580"/>
      <c r="V350" s="580"/>
      <c r="W350" s="580"/>
      <c r="X350" s="373"/>
    </row>
    <row r="351" spans="18:24" s="1" customFormat="1">
      <c r="R351" s="580"/>
      <c r="S351" s="580"/>
      <c r="T351" s="580"/>
      <c r="U351" s="580"/>
      <c r="V351" s="580"/>
      <c r="W351" s="580"/>
      <c r="X351" s="373"/>
    </row>
    <row r="352" spans="18:24" s="1" customFormat="1">
      <c r="R352" s="580"/>
      <c r="S352" s="580"/>
      <c r="T352" s="580"/>
      <c r="U352" s="580"/>
      <c r="V352" s="580"/>
      <c r="W352" s="580"/>
      <c r="X352" s="373"/>
    </row>
    <row r="353" spans="18:24" s="1" customFormat="1">
      <c r="R353" s="580"/>
      <c r="S353" s="580"/>
      <c r="T353" s="580"/>
      <c r="U353" s="580"/>
      <c r="V353" s="580"/>
      <c r="W353" s="580"/>
      <c r="X353" s="373"/>
    </row>
    <row r="354" spans="18:24" s="1" customFormat="1">
      <c r="R354" s="580"/>
      <c r="S354" s="580"/>
      <c r="T354" s="580"/>
      <c r="U354" s="580"/>
      <c r="V354" s="580"/>
      <c r="W354" s="580"/>
      <c r="X354" s="373"/>
    </row>
    <row r="355" spans="18:24" s="1" customFormat="1">
      <c r="R355" s="580"/>
      <c r="S355" s="580"/>
      <c r="T355" s="580"/>
      <c r="U355" s="580"/>
      <c r="V355" s="580"/>
      <c r="W355" s="580"/>
      <c r="X355" s="373"/>
    </row>
    <row r="356" spans="18:24" s="1" customFormat="1">
      <c r="R356" s="580"/>
      <c r="S356" s="580"/>
      <c r="T356" s="580"/>
      <c r="U356" s="580"/>
      <c r="V356" s="580"/>
      <c r="W356" s="580"/>
      <c r="X356" s="373"/>
    </row>
    <row r="357" spans="18:24" s="1" customFormat="1">
      <c r="R357" s="580"/>
      <c r="S357" s="580"/>
      <c r="T357" s="580"/>
      <c r="U357" s="580"/>
      <c r="V357" s="580"/>
      <c r="W357" s="580"/>
      <c r="X357" s="373"/>
    </row>
    <row r="358" spans="18:24" s="1" customFormat="1">
      <c r="R358" s="580"/>
      <c r="S358" s="580"/>
      <c r="T358" s="580"/>
      <c r="U358" s="580"/>
      <c r="V358" s="580"/>
      <c r="W358" s="580"/>
      <c r="X358" s="373"/>
    </row>
    <row r="359" spans="18:24" s="1" customFormat="1">
      <c r="R359" s="580"/>
      <c r="S359" s="580"/>
      <c r="T359" s="580"/>
      <c r="U359" s="580"/>
      <c r="V359" s="580"/>
      <c r="W359" s="580"/>
      <c r="X359" s="373"/>
    </row>
    <row r="360" spans="18:24" s="1" customFormat="1">
      <c r="R360" s="580"/>
      <c r="S360" s="580"/>
      <c r="T360" s="580"/>
      <c r="U360" s="580"/>
      <c r="V360" s="580"/>
      <c r="W360" s="580"/>
      <c r="X360" s="373"/>
    </row>
    <row r="361" spans="18:24" s="1" customFormat="1">
      <c r="R361" s="580"/>
      <c r="S361" s="580"/>
      <c r="T361" s="580"/>
      <c r="U361" s="580"/>
      <c r="V361" s="580"/>
      <c r="W361" s="580"/>
      <c r="X361" s="373"/>
    </row>
    <row r="362" spans="18:24" s="1" customFormat="1">
      <c r="R362" s="580"/>
      <c r="S362" s="580"/>
      <c r="T362" s="580"/>
      <c r="U362" s="580"/>
      <c r="V362" s="580"/>
      <c r="W362" s="580"/>
      <c r="X362" s="373"/>
    </row>
    <row r="363" spans="18:24" s="1" customFormat="1">
      <c r="R363" s="580"/>
      <c r="S363" s="580"/>
      <c r="T363" s="580"/>
      <c r="U363" s="580"/>
      <c r="V363" s="580"/>
      <c r="W363" s="580"/>
      <c r="X363" s="373"/>
    </row>
    <row r="364" spans="18:24" s="1" customFormat="1">
      <c r="R364" s="580"/>
      <c r="S364" s="580"/>
      <c r="T364" s="580"/>
      <c r="U364" s="580"/>
      <c r="V364" s="580"/>
      <c r="W364" s="580"/>
      <c r="X364" s="373"/>
    </row>
    <row r="365" spans="18:24" s="1" customFormat="1">
      <c r="R365" s="580"/>
      <c r="S365" s="580"/>
      <c r="T365" s="580"/>
      <c r="U365" s="580"/>
      <c r="V365" s="580"/>
      <c r="W365" s="580"/>
      <c r="X365" s="373"/>
    </row>
    <row r="366" spans="18:24" s="1" customFormat="1">
      <c r="R366" s="580"/>
      <c r="S366" s="580"/>
      <c r="T366" s="580"/>
      <c r="U366" s="580"/>
      <c r="V366" s="580"/>
      <c r="W366" s="580"/>
      <c r="X366" s="373"/>
    </row>
    <row r="367" spans="18:24" s="1" customFormat="1">
      <c r="R367" s="580"/>
      <c r="S367" s="580"/>
      <c r="T367" s="580"/>
      <c r="U367" s="580"/>
      <c r="V367" s="580"/>
      <c r="W367" s="580"/>
      <c r="X367" s="373"/>
    </row>
    <row r="368" spans="18:24" s="1" customFormat="1">
      <c r="R368" s="580"/>
      <c r="S368" s="580"/>
      <c r="T368" s="580"/>
      <c r="U368" s="580"/>
      <c r="V368" s="580"/>
      <c r="W368" s="580"/>
      <c r="X368" s="373"/>
    </row>
    <row r="369" spans="18:24" s="1" customFormat="1">
      <c r="R369" s="580"/>
      <c r="S369" s="580"/>
      <c r="T369" s="580"/>
      <c r="U369" s="580"/>
      <c r="V369" s="580"/>
      <c r="W369" s="580"/>
      <c r="X369" s="373"/>
    </row>
    <row r="370" spans="18:24" s="1" customFormat="1">
      <c r="R370" s="580"/>
      <c r="S370" s="580"/>
      <c r="T370" s="580"/>
      <c r="U370" s="580"/>
      <c r="V370" s="580"/>
      <c r="W370" s="580"/>
      <c r="X370" s="373"/>
    </row>
    <row r="371" spans="18:24" s="1" customFormat="1">
      <c r="R371" s="580"/>
      <c r="S371" s="580"/>
      <c r="T371" s="580"/>
      <c r="U371" s="580"/>
      <c r="V371" s="580"/>
      <c r="W371" s="580"/>
      <c r="X371" s="373"/>
    </row>
    <row r="372" spans="18:24" s="1" customFormat="1">
      <c r="R372" s="580"/>
      <c r="S372" s="580"/>
      <c r="T372" s="580"/>
      <c r="U372" s="580"/>
      <c r="V372" s="580"/>
      <c r="W372" s="580"/>
      <c r="X372" s="373"/>
    </row>
    <row r="373" spans="18:24" s="1" customFormat="1">
      <c r="R373" s="580"/>
      <c r="S373" s="580"/>
      <c r="T373" s="580"/>
      <c r="U373" s="580"/>
      <c r="V373" s="580"/>
      <c r="W373" s="580"/>
      <c r="X373" s="373"/>
    </row>
    <row r="374" spans="18:24" s="1" customFormat="1">
      <c r="R374" s="580"/>
      <c r="S374" s="580"/>
      <c r="T374" s="580"/>
      <c r="U374" s="580"/>
      <c r="V374" s="580"/>
      <c r="W374" s="580"/>
      <c r="X374" s="373"/>
    </row>
    <row r="375" spans="18:24" s="1" customFormat="1">
      <c r="R375" s="580"/>
      <c r="S375" s="580"/>
      <c r="T375" s="580"/>
      <c r="U375" s="580"/>
      <c r="V375" s="580"/>
      <c r="W375" s="580"/>
      <c r="X375" s="373"/>
    </row>
    <row r="376" spans="18:24" s="1" customFormat="1">
      <c r="R376" s="580"/>
      <c r="S376" s="580"/>
      <c r="T376" s="580"/>
      <c r="U376" s="580"/>
      <c r="V376" s="580"/>
      <c r="W376" s="580"/>
      <c r="X376" s="373"/>
    </row>
    <row r="377" spans="18:24" s="1" customFormat="1">
      <c r="R377" s="580"/>
      <c r="S377" s="580"/>
      <c r="T377" s="580"/>
      <c r="U377" s="580"/>
      <c r="V377" s="580"/>
      <c r="W377" s="580"/>
      <c r="X377" s="373"/>
    </row>
    <row r="378" spans="18:24" s="1" customFormat="1">
      <c r="R378" s="580"/>
      <c r="S378" s="580"/>
      <c r="T378" s="580"/>
      <c r="U378" s="580"/>
      <c r="V378" s="580"/>
      <c r="W378" s="580"/>
      <c r="X378" s="373"/>
    </row>
    <row r="379" spans="18:24" s="1" customFormat="1">
      <c r="R379" s="580"/>
      <c r="S379" s="580"/>
      <c r="T379" s="580"/>
      <c r="U379" s="580"/>
      <c r="V379" s="580"/>
      <c r="W379" s="580"/>
      <c r="X379" s="373"/>
    </row>
    <row r="380" spans="18:24" s="1" customFormat="1">
      <c r="R380" s="580"/>
      <c r="S380" s="580"/>
      <c r="T380" s="580"/>
      <c r="U380" s="580"/>
      <c r="V380" s="580"/>
      <c r="W380" s="580"/>
      <c r="X380" s="373"/>
    </row>
    <row r="381" spans="18:24" s="1" customFormat="1">
      <c r="R381" s="580"/>
      <c r="S381" s="580"/>
      <c r="T381" s="580"/>
      <c r="U381" s="580"/>
      <c r="V381" s="580"/>
      <c r="W381" s="580"/>
      <c r="X381" s="373"/>
    </row>
    <row r="382" spans="18:24" s="1" customFormat="1">
      <c r="R382" s="580"/>
      <c r="S382" s="580"/>
      <c r="T382" s="580"/>
      <c r="U382" s="580"/>
      <c r="V382" s="580"/>
      <c r="W382" s="580"/>
      <c r="X382" s="373"/>
    </row>
    <row r="383" spans="18:24" s="1" customFormat="1">
      <c r="R383" s="580"/>
      <c r="S383" s="580"/>
      <c r="T383" s="580"/>
      <c r="U383" s="580"/>
      <c r="V383" s="580"/>
      <c r="W383" s="580"/>
      <c r="X383" s="373"/>
    </row>
    <row r="384" spans="18:24" s="1" customFormat="1">
      <c r="R384" s="580"/>
      <c r="S384" s="580"/>
      <c r="T384" s="580"/>
      <c r="U384" s="580"/>
      <c r="V384" s="580"/>
      <c r="W384" s="580"/>
      <c r="X384" s="373"/>
    </row>
    <row r="385" spans="18:24" s="1" customFormat="1">
      <c r="R385" s="580"/>
      <c r="S385" s="580"/>
      <c r="T385" s="580"/>
      <c r="U385" s="580"/>
      <c r="V385" s="580"/>
      <c r="W385" s="580"/>
      <c r="X385" s="373"/>
    </row>
    <row r="386" spans="18:24" s="1" customFormat="1">
      <c r="R386" s="580"/>
      <c r="S386" s="580"/>
      <c r="T386" s="580"/>
      <c r="U386" s="580"/>
      <c r="V386" s="580"/>
      <c r="W386" s="580"/>
      <c r="X386" s="373"/>
    </row>
    <row r="387" spans="18:24" s="1" customFormat="1">
      <c r="R387" s="580"/>
      <c r="S387" s="580"/>
      <c r="T387" s="580"/>
      <c r="U387" s="580"/>
      <c r="V387" s="580"/>
      <c r="W387" s="580"/>
      <c r="X387" s="373"/>
    </row>
    <row r="388" spans="18:24" s="1" customFormat="1">
      <c r="R388" s="580"/>
      <c r="S388" s="580"/>
      <c r="T388" s="580"/>
      <c r="U388" s="580"/>
      <c r="V388" s="580"/>
      <c r="W388" s="580"/>
      <c r="X388" s="373"/>
    </row>
    <row r="389" spans="18:24" s="1" customFormat="1">
      <c r="R389" s="580"/>
      <c r="S389" s="580"/>
      <c r="T389" s="580"/>
      <c r="U389" s="580"/>
      <c r="V389" s="580"/>
      <c r="W389" s="580"/>
      <c r="X389" s="373"/>
    </row>
    <row r="390" spans="18:24" s="1" customFormat="1">
      <c r="R390" s="580"/>
      <c r="S390" s="580"/>
      <c r="T390" s="580"/>
      <c r="U390" s="580"/>
      <c r="V390" s="580"/>
      <c r="W390" s="580"/>
      <c r="X390" s="373"/>
    </row>
    <row r="391" spans="18:24" s="1" customFormat="1">
      <c r="R391" s="580"/>
      <c r="S391" s="580"/>
      <c r="T391" s="580"/>
      <c r="U391" s="580"/>
      <c r="V391" s="580"/>
      <c r="W391" s="580"/>
      <c r="X391" s="373"/>
    </row>
    <row r="392" spans="18:24" s="1" customFormat="1">
      <c r="R392" s="580"/>
      <c r="S392" s="580"/>
      <c r="T392" s="580"/>
      <c r="U392" s="580"/>
      <c r="V392" s="580"/>
      <c r="W392" s="580"/>
      <c r="X392" s="373"/>
    </row>
    <row r="393" spans="18:24" s="1" customFormat="1">
      <c r="R393" s="580"/>
      <c r="S393" s="580"/>
      <c r="T393" s="580"/>
      <c r="U393" s="580"/>
      <c r="V393" s="580"/>
      <c r="W393" s="580"/>
      <c r="X393" s="373"/>
    </row>
    <row r="394" spans="18:24" s="1" customFormat="1">
      <c r="R394" s="580"/>
      <c r="S394" s="580"/>
      <c r="T394" s="580"/>
      <c r="U394" s="580"/>
      <c r="V394" s="580"/>
      <c r="W394" s="580"/>
      <c r="X394" s="373"/>
    </row>
    <row r="395" spans="18:24" s="1" customFormat="1">
      <c r="R395" s="580"/>
      <c r="S395" s="580"/>
      <c r="T395" s="580"/>
      <c r="U395" s="580"/>
      <c r="V395" s="580"/>
      <c r="W395" s="580"/>
      <c r="X395" s="373"/>
    </row>
    <row r="396" spans="18:24" s="1" customFormat="1">
      <c r="R396" s="580"/>
      <c r="S396" s="580"/>
      <c r="T396" s="580"/>
      <c r="U396" s="580"/>
      <c r="V396" s="580"/>
      <c r="W396" s="580"/>
      <c r="X396" s="373"/>
    </row>
    <row r="397" spans="18:24" s="1" customFormat="1">
      <c r="R397" s="580"/>
      <c r="S397" s="580"/>
      <c r="T397" s="580"/>
      <c r="U397" s="580"/>
      <c r="V397" s="580"/>
      <c r="W397" s="580"/>
      <c r="X397" s="373"/>
    </row>
    <row r="398" spans="18:24" s="1" customFormat="1">
      <c r="R398" s="580"/>
      <c r="S398" s="580"/>
      <c r="T398" s="580"/>
      <c r="U398" s="580"/>
      <c r="V398" s="580"/>
      <c r="W398" s="580"/>
      <c r="X398" s="373"/>
    </row>
    <row r="399" spans="18:24" s="1" customFormat="1">
      <c r="R399" s="580"/>
      <c r="S399" s="580"/>
      <c r="T399" s="580"/>
      <c r="U399" s="580"/>
      <c r="V399" s="580"/>
      <c r="W399" s="580"/>
      <c r="X399" s="373"/>
    </row>
    <row r="400" spans="18:24" s="1" customFormat="1">
      <c r="R400" s="580"/>
      <c r="S400" s="580"/>
      <c r="T400" s="580"/>
      <c r="U400" s="580"/>
      <c r="V400" s="580"/>
      <c r="W400" s="580"/>
      <c r="X400" s="373"/>
    </row>
    <row r="401" spans="18:24" s="1" customFormat="1">
      <c r="R401" s="580"/>
      <c r="S401" s="580"/>
      <c r="T401" s="580"/>
      <c r="U401" s="580"/>
      <c r="V401" s="580"/>
      <c r="W401" s="580"/>
      <c r="X401" s="373"/>
    </row>
    <row r="402" spans="18:24" s="1" customFormat="1">
      <c r="R402" s="580"/>
      <c r="S402" s="580"/>
      <c r="T402" s="580"/>
      <c r="U402" s="580"/>
      <c r="V402" s="580"/>
      <c r="W402" s="580"/>
      <c r="X402" s="373"/>
    </row>
    <row r="403" spans="18:24" s="1" customFormat="1">
      <c r="R403" s="580"/>
      <c r="S403" s="580"/>
      <c r="T403" s="580"/>
      <c r="U403" s="580"/>
      <c r="V403" s="580"/>
      <c r="W403" s="580"/>
      <c r="X403" s="373"/>
    </row>
    <row r="404" spans="18:24" s="1" customFormat="1">
      <c r="R404" s="580"/>
      <c r="S404" s="580"/>
      <c r="T404" s="580"/>
      <c r="U404" s="580"/>
      <c r="V404" s="580"/>
      <c r="W404" s="580"/>
      <c r="X404" s="373"/>
    </row>
    <row r="405" spans="18:24" s="1" customFormat="1">
      <c r="R405" s="580"/>
      <c r="S405" s="580"/>
      <c r="T405" s="580"/>
      <c r="U405" s="580"/>
      <c r="V405" s="580"/>
      <c r="W405" s="580"/>
      <c r="X405" s="373"/>
    </row>
    <row r="406" spans="18:24" s="1" customFormat="1">
      <c r="R406" s="580"/>
      <c r="S406" s="580"/>
      <c r="T406" s="580"/>
      <c r="U406" s="580"/>
      <c r="V406" s="580"/>
      <c r="W406" s="580"/>
      <c r="X406" s="373"/>
    </row>
    <row r="407" spans="18:24" s="1" customFormat="1">
      <c r="R407" s="580"/>
      <c r="S407" s="580"/>
      <c r="T407" s="580"/>
      <c r="U407" s="580"/>
      <c r="V407" s="580"/>
      <c r="W407" s="580"/>
      <c r="X407" s="373"/>
    </row>
    <row r="408" spans="18:24" s="1" customFormat="1">
      <c r="R408" s="580"/>
      <c r="S408" s="580"/>
      <c r="T408" s="580"/>
      <c r="U408" s="580"/>
      <c r="V408" s="580"/>
      <c r="W408" s="580"/>
      <c r="X408" s="373"/>
    </row>
    <row r="409" spans="18:24" s="1" customFormat="1">
      <c r="R409" s="580"/>
      <c r="S409" s="580"/>
      <c r="T409" s="580"/>
      <c r="U409" s="580"/>
      <c r="V409" s="580"/>
      <c r="W409" s="580"/>
      <c r="X409" s="373"/>
    </row>
    <row r="410" spans="18:24" s="1" customFormat="1">
      <c r="R410" s="580"/>
      <c r="S410" s="580"/>
      <c r="T410" s="580"/>
      <c r="U410" s="580"/>
      <c r="V410" s="580"/>
      <c r="W410" s="580"/>
      <c r="X410" s="373"/>
    </row>
    <row r="411" spans="18:24" s="1" customFormat="1">
      <c r="R411" s="580"/>
      <c r="S411" s="580"/>
      <c r="T411" s="580"/>
      <c r="U411" s="580"/>
      <c r="V411" s="580"/>
      <c r="W411" s="580"/>
      <c r="X411" s="373"/>
    </row>
    <row r="412" spans="18:24" s="1" customFormat="1">
      <c r="R412" s="580"/>
      <c r="S412" s="580"/>
      <c r="T412" s="580"/>
      <c r="U412" s="580"/>
      <c r="V412" s="580"/>
      <c r="W412" s="580"/>
      <c r="X412" s="373"/>
    </row>
    <row r="413" spans="18:24" s="1" customFormat="1">
      <c r="R413" s="580"/>
      <c r="S413" s="580"/>
      <c r="T413" s="580"/>
      <c r="U413" s="580"/>
      <c r="V413" s="580"/>
      <c r="W413" s="580"/>
      <c r="X413" s="373"/>
    </row>
    <row r="414" spans="18:24" s="1" customFormat="1">
      <c r="R414" s="580"/>
      <c r="S414" s="580"/>
      <c r="T414" s="580"/>
      <c r="U414" s="580"/>
      <c r="V414" s="580"/>
      <c r="W414" s="580"/>
      <c r="X414" s="373"/>
    </row>
    <row r="415" spans="18:24" s="1" customFormat="1">
      <c r="R415" s="580"/>
      <c r="S415" s="580"/>
      <c r="T415" s="580"/>
      <c r="U415" s="580"/>
      <c r="V415" s="580"/>
      <c r="W415" s="580"/>
      <c r="X415" s="373"/>
    </row>
    <row r="416" spans="18:24" s="1" customFormat="1">
      <c r="R416" s="580"/>
      <c r="S416" s="580"/>
      <c r="T416" s="580"/>
      <c r="U416" s="580"/>
      <c r="V416" s="580"/>
      <c r="W416" s="580"/>
      <c r="X416" s="373"/>
    </row>
    <row r="417" spans="18:24" s="1" customFormat="1">
      <c r="R417" s="580"/>
      <c r="S417" s="580"/>
      <c r="T417" s="580"/>
      <c r="U417" s="580"/>
      <c r="V417" s="580"/>
      <c r="W417" s="580"/>
      <c r="X417" s="373"/>
    </row>
    <row r="418" spans="18:24" s="1" customFormat="1">
      <c r="R418" s="580"/>
      <c r="S418" s="580"/>
      <c r="T418" s="580"/>
      <c r="U418" s="580"/>
      <c r="V418" s="580"/>
      <c r="W418" s="580"/>
      <c r="X418" s="373"/>
    </row>
    <row r="419" spans="18:24" s="1" customFormat="1">
      <c r="R419" s="580"/>
      <c r="S419" s="580"/>
      <c r="T419" s="580"/>
      <c r="U419" s="580"/>
      <c r="V419" s="580"/>
      <c r="W419" s="580"/>
      <c r="X419" s="373"/>
    </row>
    <row r="420" spans="18:24" s="1" customFormat="1">
      <c r="R420" s="580"/>
      <c r="S420" s="580"/>
      <c r="T420" s="580"/>
      <c r="U420" s="580"/>
      <c r="V420" s="580"/>
      <c r="W420" s="580"/>
      <c r="X420" s="373"/>
    </row>
    <row r="421" spans="18:24" s="1" customFormat="1">
      <c r="R421" s="580"/>
      <c r="S421" s="580"/>
      <c r="T421" s="580"/>
      <c r="U421" s="580"/>
      <c r="V421" s="580"/>
      <c r="W421" s="580"/>
      <c r="X421" s="373"/>
    </row>
    <row r="422" spans="18:24" s="1" customFormat="1">
      <c r="R422" s="580"/>
      <c r="S422" s="580"/>
      <c r="T422" s="580"/>
      <c r="U422" s="580"/>
      <c r="V422" s="580"/>
      <c r="W422" s="580"/>
      <c r="X422" s="373"/>
    </row>
    <row r="423" spans="18:24" s="1" customFormat="1">
      <c r="R423" s="580"/>
      <c r="S423" s="580"/>
      <c r="T423" s="580"/>
      <c r="U423" s="580"/>
      <c r="V423" s="580"/>
      <c r="W423" s="580"/>
      <c r="X423" s="373"/>
    </row>
    <row r="424" spans="18:24" s="1" customFormat="1">
      <c r="R424" s="580"/>
      <c r="S424" s="580"/>
      <c r="T424" s="580"/>
      <c r="U424" s="580"/>
      <c r="V424" s="580"/>
      <c r="W424" s="580"/>
      <c r="X424" s="373"/>
    </row>
    <row r="425" spans="18:24" s="1" customFormat="1">
      <c r="R425" s="580"/>
      <c r="S425" s="580"/>
      <c r="T425" s="580"/>
      <c r="U425" s="580"/>
      <c r="V425" s="580"/>
      <c r="W425" s="580"/>
      <c r="X425" s="373"/>
    </row>
    <row r="426" spans="18:24" s="1" customFormat="1">
      <c r="R426" s="580"/>
      <c r="S426" s="580"/>
      <c r="T426" s="580"/>
      <c r="U426" s="580"/>
      <c r="V426" s="580"/>
      <c r="W426" s="580"/>
      <c r="X426" s="373"/>
    </row>
    <row r="427" spans="18:24" s="1" customFormat="1">
      <c r="R427" s="580"/>
      <c r="S427" s="580"/>
      <c r="T427" s="580"/>
      <c r="U427" s="580"/>
      <c r="V427" s="580"/>
      <c r="W427" s="580"/>
      <c r="X427" s="373"/>
    </row>
    <row r="428" spans="18:24" s="1" customFormat="1">
      <c r="R428" s="580"/>
      <c r="S428" s="580"/>
      <c r="T428" s="580"/>
      <c r="U428" s="580"/>
      <c r="V428" s="580"/>
      <c r="W428" s="580"/>
      <c r="X428" s="373"/>
    </row>
    <row r="429" spans="18:24" s="1" customFormat="1">
      <c r="R429" s="580"/>
      <c r="S429" s="580"/>
      <c r="T429" s="580"/>
      <c r="U429" s="580"/>
      <c r="V429" s="580"/>
      <c r="W429" s="580"/>
      <c r="X429" s="373"/>
    </row>
    <row r="430" spans="18:24" s="1" customFormat="1">
      <c r="R430" s="580"/>
      <c r="S430" s="580"/>
      <c r="T430" s="580"/>
      <c r="U430" s="580"/>
      <c r="V430" s="580"/>
      <c r="W430" s="580"/>
      <c r="X430" s="373"/>
    </row>
    <row r="431" spans="18:24" s="1" customFormat="1">
      <c r="R431" s="580"/>
      <c r="S431" s="580"/>
      <c r="T431" s="580"/>
      <c r="U431" s="580"/>
      <c r="V431" s="580"/>
      <c r="W431" s="580"/>
      <c r="X431" s="373"/>
    </row>
    <row r="432" spans="18:24" s="1" customFormat="1">
      <c r="R432" s="580"/>
      <c r="S432" s="580"/>
      <c r="T432" s="580"/>
      <c r="U432" s="580"/>
      <c r="V432" s="580"/>
      <c r="W432" s="580"/>
      <c r="X432" s="373"/>
    </row>
    <row r="433" spans="18:24" s="1" customFormat="1">
      <c r="R433" s="580"/>
      <c r="S433" s="580"/>
      <c r="T433" s="580"/>
      <c r="U433" s="580"/>
      <c r="V433" s="580"/>
      <c r="W433" s="580"/>
      <c r="X433" s="373"/>
    </row>
    <row r="434" spans="18:24" s="1" customFormat="1">
      <c r="R434" s="580"/>
      <c r="S434" s="580"/>
      <c r="T434" s="580"/>
      <c r="U434" s="580"/>
      <c r="V434" s="580"/>
      <c r="W434" s="580"/>
      <c r="X434" s="373"/>
    </row>
    <row r="435" spans="18:24" s="1" customFormat="1">
      <c r="R435" s="580"/>
      <c r="S435" s="580"/>
      <c r="T435" s="580"/>
      <c r="U435" s="580"/>
      <c r="V435" s="580"/>
      <c r="W435" s="580"/>
      <c r="X435" s="373"/>
    </row>
    <row r="436" spans="18:24" s="1" customFormat="1">
      <c r="R436" s="580"/>
      <c r="S436" s="580"/>
      <c r="T436" s="580"/>
      <c r="U436" s="580"/>
      <c r="V436" s="580"/>
      <c r="W436" s="580"/>
      <c r="X436" s="373"/>
    </row>
    <row r="437" spans="18:24" s="1" customFormat="1">
      <c r="R437" s="580"/>
      <c r="S437" s="580"/>
      <c r="T437" s="580"/>
      <c r="U437" s="580"/>
      <c r="V437" s="580"/>
      <c r="W437" s="580"/>
      <c r="X437" s="373"/>
    </row>
    <row r="438" spans="18:24" s="1" customFormat="1">
      <c r="R438" s="580"/>
      <c r="S438" s="580"/>
      <c r="T438" s="580"/>
      <c r="U438" s="580"/>
      <c r="V438" s="580"/>
      <c r="W438" s="580"/>
      <c r="X438" s="373"/>
    </row>
    <row r="439" spans="18:24" s="1" customFormat="1">
      <c r="R439" s="580"/>
      <c r="S439" s="580"/>
      <c r="T439" s="580"/>
      <c r="U439" s="580"/>
      <c r="V439" s="580"/>
      <c r="W439" s="580"/>
      <c r="X439" s="373"/>
    </row>
    <row r="440" spans="18:24" s="1" customFormat="1">
      <c r="R440" s="580"/>
      <c r="S440" s="580"/>
      <c r="T440" s="580"/>
      <c r="U440" s="580"/>
      <c r="V440" s="580"/>
      <c r="W440" s="580"/>
      <c r="X440" s="373"/>
    </row>
    <row r="441" spans="18:24" s="1" customFormat="1">
      <c r="R441" s="580"/>
      <c r="S441" s="580"/>
      <c r="T441" s="580"/>
      <c r="U441" s="580"/>
      <c r="V441" s="580"/>
      <c r="W441" s="580"/>
      <c r="X441" s="373"/>
    </row>
    <row r="442" spans="18:24" s="1" customFormat="1">
      <c r="R442" s="580"/>
      <c r="S442" s="580"/>
      <c r="T442" s="580"/>
      <c r="U442" s="580"/>
      <c r="V442" s="580"/>
      <c r="W442" s="580"/>
      <c r="X442" s="373"/>
    </row>
    <row r="443" spans="18:24" s="1" customFormat="1">
      <c r="R443" s="580"/>
      <c r="S443" s="580"/>
      <c r="T443" s="580"/>
      <c r="U443" s="580"/>
      <c r="V443" s="580"/>
      <c r="W443" s="580"/>
      <c r="X443" s="373"/>
    </row>
    <row r="444" spans="18:24" s="1" customFormat="1">
      <c r="R444" s="580"/>
      <c r="S444" s="580"/>
      <c r="T444" s="580"/>
      <c r="U444" s="580"/>
      <c r="V444" s="580"/>
      <c r="W444" s="580"/>
      <c r="X444" s="373"/>
    </row>
    <row r="445" spans="18:24" s="1" customFormat="1">
      <c r="R445" s="580"/>
      <c r="S445" s="580"/>
      <c r="T445" s="580"/>
      <c r="U445" s="580"/>
      <c r="V445" s="580"/>
      <c r="W445" s="580"/>
      <c r="X445" s="373"/>
    </row>
    <row r="446" spans="18:24" s="1" customFormat="1">
      <c r="R446" s="580"/>
      <c r="S446" s="580"/>
      <c r="T446" s="580"/>
      <c r="U446" s="580"/>
      <c r="V446" s="580"/>
      <c r="W446" s="580"/>
      <c r="X446" s="373"/>
    </row>
    <row r="447" spans="18:24" s="1" customFormat="1">
      <c r="R447" s="580"/>
      <c r="S447" s="580"/>
      <c r="T447" s="580"/>
      <c r="U447" s="580"/>
      <c r="V447" s="580"/>
      <c r="W447" s="580"/>
      <c r="X447" s="373"/>
    </row>
    <row r="448" spans="18:24" s="1" customFormat="1">
      <c r="R448" s="580"/>
      <c r="S448" s="580"/>
      <c r="T448" s="580"/>
      <c r="U448" s="580"/>
      <c r="V448" s="580"/>
      <c r="W448" s="580"/>
      <c r="X448" s="373"/>
    </row>
    <row r="449" spans="18:24" s="1" customFormat="1">
      <c r="R449" s="580"/>
      <c r="S449" s="580"/>
      <c r="T449" s="580"/>
      <c r="U449" s="580"/>
      <c r="V449" s="580"/>
      <c r="W449" s="580"/>
      <c r="X449" s="373"/>
    </row>
    <row r="450" spans="18:24" s="1" customFormat="1">
      <c r="R450" s="580"/>
      <c r="S450" s="580"/>
      <c r="T450" s="580"/>
      <c r="U450" s="580"/>
      <c r="V450" s="580"/>
      <c r="W450" s="580"/>
      <c r="X450" s="373"/>
    </row>
    <row r="451" spans="18:24" s="1" customFormat="1">
      <c r="R451" s="580"/>
      <c r="S451" s="580"/>
      <c r="T451" s="580"/>
      <c r="U451" s="580"/>
      <c r="V451" s="580"/>
      <c r="W451" s="580"/>
      <c r="X451" s="373"/>
    </row>
    <row r="452" spans="18:24" s="1" customFormat="1">
      <c r="R452" s="580"/>
      <c r="S452" s="580"/>
      <c r="T452" s="580"/>
      <c r="U452" s="580"/>
      <c r="V452" s="580"/>
      <c r="W452" s="580"/>
      <c r="X452" s="373"/>
    </row>
    <row r="453" spans="18:24" s="1" customFormat="1">
      <c r="R453" s="580"/>
      <c r="S453" s="580"/>
      <c r="T453" s="580"/>
      <c r="U453" s="580"/>
      <c r="V453" s="580"/>
      <c r="W453" s="580"/>
      <c r="X453" s="373"/>
    </row>
    <row r="454" spans="18:24" s="1" customFormat="1">
      <c r="R454" s="580"/>
      <c r="S454" s="580"/>
      <c r="T454" s="580"/>
      <c r="U454" s="580"/>
      <c r="V454" s="580"/>
      <c r="W454" s="580"/>
      <c r="X454" s="373"/>
    </row>
    <row r="455" spans="18:24" s="1" customFormat="1">
      <c r="R455" s="580"/>
      <c r="S455" s="580"/>
      <c r="T455" s="580"/>
      <c r="U455" s="580"/>
      <c r="V455" s="580"/>
      <c r="W455" s="580"/>
      <c r="X455" s="373"/>
    </row>
    <row r="456" spans="18:24" s="1" customFormat="1">
      <c r="R456" s="580"/>
      <c r="S456" s="580"/>
      <c r="T456" s="580"/>
      <c r="U456" s="580"/>
      <c r="V456" s="580"/>
      <c r="W456" s="580"/>
      <c r="X456" s="373"/>
    </row>
    <row r="457" spans="18:24" s="1" customFormat="1">
      <c r="R457" s="580"/>
      <c r="S457" s="580"/>
      <c r="T457" s="580"/>
      <c r="U457" s="580"/>
      <c r="V457" s="580"/>
      <c r="W457" s="580"/>
      <c r="X457" s="373"/>
    </row>
    <row r="458" spans="18:24" s="1" customFormat="1">
      <c r="R458" s="580"/>
      <c r="S458" s="580"/>
      <c r="T458" s="580"/>
      <c r="U458" s="580"/>
      <c r="V458" s="580"/>
      <c r="W458" s="580"/>
      <c r="X458" s="373"/>
    </row>
    <row r="459" spans="18:24" s="1" customFormat="1">
      <c r="R459" s="580"/>
      <c r="S459" s="580"/>
      <c r="T459" s="580"/>
      <c r="U459" s="580"/>
      <c r="V459" s="580"/>
      <c r="W459" s="580"/>
      <c r="X459" s="373"/>
    </row>
    <row r="460" spans="18:24" s="1" customFormat="1">
      <c r="R460" s="580"/>
      <c r="S460" s="580"/>
      <c r="T460" s="580"/>
      <c r="U460" s="580"/>
      <c r="V460" s="580"/>
      <c r="W460" s="580"/>
      <c r="X460" s="373"/>
    </row>
    <row r="461" spans="18:24" s="1" customFormat="1">
      <c r="R461" s="580"/>
      <c r="S461" s="580"/>
      <c r="T461" s="580"/>
      <c r="U461" s="580"/>
      <c r="V461" s="580"/>
      <c r="W461" s="580"/>
      <c r="X461" s="373"/>
    </row>
    <row r="462" spans="18:24" s="1" customFormat="1">
      <c r="R462" s="580"/>
      <c r="S462" s="580"/>
      <c r="T462" s="580"/>
      <c r="U462" s="580"/>
      <c r="V462" s="580"/>
      <c r="W462" s="580"/>
      <c r="X462" s="373"/>
    </row>
    <row r="463" spans="18:24" s="1" customFormat="1">
      <c r="R463" s="580"/>
      <c r="S463" s="580"/>
      <c r="T463" s="580"/>
      <c r="U463" s="580"/>
      <c r="V463" s="580"/>
      <c r="W463" s="580"/>
      <c r="X463" s="373"/>
    </row>
    <row r="464" spans="18:24" s="1" customFormat="1">
      <c r="R464" s="580"/>
      <c r="S464" s="580"/>
      <c r="T464" s="580"/>
      <c r="U464" s="580"/>
      <c r="V464" s="580"/>
      <c r="W464" s="580"/>
      <c r="X464" s="373"/>
    </row>
    <row r="465" spans="18:24" s="1" customFormat="1">
      <c r="R465" s="580"/>
      <c r="S465" s="580"/>
      <c r="T465" s="580"/>
      <c r="U465" s="580"/>
      <c r="V465" s="580"/>
      <c r="W465" s="580"/>
      <c r="X465" s="373"/>
    </row>
    <row r="466" spans="18:24" s="1" customFormat="1">
      <c r="R466" s="580"/>
      <c r="S466" s="580"/>
      <c r="T466" s="580"/>
      <c r="U466" s="580"/>
      <c r="V466" s="580"/>
      <c r="W466" s="580"/>
      <c r="X466" s="373"/>
    </row>
    <row r="467" spans="18:24" s="1" customFormat="1">
      <c r="R467" s="580"/>
      <c r="S467" s="580"/>
      <c r="T467" s="580"/>
      <c r="U467" s="580"/>
      <c r="V467" s="580"/>
      <c r="W467" s="580"/>
      <c r="X467" s="373"/>
    </row>
    <row r="468" spans="18:24" s="1" customFormat="1">
      <c r="R468" s="580"/>
      <c r="S468" s="580"/>
      <c r="T468" s="580"/>
      <c r="U468" s="580"/>
      <c r="V468" s="580"/>
      <c r="W468" s="580"/>
      <c r="X468" s="373"/>
    </row>
    <row r="469" spans="18:24" s="1" customFormat="1">
      <c r="R469" s="580"/>
      <c r="S469" s="580"/>
      <c r="T469" s="580"/>
      <c r="U469" s="580"/>
      <c r="V469" s="580"/>
      <c r="W469" s="580"/>
      <c r="X469" s="373"/>
    </row>
    <row r="470" spans="18:24" s="1" customFormat="1">
      <c r="R470" s="580"/>
      <c r="S470" s="580"/>
      <c r="T470" s="580"/>
      <c r="U470" s="580"/>
      <c r="V470" s="580"/>
      <c r="W470" s="580"/>
      <c r="X470" s="373"/>
    </row>
    <row r="471" spans="18:24" s="1" customFormat="1">
      <c r="R471" s="580"/>
      <c r="S471" s="580"/>
      <c r="T471" s="580"/>
      <c r="U471" s="580"/>
      <c r="V471" s="580"/>
      <c r="W471" s="580"/>
      <c r="X471" s="373"/>
    </row>
    <row r="472" spans="18:24" s="1" customFormat="1">
      <c r="R472" s="580"/>
      <c r="S472" s="580"/>
      <c r="T472" s="580"/>
      <c r="U472" s="580"/>
      <c r="V472" s="580"/>
      <c r="W472" s="580"/>
      <c r="X472" s="373"/>
    </row>
    <row r="473" spans="18:24" s="1" customFormat="1">
      <c r="R473" s="580"/>
      <c r="S473" s="580"/>
      <c r="T473" s="580"/>
      <c r="U473" s="580"/>
      <c r="V473" s="580"/>
      <c r="W473" s="580"/>
      <c r="X473" s="373"/>
    </row>
    <row r="474" spans="18:24" s="1" customFormat="1">
      <c r="R474" s="580"/>
      <c r="S474" s="580"/>
      <c r="T474" s="580"/>
      <c r="U474" s="580"/>
      <c r="V474" s="580"/>
      <c r="W474" s="580"/>
      <c r="X474" s="373"/>
    </row>
    <row r="475" spans="18:24" s="1" customFormat="1">
      <c r="R475" s="580"/>
      <c r="S475" s="580"/>
      <c r="T475" s="580"/>
      <c r="U475" s="580"/>
      <c r="V475" s="580"/>
      <c r="W475" s="580"/>
      <c r="X475" s="373"/>
    </row>
    <row r="476" spans="18:24" s="1" customFormat="1">
      <c r="R476" s="580"/>
      <c r="S476" s="580"/>
      <c r="T476" s="580"/>
      <c r="U476" s="580"/>
      <c r="V476" s="580"/>
      <c r="W476" s="580"/>
      <c r="X476" s="373"/>
    </row>
    <row r="477" spans="18:24" s="1" customFormat="1">
      <c r="R477" s="580"/>
      <c r="S477" s="580"/>
      <c r="T477" s="580"/>
      <c r="U477" s="580"/>
      <c r="V477" s="580"/>
      <c r="W477" s="580"/>
      <c r="X477" s="373"/>
    </row>
    <row r="478" spans="18:24" s="1" customFormat="1">
      <c r="R478" s="580"/>
      <c r="S478" s="580"/>
      <c r="T478" s="580"/>
      <c r="U478" s="580"/>
      <c r="V478" s="580"/>
      <c r="W478" s="580"/>
      <c r="X478" s="373"/>
    </row>
    <row r="479" spans="18:24" s="1" customFormat="1">
      <c r="R479" s="580"/>
      <c r="S479" s="580"/>
      <c r="T479" s="580"/>
      <c r="U479" s="580"/>
      <c r="V479" s="580"/>
      <c r="W479" s="580"/>
      <c r="X479" s="373"/>
    </row>
    <row r="480" spans="18:24" s="1" customFormat="1">
      <c r="R480" s="580"/>
      <c r="S480" s="580"/>
      <c r="T480" s="580"/>
      <c r="U480" s="580"/>
      <c r="V480" s="580"/>
      <c r="W480" s="580"/>
      <c r="X480" s="373"/>
    </row>
    <row r="481" spans="18:24" s="1" customFormat="1">
      <c r="R481" s="580"/>
      <c r="S481" s="580"/>
      <c r="T481" s="580"/>
      <c r="U481" s="580"/>
      <c r="V481" s="580"/>
      <c r="W481" s="580"/>
      <c r="X481" s="373"/>
    </row>
    <row r="482" spans="18:24" s="1" customFormat="1">
      <c r="R482" s="580"/>
      <c r="S482" s="580"/>
      <c r="T482" s="580"/>
      <c r="U482" s="580"/>
      <c r="V482" s="580"/>
      <c r="W482" s="580"/>
      <c r="X482" s="373"/>
    </row>
    <row r="483" spans="18:24" s="1" customFormat="1">
      <c r="R483" s="580"/>
      <c r="S483" s="580"/>
      <c r="T483" s="580"/>
      <c r="U483" s="580"/>
      <c r="V483" s="580"/>
      <c r="W483" s="580"/>
      <c r="X483" s="373"/>
    </row>
    <row r="484" spans="18:24" s="1" customFormat="1">
      <c r="R484" s="580"/>
      <c r="S484" s="580"/>
      <c r="T484" s="580"/>
      <c r="U484" s="580"/>
      <c r="V484" s="580"/>
      <c r="W484" s="580"/>
      <c r="X484" s="373"/>
    </row>
    <row r="485" spans="18:24" s="1" customFormat="1">
      <c r="R485" s="580"/>
      <c r="S485" s="580"/>
      <c r="T485" s="580"/>
      <c r="U485" s="580"/>
      <c r="V485" s="580"/>
      <c r="W485" s="580"/>
      <c r="X485" s="373"/>
    </row>
    <row r="486" spans="18:24" s="1" customFormat="1">
      <c r="R486" s="580"/>
      <c r="S486" s="580"/>
      <c r="T486" s="580"/>
      <c r="U486" s="580"/>
      <c r="V486" s="580"/>
      <c r="W486" s="580"/>
      <c r="X486" s="373"/>
    </row>
    <row r="487" spans="18:24" s="1" customFormat="1">
      <c r="R487" s="580"/>
      <c r="S487" s="580"/>
      <c r="T487" s="580"/>
      <c r="U487" s="580"/>
      <c r="V487" s="580"/>
      <c r="W487" s="580"/>
      <c r="X487" s="373"/>
    </row>
    <row r="488" spans="18:24" s="1" customFormat="1">
      <c r="R488" s="580"/>
      <c r="S488" s="580"/>
      <c r="T488" s="580"/>
      <c r="U488" s="580"/>
      <c r="V488" s="580"/>
      <c r="W488" s="580"/>
      <c r="X488" s="373"/>
    </row>
    <row r="489" spans="18:24" s="1" customFormat="1">
      <c r="R489" s="580"/>
      <c r="S489" s="580"/>
      <c r="T489" s="580"/>
      <c r="U489" s="580"/>
      <c r="V489" s="580"/>
      <c r="W489" s="580"/>
      <c r="X489" s="373"/>
    </row>
    <row r="490" spans="18:24" s="1" customFormat="1">
      <c r="R490" s="580"/>
      <c r="S490" s="580"/>
      <c r="T490" s="580"/>
      <c r="U490" s="580"/>
      <c r="V490" s="580"/>
      <c r="W490" s="580"/>
      <c r="X490" s="373"/>
    </row>
    <row r="491" spans="18:24" s="1" customFormat="1">
      <c r="R491" s="580"/>
      <c r="S491" s="580"/>
      <c r="T491" s="580"/>
      <c r="U491" s="580"/>
      <c r="V491" s="580"/>
      <c r="W491" s="580"/>
      <c r="X491" s="373"/>
    </row>
    <row r="492" spans="18:24" s="1" customFormat="1">
      <c r="R492" s="580"/>
      <c r="S492" s="580"/>
      <c r="T492" s="580"/>
      <c r="U492" s="580"/>
      <c r="V492" s="580"/>
      <c r="W492" s="580"/>
      <c r="X492" s="373"/>
    </row>
    <row r="493" spans="18:24" s="1" customFormat="1">
      <c r="R493" s="580"/>
      <c r="S493" s="580"/>
      <c r="T493" s="580"/>
      <c r="U493" s="580"/>
      <c r="V493" s="580"/>
      <c r="W493" s="580"/>
      <c r="X493" s="373"/>
    </row>
    <row r="494" spans="18:24" s="1" customFormat="1">
      <c r="R494" s="580"/>
      <c r="S494" s="580"/>
      <c r="T494" s="580"/>
      <c r="U494" s="580"/>
      <c r="V494" s="580"/>
      <c r="W494" s="580"/>
      <c r="X494" s="373"/>
    </row>
    <row r="495" spans="18:24" s="1" customFormat="1">
      <c r="R495" s="580"/>
      <c r="S495" s="580"/>
      <c r="T495" s="580"/>
      <c r="U495" s="580"/>
      <c r="V495" s="580"/>
      <c r="W495" s="580"/>
      <c r="X495" s="373"/>
    </row>
    <row r="496" spans="18:24" s="1" customFormat="1">
      <c r="R496" s="580"/>
      <c r="S496" s="580"/>
      <c r="T496" s="580"/>
      <c r="U496" s="580"/>
      <c r="V496" s="580"/>
      <c r="W496" s="580"/>
      <c r="X496" s="373"/>
    </row>
    <row r="497" spans="18:24" s="1" customFormat="1">
      <c r="R497" s="580"/>
      <c r="S497" s="580"/>
      <c r="T497" s="580"/>
      <c r="U497" s="580"/>
      <c r="V497" s="580"/>
      <c r="W497" s="580"/>
      <c r="X497" s="373"/>
    </row>
    <row r="498" spans="18:24" s="1" customFormat="1">
      <c r="R498" s="580"/>
      <c r="S498" s="580"/>
      <c r="T498" s="580"/>
      <c r="U498" s="580"/>
      <c r="V498" s="580"/>
      <c r="W498" s="580"/>
      <c r="X498" s="373"/>
    </row>
    <row r="499" spans="18:24" s="1" customFormat="1">
      <c r="R499" s="580"/>
      <c r="S499" s="580"/>
      <c r="T499" s="580"/>
      <c r="U499" s="580"/>
      <c r="V499" s="580"/>
      <c r="W499" s="580"/>
      <c r="X499" s="373"/>
    </row>
    <row r="500" spans="18:24" s="1" customFormat="1">
      <c r="R500" s="580"/>
      <c r="S500" s="580"/>
      <c r="T500" s="580"/>
      <c r="U500" s="580"/>
      <c r="V500" s="580"/>
      <c r="W500" s="580"/>
      <c r="X500" s="373"/>
    </row>
    <row r="501" spans="18:24" s="1" customFormat="1">
      <c r="R501" s="580"/>
      <c r="S501" s="580"/>
      <c r="T501" s="580"/>
      <c r="U501" s="580"/>
      <c r="V501" s="580"/>
      <c r="W501" s="580"/>
      <c r="X501" s="373"/>
    </row>
    <row r="502" spans="18:24" s="1" customFormat="1">
      <c r="R502" s="580"/>
      <c r="S502" s="580"/>
      <c r="T502" s="580"/>
      <c r="U502" s="580"/>
      <c r="V502" s="580"/>
      <c r="W502" s="580"/>
      <c r="X502" s="373"/>
    </row>
    <row r="503" spans="18:24" s="1" customFormat="1">
      <c r="R503" s="580"/>
      <c r="S503" s="580"/>
      <c r="T503" s="580"/>
      <c r="U503" s="580"/>
      <c r="V503" s="580"/>
      <c r="W503" s="580"/>
      <c r="X503" s="373"/>
    </row>
    <row r="504" spans="18:24" s="1" customFormat="1">
      <c r="R504" s="580"/>
      <c r="S504" s="580"/>
      <c r="T504" s="580"/>
      <c r="U504" s="580"/>
      <c r="V504" s="580"/>
      <c r="W504" s="580"/>
      <c r="X504" s="373"/>
    </row>
    <row r="505" spans="18:24" s="1" customFormat="1">
      <c r="R505" s="580"/>
      <c r="S505" s="580"/>
      <c r="T505" s="580"/>
      <c r="U505" s="580"/>
      <c r="V505" s="580"/>
      <c r="W505" s="580"/>
      <c r="X505" s="373"/>
    </row>
    <row r="506" spans="18:24" s="1" customFormat="1">
      <c r="R506" s="580"/>
      <c r="S506" s="580"/>
      <c r="T506" s="580"/>
      <c r="U506" s="580"/>
      <c r="V506" s="580"/>
      <c r="W506" s="580"/>
      <c r="X506" s="373"/>
    </row>
    <row r="507" spans="18:24" s="1" customFormat="1">
      <c r="R507" s="580"/>
      <c r="S507" s="580"/>
      <c r="T507" s="580"/>
      <c r="U507" s="580"/>
      <c r="V507" s="580"/>
      <c r="W507" s="580"/>
      <c r="X507" s="373"/>
    </row>
    <row r="508" spans="18:24" s="1" customFormat="1">
      <c r="R508" s="580"/>
      <c r="S508" s="580"/>
      <c r="T508" s="580"/>
      <c r="U508" s="580"/>
      <c r="V508" s="580"/>
      <c r="W508" s="580"/>
      <c r="X508" s="373"/>
    </row>
    <row r="509" spans="18:24" s="1" customFormat="1">
      <c r="R509" s="580"/>
      <c r="S509" s="580"/>
      <c r="T509" s="580"/>
      <c r="U509" s="580"/>
      <c r="V509" s="580"/>
      <c r="W509" s="580"/>
      <c r="X509" s="373"/>
    </row>
    <row r="510" spans="18:24" s="1" customFormat="1">
      <c r="R510" s="580"/>
      <c r="S510" s="580"/>
      <c r="T510" s="580"/>
      <c r="U510" s="580"/>
      <c r="V510" s="580"/>
      <c r="W510" s="580"/>
      <c r="X510" s="373"/>
    </row>
    <row r="511" spans="18:24" s="1" customFormat="1">
      <c r="R511" s="580"/>
      <c r="S511" s="580"/>
      <c r="T511" s="580"/>
      <c r="U511" s="580"/>
      <c r="V511" s="580"/>
      <c r="W511" s="580"/>
      <c r="X511" s="373"/>
    </row>
    <row r="512" spans="18:24" s="1" customFormat="1">
      <c r="R512" s="580"/>
      <c r="S512" s="580"/>
      <c r="T512" s="580"/>
      <c r="U512" s="580"/>
      <c r="V512" s="580"/>
      <c r="W512" s="580"/>
      <c r="X512" s="373"/>
    </row>
    <row r="513" spans="18:24" s="1" customFormat="1">
      <c r="R513" s="580"/>
      <c r="S513" s="580"/>
      <c r="T513" s="580"/>
      <c r="U513" s="580"/>
      <c r="V513" s="580"/>
      <c r="W513" s="580"/>
      <c r="X513" s="373"/>
    </row>
    <row r="514" spans="18:24" s="1" customFormat="1">
      <c r="R514" s="580"/>
      <c r="S514" s="580"/>
      <c r="T514" s="580"/>
      <c r="U514" s="580"/>
      <c r="V514" s="580"/>
      <c r="W514" s="580"/>
      <c r="X514" s="373"/>
    </row>
    <row r="515" spans="18:24" s="1" customFormat="1">
      <c r="R515" s="580"/>
      <c r="S515" s="580"/>
      <c r="T515" s="580"/>
      <c r="U515" s="580"/>
      <c r="V515" s="580"/>
      <c r="W515" s="580"/>
      <c r="X515" s="373"/>
    </row>
    <row r="516" spans="18:24" s="1" customFormat="1">
      <c r="R516" s="580"/>
      <c r="S516" s="580"/>
      <c r="T516" s="580"/>
      <c r="U516" s="580"/>
      <c r="V516" s="580"/>
      <c r="W516" s="580"/>
      <c r="X516" s="373"/>
    </row>
    <row r="517" spans="18:24" s="1" customFormat="1">
      <c r="R517" s="580"/>
      <c r="S517" s="580"/>
      <c r="T517" s="580"/>
      <c r="U517" s="580"/>
      <c r="V517" s="580"/>
      <c r="W517" s="580"/>
      <c r="X517" s="373"/>
    </row>
    <row r="518" spans="18:24" s="1" customFormat="1">
      <c r="R518" s="580"/>
      <c r="S518" s="580"/>
      <c r="T518" s="580"/>
      <c r="U518" s="580"/>
      <c r="V518" s="580"/>
      <c r="W518" s="580"/>
      <c r="X518" s="373"/>
    </row>
    <row r="519" spans="18:24" s="1" customFormat="1">
      <c r="R519" s="580"/>
      <c r="S519" s="580"/>
      <c r="T519" s="580"/>
      <c r="U519" s="580"/>
      <c r="V519" s="580"/>
      <c r="W519" s="580"/>
      <c r="X519" s="373"/>
    </row>
    <row r="520" spans="18:24" s="1" customFormat="1">
      <c r="R520" s="580"/>
      <c r="S520" s="580"/>
      <c r="T520" s="580"/>
      <c r="U520" s="580"/>
      <c r="V520" s="580"/>
      <c r="W520" s="580"/>
      <c r="X520" s="373"/>
    </row>
    <row r="521" spans="18:24" s="1" customFormat="1">
      <c r="R521" s="580"/>
      <c r="S521" s="580"/>
      <c r="T521" s="580"/>
      <c r="U521" s="580"/>
      <c r="V521" s="580"/>
      <c r="W521" s="580"/>
      <c r="X521" s="373"/>
    </row>
    <row r="522" spans="18:24" s="1" customFormat="1">
      <c r="R522" s="580"/>
      <c r="S522" s="580"/>
      <c r="T522" s="580"/>
      <c r="U522" s="580"/>
      <c r="V522" s="580"/>
      <c r="W522" s="580"/>
      <c r="X522" s="373"/>
    </row>
    <row r="523" spans="18:24" s="1" customFormat="1">
      <c r="R523" s="580"/>
      <c r="S523" s="580"/>
      <c r="T523" s="580"/>
      <c r="U523" s="580"/>
      <c r="V523" s="580"/>
      <c r="W523" s="580"/>
      <c r="X523" s="373"/>
    </row>
    <row r="524" spans="18:24" s="1" customFormat="1">
      <c r="R524" s="580"/>
      <c r="S524" s="580"/>
      <c r="T524" s="580"/>
      <c r="U524" s="580"/>
      <c r="V524" s="580"/>
      <c r="W524" s="580"/>
      <c r="X524" s="373"/>
    </row>
    <row r="525" spans="18:24" s="1" customFormat="1">
      <c r="R525" s="580"/>
      <c r="S525" s="580"/>
      <c r="T525" s="580"/>
      <c r="U525" s="580"/>
      <c r="V525" s="580"/>
      <c r="W525" s="580"/>
      <c r="X525" s="373"/>
    </row>
    <row r="526" spans="18:24" s="1" customFormat="1">
      <c r="R526" s="580"/>
      <c r="S526" s="580"/>
      <c r="T526" s="580"/>
      <c r="U526" s="580"/>
      <c r="V526" s="580"/>
      <c r="W526" s="580"/>
      <c r="X526" s="373"/>
    </row>
    <row r="527" spans="18:24" s="1" customFormat="1">
      <c r="R527" s="580"/>
      <c r="S527" s="580"/>
      <c r="T527" s="580"/>
      <c r="U527" s="580"/>
      <c r="V527" s="580"/>
      <c r="W527" s="580"/>
      <c r="X527" s="373"/>
    </row>
    <row r="528" spans="18:24" s="1" customFormat="1">
      <c r="R528" s="580"/>
      <c r="S528" s="580"/>
      <c r="T528" s="580"/>
      <c r="U528" s="580"/>
      <c r="V528" s="580"/>
      <c r="W528" s="580"/>
      <c r="X528" s="373"/>
    </row>
    <row r="529" spans="18:24" s="1" customFormat="1">
      <c r="R529" s="580"/>
      <c r="S529" s="580"/>
      <c r="T529" s="580"/>
      <c r="U529" s="580"/>
      <c r="V529" s="580"/>
      <c r="W529" s="580"/>
      <c r="X529" s="373"/>
    </row>
    <row r="530" spans="18:24" s="1" customFormat="1">
      <c r="R530" s="580"/>
      <c r="S530" s="580"/>
      <c r="T530" s="580"/>
      <c r="U530" s="580"/>
      <c r="V530" s="580"/>
      <c r="W530" s="580"/>
      <c r="X530" s="373"/>
    </row>
    <row r="531" spans="18:24" s="1" customFormat="1">
      <c r="R531" s="580"/>
      <c r="S531" s="580"/>
      <c r="T531" s="580"/>
      <c r="U531" s="580"/>
      <c r="V531" s="580"/>
      <c r="W531" s="580"/>
      <c r="X531" s="373"/>
    </row>
    <row r="532" spans="18:24" s="1" customFormat="1">
      <c r="R532" s="580"/>
      <c r="S532" s="580"/>
      <c r="T532" s="580"/>
      <c r="U532" s="580"/>
      <c r="V532" s="580"/>
      <c r="W532" s="580"/>
      <c r="X532" s="373"/>
    </row>
    <row r="533" spans="18:24" s="1" customFormat="1">
      <c r="R533" s="580"/>
      <c r="S533" s="580"/>
      <c r="T533" s="580"/>
      <c r="U533" s="580"/>
      <c r="V533" s="580"/>
      <c r="W533" s="580"/>
      <c r="X533" s="373"/>
    </row>
    <row r="534" spans="18:24" s="1" customFormat="1">
      <c r="R534" s="580"/>
      <c r="S534" s="580"/>
      <c r="T534" s="580"/>
      <c r="U534" s="580"/>
      <c r="V534" s="580"/>
      <c r="W534" s="580"/>
      <c r="X534" s="373"/>
    </row>
    <row r="535" spans="18:24" s="1" customFormat="1">
      <c r="R535" s="580"/>
      <c r="S535" s="580"/>
      <c r="T535" s="580"/>
      <c r="U535" s="580"/>
      <c r="V535" s="580"/>
      <c r="W535" s="580"/>
      <c r="X535" s="373"/>
    </row>
    <row r="536" spans="18:24" s="1" customFormat="1">
      <c r="R536" s="580"/>
      <c r="S536" s="580"/>
      <c r="T536" s="580"/>
      <c r="U536" s="580"/>
      <c r="V536" s="580"/>
      <c r="W536" s="580"/>
      <c r="X536" s="373"/>
    </row>
    <row r="537" spans="18:24" s="1" customFormat="1">
      <c r="R537" s="580"/>
      <c r="S537" s="580"/>
      <c r="T537" s="580"/>
      <c r="U537" s="580"/>
      <c r="V537" s="580"/>
      <c r="W537" s="580"/>
      <c r="X537" s="373"/>
    </row>
    <row r="538" spans="18:24" s="1" customFormat="1">
      <c r="R538" s="580"/>
      <c r="S538" s="580"/>
      <c r="T538" s="580"/>
      <c r="U538" s="580"/>
      <c r="V538" s="580"/>
      <c r="W538" s="580"/>
      <c r="X538" s="373"/>
    </row>
    <row r="539" spans="18:24" s="1" customFormat="1">
      <c r="R539" s="580"/>
      <c r="S539" s="580"/>
      <c r="T539" s="580"/>
      <c r="U539" s="580"/>
      <c r="V539" s="580"/>
      <c r="W539" s="580"/>
      <c r="X539" s="373"/>
    </row>
    <row r="540" spans="18:24" s="1" customFormat="1">
      <c r="R540" s="580"/>
      <c r="S540" s="580"/>
      <c r="T540" s="580"/>
      <c r="U540" s="580"/>
      <c r="V540" s="580"/>
      <c r="W540" s="580"/>
      <c r="X540" s="373"/>
    </row>
    <row r="541" spans="18:24" s="1" customFormat="1">
      <c r="R541" s="580"/>
      <c r="S541" s="580"/>
      <c r="T541" s="580"/>
      <c r="U541" s="580"/>
      <c r="V541" s="580"/>
      <c r="W541" s="580"/>
      <c r="X541" s="373"/>
    </row>
    <row r="542" spans="18:24" s="1" customFormat="1">
      <c r="R542" s="580"/>
      <c r="S542" s="580"/>
      <c r="T542" s="580"/>
      <c r="U542" s="580"/>
      <c r="V542" s="580"/>
      <c r="W542" s="580"/>
      <c r="X542" s="373"/>
    </row>
    <row r="543" spans="18:24" s="1" customFormat="1">
      <c r="R543" s="580"/>
      <c r="S543" s="580"/>
      <c r="T543" s="580"/>
      <c r="U543" s="580"/>
      <c r="V543" s="580"/>
      <c r="W543" s="580"/>
      <c r="X543" s="373"/>
    </row>
    <row r="544" spans="18:24" s="1" customFormat="1">
      <c r="R544" s="580"/>
      <c r="S544" s="580"/>
      <c r="T544" s="580"/>
      <c r="U544" s="580"/>
      <c r="V544" s="580"/>
      <c r="W544" s="580"/>
      <c r="X544" s="373"/>
    </row>
    <row r="545" spans="18:24" s="1" customFormat="1">
      <c r="R545" s="580"/>
      <c r="S545" s="580"/>
      <c r="T545" s="580"/>
      <c r="U545" s="580"/>
      <c r="V545" s="580"/>
      <c r="W545" s="580"/>
      <c r="X545" s="373"/>
    </row>
    <row r="546" spans="18:24" s="1" customFormat="1">
      <c r="R546" s="580"/>
      <c r="S546" s="580"/>
      <c r="T546" s="580"/>
      <c r="U546" s="580"/>
      <c r="V546" s="580"/>
      <c r="W546" s="580"/>
      <c r="X546" s="373"/>
    </row>
    <row r="547" spans="18:24" s="1" customFormat="1">
      <c r="R547" s="580"/>
      <c r="S547" s="580"/>
      <c r="T547" s="580"/>
      <c r="U547" s="580"/>
      <c r="V547" s="580"/>
      <c r="W547" s="580"/>
      <c r="X547" s="373"/>
    </row>
    <row r="548" spans="18:24" s="1" customFormat="1">
      <c r="R548" s="580"/>
      <c r="S548" s="580"/>
      <c r="T548" s="580"/>
      <c r="U548" s="580"/>
      <c r="V548" s="580"/>
      <c r="W548" s="580"/>
      <c r="X548" s="373"/>
    </row>
    <row r="549" spans="18:24" s="1" customFormat="1">
      <c r="R549" s="580"/>
      <c r="S549" s="580"/>
      <c r="T549" s="580"/>
      <c r="U549" s="580"/>
      <c r="V549" s="580"/>
      <c r="W549" s="580"/>
      <c r="X549" s="373"/>
    </row>
    <row r="550" spans="18:24" s="1" customFormat="1">
      <c r="R550" s="580"/>
      <c r="S550" s="580"/>
      <c r="T550" s="580"/>
      <c r="U550" s="580"/>
      <c r="V550" s="580"/>
      <c r="W550" s="580"/>
      <c r="X550" s="373"/>
    </row>
    <row r="551" spans="18:24" s="1" customFormat="1">
      <c r="R551" s="580"/>
      <c r="S551" s="580"/>
      <c r="T551" s="580"/>
      <c r="U551" s="580"/>
      <c r="V551" s="580"/>
      <c r="W551" s="580"/>
      <c r="X551" s="373"/>
    </row>
    <row r="552" spans="18:24" s="1" customFormat="1">
      <c r="R552" s="580"/>
      <c r="S552" s="580"/>
      <c r="T552" s="580"/>
      <c r="U552" s="580"/>
      <c r="V552" s="580"/>
      <c r="W552" s="580"/>
      <c r="X552" s="373"/>
    </row>
    <row r="553" spans="18:24" s="1" customFormat="1">
      <c r="R553" s="580"/>
      <c r="S553" s="580"/>
      <c r="T553" s="580"/>
      <c r="U553" s="580"/>
      <c r="V553" s="580"/>
      <c r="W553" s="580"/>
      <c r="X553" s="373"/>
    </row>
    <row r="554" spans="18:24" s="1" customFormat="1">
      <c r="R554" s="580"/>
      <c r="S554" s="580"/>
      <c r="T554" s="580"/>
      <c r="U554" s="580"/>
      <c r="V554" s="580"/>
      <c r="W554" s="580"/>
      <c r="X554" s="373"/>
    </row>
    <row r="555" spans="18:24" s="1" customFormat="1">
      <c r="R555" s="580"/>
      <c r="S555" s="580"/>
      <c r="T555" s="580"/>
      <c r="U555" s="580"/>
      <c r="V555" s="580"/>
      <c r="W555" s="580"/>
      <c r="X555" s="373"/>
    </row>
    <row r="556" spans="18:24" s="1" customFormat="1">
      <c r="R556" s="580"/>
      <c r="S556" s="580"/>
      <c r="T556" s="580"/>
      <c r="U556" s="580"/>
      <c r="V556" s="580"/>
      <c r="W556" s="580"/>
      <c r="X556" s="373"/>
    </row>
    <row r="557" spans="18:24" s="1" customFormat="1">
      <c r="R557" s="580"/>
      <c r="S557" s="580"/>
      <c r="T557" s="580"/>
      <c r="U557" s="580"/>
      <c r="V557" s="580"/>
      <c r="W557" s="580"/>
      <c r="X557" s="373"/>
    </row>
    <row r="558" spans="18:24" s="1" customFormat="1">
      <c r="R558" s="580"/>
      <c r="S558" s="580"/>
      <c r="T558" s="580"/>
      <c r="U558" s="580"/>
      <c r="V558" s="580"/>
      <c r="W558" s="580"/>
      <c r="X558" s="373"/>
    </row>
    <row r="559" spans="18:24" s="1" customFormat="1">
      <c r="R559" s="580"/>
      <c r="S559" s="580"/>
      <c r="T559" s="580"/>
      <c r="U559" s="580"/>
      <c r="V559" s="580"/>
      <c r="W559" s="580"/>
      <c r="X559" s="373"/>
    </row>
    <row r="560" spans="18:24" s="1" customFormat="1">
      <c r="R560" s="580"/>
      <c r="S560" s="580"/>
      <c r="T560" s="580"/>
      <c r="U560" s="580"/>
      <c r="V560" s="580"/>
      <c r="W560" s="580"/>
      <c r="X560" s="373"/>
    </row>
    <row r="561" spans="18:24" s="1" customFormat="1">
      <c r="R561" s="580"/>
      <c r="S561" s="580"/>
      <c r="T561" s="580"/>
      <c r="U561" s="580"/>
      <c r="V561" s="580"/>
      <c r="W561" s="580"/>
      <c r="X561" s="373"/>
    </row>
    <row r="562" spans="18:24" s="1" customFormat="1">
      <c r="R562" s="580"/>
      <c r="S562" s="580"/>
      <c r="T562" s="580"/>
      <c r="U562" s="580"/>
      <c r="V562" s="580"/>
      <c r="W562" s="580"/>
      <c r="X562" s="373"/>
    </row>
    <row r="563" spans="18:24" s="1" customFormat="1">
      <c r="R563" s="580"/>
      <c r="S563" s="580"/>
      <c r="T563" s="580"/>
      <c r="U563" s="580"/>
      <c r="V563" s="580"/>
      <c r="W563" s="580"/>
      <c r="X563" s="373"/>
    </row>
    <row r="564" spans="18:24" s="1" customFormat="1">
      <c r="R564" s="580"/>
      <c r="S564" s="580"/>
      <c r="T564" s="580"/>
      <c r="U564" s="580"/>
      <c r="V564" s="580"/>
      <c r="W564" s="580"/>
      <c r="X564" s="373"/>
    </row>
    <row r="565" spans="18:24" s="1" customFormat="1">
      <c r="R565" s="580"/>
      <c r="S565" s="580"/>
      <c r="T565" s="580"/>
      <c r="U565" s="580"/>
      <c r="V565" s="580"/>
      <c r="W565" s="580"/>
      <c r="X565" s="373"/>
    </row>
    <row r="566" spans="18:24" s="1" customFormat="1">
      <c r="R566" s="580"/>
      <c r="S566" s="580"/>
      <c r="T566" s="580"/>
      <c r="U566" s="580"/>
      <c r="V566" s="580"/>
      <c r="W566" s="580"/>
      <c r="X566" s="373"/>
    </row>
    <row r="567" spans="18:24" s="1" customFormat="1">
      <c r="R567" s="580"/>
      <c r="S567" s="580"/>
      <c r="T567" s="580"/>
      <c r="U567" s="580"/>
      <c r="V567" s="580"/>
      <c r="W567" s="580"/>
      <c r="X567" s="373"/>
    </row>
    <row r="568" spans="18:24" s="1" customFormat="1">
      <c r="R568" s="580"/>
      <c r="S568" s="580"/>
      <c r="T568" s="580"/>
      <c r="U568" s="580"/>
      <c r="V568" s="580"/>
      <c r="W568" s="580"/>
      <c r="X568" s="373"/>
    </row>
    <row r="569" spans="18:24" s="1" customFormat="1">
      <c r="R569" s="580"/>
      <c r="S569" s="580"/>
      <c r="T569" s="580"/>
      <c r="U569" s="580"/>
      <c r="V569" s="580"/>
      <c r="W569" s="580"/>
      <c r="X569" s="373"/>
    </row>
    <row r="570" spans="18:24" s="1" customFormat="1">
      <c r="R570" s="580"/>
      <c r="S570" s="580"/>
      <c r="T570" s="580"/>
      <c r="U570" s="580"/>
      <c r="V570" s="580"/>
      <c r="W570" s="580"/>
      <c r="X570" s="373"/>
    </row>
    <row r="571" spans="18:24" s="1" customFormat="1">
      <c r="R571" s="580"/>
      <c r="S571" s="580"/>
      <c r="T571" s="580"/>
      <c r="U571" s="580"/>
      <c r="V571" s="580"/>
      <c r="W571" s="580"/>
      <c r="X571" s="373"/>
    </row>
    <row r="572" spans="18:24" s="1" customFormat="1">
      <c r="R572" s="580"/>
      <c r="S572" s="580"/>
      <c r="T572" s="580"/>
      <c r="U572" s="580"/>
      <c r="V572" s="580"/>
      <c r="W572" s="580"/>
      <c r="X572" s="373"/>
    </row>
    <row r="573" spans="18:24" s="1" customFormat="1">
      <c r="R573" s="580"/>
      <c r="S573" s="580"/>
      <c r="T573" s="580"/>
      <c r="U573" s="580"/>
      <c r="V573" s="580"/>
      <c r="W573" s="580"/>
      <c r="X573" s="373"/>
    </row>
    <row r="574" spans="18:24" s="1" customFormat="1">
      <c r="R574" s="580"/>
      <c r="S574" s="580"/>
      <c r="T574" s="580"/>
      <c r="U574" s="580"/>
      <c r="V574" s="580"/>
      <c r="W574" s="580"/>
      <c r="X574" s="373"/>
    </row>
    <row r="575" spans="18:24" s="1" customFormat="1">
      <c r="R575" s="580"/>
      <c r="S575" s="580"/>
      <c r="T575" s="580"/>
      <c r="U575" s="580"/>
      <c r="V575" s="580"/>
      <c r="W575" s="580"/>
      <c r="X575" s="373"/>
    </row>
    <row r="576" spans="18:24" s="1" customFormat="1">
      <c r="R576" s="580"/>
      <c r="S576" s="580"/>
      <c r="T576" s="580"/>
      <c r="U576" s="580"/>
      <c r="V576" s="580"/>
      <c r="W576" s="580"/>
      <c r="X576" s="373"/>
    </row>
    <row r="577" spans="18:24" s="1" customFormat="1">
      <c r="R577" s="580"/>
      <c r="S577" s="580"/>
      <c r="T577" s="580"/>
      <c r="U577" s="580"/>
      <c r="V577" s="580"/>
      <c r="W577" s="580"/>
      <c r="X577" s="373"/>
    </row>
    <row r="578" spans="18:24" s="1" customFormat="1">
      <c r="R578" s="580"/>
      <c r="S578" s="580"/>
      <c r="T578" s="580"/>
      <c r="U578" s="580"/>
      <c r="V578" s="580"/>
      <c r="W578" s="580"/>
      <c r="X578" s="373"/>
    </row>
    <row r="579" spans="18:24" s="1" customFormat="1">
      <c r="R579" s="580"/>
      <c r="S579" s="580"/>
      <c r="T579" s="580"/>
      <c r="U579" s="580"/>
      <c r="V579" s="580"/>
      <c r="W579" s="580"/>
      <c r="X579" s="373"/>
    </row>
    <row r="580" spans="18:24" s="1" customFormat="1">
      <c r="R580" s="580"/>
      <c r="S580" s="580"/>
      <c r="T580" s="580"/>
      <c r="U580" s="580"/>
      <c r="V580" s="580"/>
      <c r="W580" s="580"/>
      <c r="X580" s="373"/>
    </row>
    <row r="581" spans="18:24" s="1" customFormat="1">
      <c r="R581" s="580"/>
      <c r="S581" s="580"/>
      <c r="T581" s="580"/>
      <c r="U581" s="580"/>
      <c r="V581" s="580"/>
      <c r="W581" s="580"/>
      <c r="X581" s="373"/>
    </row>
    <row r="582" spans="18:24" s="1" customFormat="1">
      <c r="R582" s="580"/>
      <c r="S582" s="580"/>
      <c r="T582" s="580"/>
      <c r="U582" s="580"/>
      <c r="V582" s="580"/>
      <c r="W582" s="580"/>
      <c r="X582" s="373"/>
    </row>
    <row r="583" spans="18:24" s="1" customFormat="1">
      <c r="R583" s="580"/>
      <c r="S583" s="580"/>
      <c r="T583" s="580"/>
      <c r="U583" s="580"/>
      <c r="V583" s="580"/>
      <c r="W583" s="580"/>
      <c r="X583" s="373"/>
    </row>
    <row r="584" spans="18:24" s="1" customFormat="1">
      <c r="R584" s="580"/>
      <c r="S584" s="580"/>
      <c r="T584" s="580"/>
      <c r="U584" s="580"/>
      <c r="V584" s="580"/>
      <c r="W584" s="580"/>
      <c r="X584" s="373"/>
    </row>
    <row r="585" spans="18:24" s="1" customFormat="1">
      <c r="R585" s="580"/>
      <c r="S585" s="580"/>
      <c r="T585" s="580"/>
      <c r="U585" s="580"/>
      <c r="V585" s="580"/>
      <c r="W585" s="580"/>
      <c r="X585" s="373"/>
    </row>
    <row r="586" spans="18:24" s="1" customFormat="1">
      <c r="R586" s="580"/>
      <c r="S586" s="580"/>
      <c r="T586" s="580"/>
      <c r="U586" s="580"/>
      <c r="V586" s="580"/>
      <c r="W586" s="580"/>
      <c r="X586" s="373"/>
    </row>
    <row r="587" spans="18:24" s="1" customFormat="1">
      <c r="R587" s="580"/>
      <c r="S587" s="580"/>
      <c r="T587" s="580"/>
      <c r="U587" s="580"/>
      <c r="V587" s="580"/>
      <c r="W587" s="580"/>
      <c r="X587" s="373"/>
    </row>
    <row r="588" spans="18:24" s="1" customFormat="1">
      <c r="R588" s="580"/>
      <c r="S588" s="580"/>
      <c r="T588" s="580"/>
      <c r="U588" s="580"/>
      <c r="V588" s="580"/>
      <c r="W588" s="580"/>
      <c r="X588" s="373"/>
    </row>
    <row r="589" spans="18:24" s="1" customFormat="1">
      <c r="R589" s="580"/>
      <c r="S589" s="580"/>
      <c r="T589" s="580"/>
      <c r="U589" s="580"/>
      <c r="V589" s="580"/>
      <c r="W589" s="580"/>
      <c r="X589" s="373"/>
    </row>
    <row r="590" spans="18:24" s="1" customFormat="1">
      <c r="R590" s="580"/>
      <c r="S590" s="580"/>
      <c r="T590" s="580"/>
      <c r="U590" s="580"/>
      <c r="V590" s="580"/>
      <c r="W590" s="580"/>
      <c r="X590" s="373"/>
    </row>
    <row r="591" spans="18:24" s="1" customFormat="1">
      <c r="R591" s="580"/>
      <c r="S591" s="580"/>
      <c r="T591" s="580"/>
      <c r="U591" s="580"/>
      <c r="V591" s="580"/>
      <c r="W591" s="580"/>
      <c r="X591" s="373"/>
    </row>
    <row r="592" spans="18:24" s="1" customFormat="1">
      <c r="R592" s="580"/>
      <c r="S592" s="580"/>
      <c r="T592" s="580"/>
      <c r="U592" s="580"/>
      <c r="V592" s="580"/>
      <c r="W592" s="580"/>
      <c r="X592" s="373"/>
    </row>
    <row r="593" spans="18:24" s="1" customFormat="1">
      <c r="R593" s="580"/>
      <c r="S593" s="580"/>
      <c r="T593" s="580"/>
      <c r="U593" s="580"/>
      <c r="V593" s="580"/>
      <c r="W593" s="580"/>
      <c r="X593" s="373"/>
    </row>
    <row r="594" spans="18:24" s="1" customFormat="1">
      <c r="R594" s="580"/>
      <c r="S594" s="580"/>
      <c r="T594" s="580"/>
      <c r="U594" s="580"/>
      <c r="V594" s="580"/>
      <c r="W594" s="580"/>
      <c r="X594" s="373"/>
    </row>
    <row r="595" spans="18:24" s="1" customFormat="1">
      <c r="R595" s="580"/>
      <c r="S595" s="580"/>
      <c r="T595" s="580"/>
      <c r="U595" s="580"/>
      <c r="V595" s="580"/>
      <c r="W595" s="580"/>
      <c r="X595" s="373"/>
    </row>
    <row r="596" spans="18:24" s="1" customFormat="1">
      <c r="R596" s="580"/>
      <c r="S596" s="580"/>
      <c r="T596" s="580"/>
      <c r="U596" s="580"/>
      <c r="V596" s="580"/>
      <c r="W596" s="580"/>
      <c r="X596" s="373"/>
    </row>
    <row r="597" spans="18:24" s="1" customFormat="1">
      <c r="R597" s="580"/>
      <c r="S597" s="580"/>
      <c r="T597" s="580"/>
      <c r="U597" s="580"/>
      <c r="V597" s="580"/>
      <c r="W597" s="580"/>
      <c r="X597" s="373"/>
    </row>
    <row r="598" spans="18:24" s="1" customFormat="1">
      <c r="R598" s="580"/>
      <c r="S598" s="580"/>
      <c r="T598" s="580"/>
      <c r="U598" s="580"/>
      <c r="V598" s="580"/>
      <c r="W598" s="580"/>
      <c r="X598" s="373"/>
    </row>
    <row r="599" spans="18:24" s="1" customFormat="1">
      <c r="R599" s="580"/>
      <c r="S599" s="580"/>
      <c r="T599" s="580"/>
      <c r="U599" s="580"/>
      <c r="V599" s="580"/>
      <c r="W599" s="580"/>
      <c r="X599" s="373"/>
    </row>
    <row r="600" spans="18:24" s="1" customFormat="1">
      <c r="R600" s="580"/>
      <c r="S600" s="580"/>
      <c r="T600" s="580"/>
      <c r="U600" s="580"/>
      <c r="V600" s="580"/>
      <c r="W600" s="580"/>
      <c r="X600" s="373"/>
    </row>
    <row r="601" spans="18:24" s="1" customFormat="1">
      <c r="R601" s="580"/>
      <c r="S601" s="580"/>
      <c r="T601" s="580"/>
      <c r="U601" s="580"/>
      <c r="V601" s="580"/>
      <c r="W601" s="580"/>
      <c r="X601" s="373"/>
    </row>
    <row r="602" spans="18:24" s="1" customFormat="1">
      <c r="R602" s="580"/>
      <c r="S602" s="580"/>
      <c r="T602" s="580"/>
      <c r="U602" s="580"/>
      <c r="V602" s="580"/>
      <c r="W602" s="580"/>
      <c r="X602" s="373"/>
    </row>
    <row r="603" spans="18:24" s="1" customFormat="1">
      <c r="R603" s="580"/>
      <c r="S603" s="580"/>
      <c r="T603" s="580"/>
      <c r="U603" s="580"/>
      <c r="V603" s="580"/>
      <c r="W603" s="580"/>
      <c r="X603" s="373"/>
    </row>
    <row r="604" spans="18:24" s="1" customFormat="1">
      <c r="R604" s="580"/>
      <c r="S604" s="580"/>
      <c r="T604" s="580"/>
      <c r="U604" s="580"/>
      <c r="V604" s="580"/>
      <c r="W604" s="580"/>
      <c r="X604" s="373"/>
    </row>
    <row r="605" spans="18:24" s="1" customFormat="1">
      <c r="R605" s="580"/>
      <c r="S605" s="580"/>
      <c r="T605" s="580"/>
      <c r="U605" s="580"/>
      <c r="V605" s="580"/>
      <c r="W605" s="580"/>
      <c r="X605" s="373"/>
    </row>
    <row r="606" spans="18:24" s="1" customFormat="1">
      <c r="R606" s="580"/>
      <c r="S606" s="580"/>
      <c r="T606" s="580"/>
      <c r="U606" s="580"/>
      <c r="V606" s="580"/>
      <c r="W606" s="580"/>
      <c r="X606" s="373"/>
    </row>
    <row r="607" spans="18:24" s="1" customFormat="1">
      <c r="R607" s="580"/>
      <c r="S607" s="580"/>
      <c r="T607" s="580"/>
      <c r="U607" s="580"/>
      <c r="V607" s="580"/>
      <c r="W607" s="580"/>
      <c r="X607" s="373"/>
    </row>
    <row r="608" spans="18:24" s="1" customFormat="1">
      <c r="R608" s="580"/>
      <c r="S608" s="580"/>
      <c r="T608" s="580"/>
      <c r="U608" s="580"/>
      <c r="V608" s="580"/>
      <c r="W608" s="580"/>
      <c r="X608" s="373"/>
    </row>
    <row r="609" spans="18:24" s="1" customFormat="1">
      <c r="R609" s="580"/>
      <c r="S609" s="580"/>
      <c r="T609" s="580"/>
      <c r="U609" s="580"/>
      <c r="V609" s="580"/>
      <c r="W609" s="580"/>
      <c r="X609" s="373"/>
    </row>
    <row r="610" spans="18:24" s="1" customFormat="1">
      <c r="R610" s="580"/>
      <c r="S610" s="580"/>
      <c r="T610" s="580"/>
      <c r="U610" s="580"/>
      <c r="V610" s="580"/>
      <c r="W610" s="580"/>
      <c r="X610" s="373"/>
    </row>
    <row r="611" spans="18:24" s="1" customFormat="1">
      <c r="R611" s="580"/>
      <c r="S611" s="580"/>
      <c r="T611" s="580"/>
      <c r="U611" s="580"/>
      <c r="V611" s="580"/>
      <c r="W611" s="580"/>
      <c r="X611" s="373"/>
    </row>
    <row r="612" spans="18:24" s="1" customFormat="1">
      <c r="R612" s="580"/>
      <c r="S612" s="580"/>
      <c r="T612" s="580"/>
      <c r="U612" s="580"/>
      <c r="V612" s="580"/>
      <c r="W612" s="580"/>
      <c r="X612" s="373"/>
    </row>
    <row r="613" spans="18:24" s="1" customFormat="1">
      <c r="R613" s="580"/>
      <c r="S613" s="580"/>
      <c r="T613" s="580"/>
      <c r="U613" s="580"/>
      <c r="V613" s="580"/>
      <c r="W613" s="580"/>
      <c r="X613" s="373"/>
    </row>
    <row r="614" spans="18:24" s="1" customFormat="1">
      <c r="R614" s="580"/>
      <c r="S614" s="580"/>
      <c r="T614" s="580"/>
      <c r="U614" s="580"/>
      <c r="V614" s="580"/>
      <c r="W614" s="580"/>
      <c r="X614" s="373"/>
    </row>
    <row r="615" spans="18:24" s="1" customFormat="1">
      <c r="R615" s="580"/>
      <c r="S615" s="580"/>
      <c r="T615" s="580"/>
      <c r="U615" s="580"/>
      <c r="V615" s="580"/>
      <c r="W615" s="580"/>
      <c r="X615" s="373"/>
    </row>
    <row r="616" spans="18:24" s="1" customFormat="1">
      <c r="R616" s="580"/>
      <c r="S616" s="580"/>
      <c r="T616" s="580"/>
      <c r="U616" s="580"/>
      <c r="V616" s="580"/>
      <c r="W616" s="580"/>
      <c r="X616" s="373"/>
    </row>
    <row r="617" spans="18:24" s="1" customFormat="1">
      <c r="R617" s="580"/>
      <c r="S617" s="580"/>
      <c r="T617" s="580"/>
      <c r="U617" s="580"/>
      <c r="V617" s="580"/>
      <c r="W617" s="580"/>
      <c r="X617" s="373"/>
    </row>
    <row r="618" spans="18:24" s="1" customFormat="1">
      <c r="R618" s="580"/>
      <c r="S618" s="580"/>
      <c r="T618" s="580"/>
      <c r="U618" s="580"/>
      <c r="V618" s="580"/>
      <c r="W618" s="580"/>
      <c r="X618" s="373"/>
    </row>
    <row r="619" spans="18:24" s="1" customFormat="1">
      <c r="R619" s="580"/>
      <c r="S619" s="580"/>
      <c r="T619" s="580"/>
      <c r="U619" s="580"/>
      <c r="V619" s="580"/>
      <c r="W619" s="580"/>
      <c r="X619" s="373"/>
    </row>
    <row r="620" spans="18:24" s="1" customFormat="1">
      <c r="R620" s="580"/>
      <c r="S620" s="580"/>
      <c r="T620" s="580"/>
      <c r="U620" s="580"/>
      <c r="V620" s="580"/>
      <c r="W620" s="580"/>
      <c r="X620" s="373"/>
    </row>
    <row r="621" spans="18:24" s="1" customFormat="1">
      <c r="R621" s="580"/>
      <c r="S621" s="580"/>
      <c r="T621" s="580"/>
      <c r="U621" s="580"/>
      <c r="V621" s="580"/>
      <c r="W621" s="580"/>
      <c r="X621" s="373"/>
    </row>
    <row r="622" spans="18:24" s="1" customFormat="1">
      <c r="R622" s="580"/>
      <c r="S622" s="580"/>
      <c r="T622" s="580"/>
      <c r="U622" s="580"/>
      <c r="V622" s="580"/>
      <c r="W622" s="580"/>
      <c r="X622" s="373"/>
    </row>
    <row r="623" spans="18:24" s="1" customFormat="1">
      <c r="R623" s="580"/>
      <c r="S623" s="580"/>
      <c r="T623" s="580"/>
      <c r="U623" s="580"/>
      <c r="V623" s="580"/>
      <c r="W623" s="580"/>
      <c r="X623" s="373"/>
    </row>
    <row r="624" spans="18:24" s="1" customFormat="1">
      <c r="R624" s="580"/>
      <c r="S624" s="580"/>
      <c r="T624" s="580"/>
      <c r="U624" s="580"/>
      <c r="V624" s="580"/>
      <c r="W624" s="580"/>
      <c r="X624" s="373"/>
    </row>
    <row r="625" spans="18:24" s="1" customFormat="1">
      <c r="R625" s="580"/>
      <c r="S625" s="580"/>
      <c r="T625" s="580"/>
      <c r="U625" s="580"/>
      <c r="V625" s="580"/>
      <c r="W625" s="580"/>
      <c r="X625" s="373"/>
    </row>
    <row r="626" spans="18:24" s="1" customFormat="1">
      <c r="R626" s="580"/>
      <c r="S626" s="580"/>
      <c r="T626" s="580"/>
      <c r="U626" s="580"/>
      <c r="V626" s="580"/>
      <c r="W626" s="580"/>
      <c r="X626" s="373"/>
    </row>
    <row r="627" spans="18:24" s="1" customFormat="1">
      <c r="R627" s="580"/>
      <c r="S627" s="580"/>
      <c r="T627" s="580"/>
      <c r="U627" s="580"/>
      <c r="V627" s="580"/>
      <c r="W627" s="580"/>
      <c r="X627" s="373"/>
    </row>
    <row r="628" spans="18:24" s="1" customFormat="1">
      <c r="R628" s="580"/>
      <c r="S628" s="580"/>
      <c r="T628" s="580"/>
      <c r="U628" s="580"/>
      <c r="V628" s="580"/>
      <c r="W628" s="580"/>
      <c r="X628" s="373"/>
    </row>
    <row r="629" spans="18:24" s="1" customFormat="1">
      <c r="R629" s="580"/>
      <c r="S629" s="580"/>
      <c r="T629" s="580"/>
      <c r="U629" s="580"/>
      <c r="V629" s="580"/>
      <c r="W629" s="580"/>
      <c r="X629" s="373"/>
    </row>
    <row r="630" spans="18:24" s="1" customFormat="1">
      <c r="R630" s="580"/>
      <c r="S630" s="580"/>
      <c r="T630" s="580"/>
      <c r="U630" s="580"/>
      <c r="V630" s="580"/>
      <c r="W630" s="580"/>
      <c r="X630" s="373"/>
    </row>
    <row r="631" spans="18:24" s="1" customFormat="1">
      <c r="R631" s="580"/>
      <c r="S631" s="580"/>
      <c r="T631" s="580"/>
      <c r="U631" s="580"/>
      <c r="V631" s="580"/>
      <c r="W631" s="580"/>
      <c r="X631" s="373"/>
    </row>
    <row r="632" spans="18:24" s="1" customFormat="1">
      <c r="R632" s="580"/>
      <c r="S632" s="580"/>
      <c r="T632" s="580"/>
      <c r="U632" s="580"/>
      <c r="V632" s="580"/>
      <c r="W632" s="580"/>
      <c r="X632" s="373"/>
    </row>
    <row r="633" spans="18:24" s="1" customFormat="1">
      <c r="R633" s="580"/>
      <c r="S633" s="580"/>
      <c r="T633" s="580"/>
      <c r="U633" s="580"/>
      <c r="V633" s="580"/>
      <c r="W633" s="580"/>
      <c r="X633" s="373"/>
    </row>
    <row r="634" spans="18:24" s="1" customFormat="1">
      <c r="R634" s="580"/>
      <c r="S634" s="580"/>
      <c r="T634" s="580"/>
      <c r="U634" s="580"/>
      <c r="V634" s="580"/>
      <c r="W634" s="580"/>
      <c r="X634" s="373"/>
    </row>
    <row r="635" spans="18:24" s="1" customFormat="1">
      <c r="R635" s="580"/>
      <c r="S635" s="580"/>
      <c r="T635" s="580"/>
      <c r="U635" s="580"/>
      <c r="V635" s="580"/>
      <c r="W635" s="580"/>
      <c r="X635" s="373"/>
    </row>
    <row r="636" spans="18:24" s="1" customFormat="1">
      <c r="R636" s="580"/>
      <c r="S636" s="580"/>
      <c r="T636" s="580"/>
      <c r="U636" s="580"/>
      <c r="V636" s="580"/>
      <c r="W636" s="580"/>
      <c r="X636" s="373"/>
    </row>
    <row r="637" spans="18:24" s="1" customFormat="1">
      <c r="R637" s="580"/>
      <c r="S637" s="580"/>
      <c r="T637" s="580"/>
      <c r="U637" s="580"/>
      <c r="V637" s="580"/>
      <c r="W637" s="580"/>
      <c r="X637" s="373"/>
    </row>
    <row r="638" spans="18:24" s="1" customFormat="1">
      <c r="R638" s="580"/>
      <c r="S638" s="580"/>
      <c r="T638" s="580"/>
      <c r="U638" s="580"/>
      <c r="V638" s="580"/>
      <c r="W638" s="580"/>
      <c r="X638" s="373"/>
    </row>
    <row r="639" spans="18:24" s="1" customFormat="1">
      <c r="R639" s="580"/>
      <c r="S639" s="580"/>
      <c r="T639" s="580"/>
      <c r="U639" s="580"/>
      <c r="V639" s="580"/>
      <c r="W639" s="580"/>
      <c r="X639" s="373"/>
    </row>
    <row r="640" spans="18:24" s="1" customFormat="1">
      <c r="R640" s="580"/>
      <c r="S640" s="580"/>
      <c r="T640" s="580"/>
      <c r="U640" s="580"/>
      <c r="V640" s="580"/>
      <c r="W640" s="580"/>
      <c r="X640" s="373"/>
    </row>
    <row r="641" spans="18:24" s="1" customFormat="1">
      <c r="R641" s="580"/>
      <c r="S641" s="580"/>
      <c r="T641" s="580"/>
      <c r="U641" s="580"/>
      <c r="V641" s="580"/>
      <c r="W641" s="580"/>
      <c r="X641" s="373"/>
    </row>
    <row r="642" spans="18:24" s="1" customFormat="1">
      <c r="R642" s="580"/>
      <c r="S642" s="580"/>
      <c r="T642" s="580"/>
      <c r="U642" s="580"/>
      <c r="V642" s="580"/>
      <c r="W642" s="580"/>
      <c r="X642" s="373"/>
    </row>
    <row r="643" spans="18:24" s="1" customFormat="1">
      <c r="R643" s="580"/>
      <c r="S643" s="580"/>
      <c r="T643" s="580"/>
      <c r="U643" s="580"/>
      <c r="V643" s="580"/>
      <c r="W643" s="580"/>
      <c r="X643" s="373"/>
    </row>
    <row r="644" spans="18:24" s="1" customFormat="1">
      <c r="R644" s="580"/>
      <c r="S644" s="580"/>
      <c r="T644" s="580"/>
      <c r="U644" s="580"/>
      <c r="V644" s="580"/>
      <c r="W644" s="580"/>
      <c r="X644" s="373"/>
    </row>
    <row r="645" spans="18:24" s="1" customFormat="1">
      <c r="R645" s="580"/>
      <c r="S645" s="580"/>
      <c r="T645" s="580"/>
      <c r="U645" s="580"/>
      <c r="V645" s="580"/>
      <c r="W645" s="580"/>
      <c r="X645" s="373"/>
    </row>
    <row r="646" spans="18:24" s="1" customFormat="1">
      <c r="R646" s="580"/>
      <c r="S646" s="580"/>
      <c r="T646" s="580"/>
      <c r="U646" s="580"/>
      <c r="V646" s="580"/>
      <c r="W646" s="580"/>
      <c r="X646" s="373"/>
    </row>
    <row r="647" spans="18:24" s="1" customFormat="1">
      <c r="R647" s="580"/>
      <c r="S647" s="580"/>
      <c r="T647" s="580"/>
      <c r="U647" s="580"/>
      <c r="V647" s="580"/>
      <c r="W647" s="580"/>
      <c r="X647" s="373"/>
    </row>
    <row r="648" spans="18:24" s="1" customFormat="1">
      <c r="R648" s="580"/>
      <c r="S648" s="580"/>
      <c r="T648" s="580"/>
      <c r="U648" s="580"/>
      <c r="V648" s="580"/>
      <c r="W648" s="580"/>
      <c r="X648" s="373"/>
    </row>
    <row r="649" spans="18:24" s="1" customFormat="1">
      <c r="R649" s="580"/>
      <c r="S649" s="580"/>
      <c r="T649" s="580"/>
      <c r="U649" s="580"/>
      <c r="V649" s="580"/>
      <c r="W649" s="580"/>
      <c r="X649" s="373"/>
    </row>
    <row r="650" spans="18:24" s="1" customFormat="1">
      <c r="R650" s="580"/>
      <c r="S650" s="580"/>
      <c r="T650" s="580"/>
      <c r="U650" s="580"/>
      <c r="V650" s="580"/>
      <c r="W650" s="580"/>
      <c r="X650" s="373"/>
    </row>
    <row r="651" spans="18:24" s="1" customFormat="1">
      <c r="R651" s="580"/>
      <c r="S651" s="580"/>
      <c r="T651" s="580"/>
      <c r="U651" s="580"/>
      <c r="V651" s="580"/>
      <c r="W651" s="580"/>
      <c r="X651" s="373"/>
    </row>
    <row r="652" spans="18:24" s="1" customFormat="1">
      <c r="R652" s="580"/>
      <c r="S652" s="580"/>
      <c r="T652" s="580"/>
      <c r="U652" s="580"/>
      <c r="V652" s="580"/>
      <c r="W652" s="580"/>
      <c r="X652" s="373"/>
    </row>
    <row r="653" spans="18:24" s="1" customFormat="1">
      <c r="R653" s="580"/>
      <c r="S653" s="580"/>
      <c r="T653" s="580"/>
      <c r="U653" s="580"/>
      <c r="V653" s="580"/>
      <c r="W653" s="580"/>
      <c r="X653" s="373"/>
    </row>
    <row r="654" spans="18:24" s="1" customFormat="1">
      <c r="R654" s="580"/>
      <c r="S654" s="580"/>
      <c r="T654" s="580"/>
      <c r="U654" s="580"/>
      <c r="V654" s="580"/>
      <c r="W654" s="580"/>
      <c r="X654" s="373"/>
    </row>
    <row r="655" spans="18:24" s="1" customFormat="1">
      <c r="R655" s="580"/>
      <c r="S655" s="580"/>
      <c r="T655" s="580"/>
      <c r="U655" s="580"/>
      <c r="V655" s="580"/>
      <c r="W655" s="580"/>
      <c r="X655" s="373"/>
    </row>
    <row r="656" spans="18:24" s="1" customFormat="1">
      <c r="R656" s="580"/>
      <c r="S656" s="580"/>
      <c r="T656" s="580"/>
      <c r="U656" s="580"/>
      <c r="V656" s="580"/>
      <c r="W656" s="580"/>
      <c r="X656" s="373"/>
    </row>
    <row r="657" spans="18:24" s="1" customFormat="1">
      <c r="R657" s="580"/>
      <c r="S657" s="580"/>
      <c r="T657" s="580"/>
      <c r="U657" s="580"/>
      <c r="V657" s="580"/>
      <c r="W657" s="580"/>
      <c r="X657" s="373"/>
    </row>
    <row r="658" spans="18:24" s="1" customFormat="1">
      <c r="R658" s="580"/>
      <c r="S658" s="580"/>
      <c r="T658" s="580"/>
      <c r="U658" s="580"/>
      <c r="V658" s="580"/>
      <c r="W658" s="580"/>
      <c r="X658" s="373"/>
    </row>
    <row r="659" spans="18:24" s="1" customFormat="1">
      <c r="R659" s="580"/>
      <c r="S659" s="580"/>
      <c r="T659" s="580"/>
      <c r="U659" s="580"/>
      <c r="V659" s="580"/>
      <c r="W659" s="580"/>
      <c r="X659" s="373"/>
    </row>
    <row r="660" spans="18:24" s="1" customFormat="1">
      <c r="R660" s="580"/>
      <c r="S660" s="580"/>
      <c r="T660" s="580"/>
      <c r="U660" s="580"/>
      <c r="V660" s="580"/>
      <c r="W660" s="580"/>
      <c r="X660" s="373"/>
    </row>
    <row r="661" spans="18:24" s="1" customFormat="1">
      <c r="R661" s="580"/>
      <c r="S661" s="580"/>
      <c r="T661" s="580"/>
      <c r="U661" s="580"/>
      <c r="V661" s="580"/>
      <c r="W661" s="580"/>
      <c r="X661" s="373"/>
    </row>
    <row r="662" spans="18:24" s="1" customFormat="1">
      <c r="R662" s="580"/>
      <c r="S662" s="580"/>
      <c r="T662" s="580"/>
      <c r="U662" s="580"/>
      <c r="V662" s="580"/>
      <c r="W662" s="580"/>
      <c r="X662" s="373"/>
    </row>
    <row r="663" spans="18:24" s="1" customFormat="1">
      <c r="R663" s="580"/>
      <c r="S663" s="580"/>
      <c r="T663" s="580"/>
      <c r="U663" s="580"/>
      <c r="V663" s="580"/>
      <c r="W663" s="580"/>
      <c r="X663" s="373"/>
    </row>
    <row r="664" spans="18:24" s="1" customFormat="1">
      <c r="R664" s="580"/>
      <c r="S664" s="580"/>
      <c r="T664" s="580"/>
      <c r="U664" s="580"/>
      <c r="V664" s="580"/>
      <c r="W664" s="580"/>
      <c r="X664" s="373"/>
    </row>
    <row r="665" spans="18:24" s="1" customFormat="1">
      <c r="R665" s="580"/>
      <c r="S665" s="580"/>
      <c r="T665" s="580"/>
      <c r="U665" s="580"/>
      <c r="V665" s="580"/>
      <c r="W665" s="580"/>
      <c r="X665" s="373"/>
    </row>
    <row r="666" spans="18:24" s="1" customFormat="1">
      <c r="R666" s="580"/>
      <c r="S666" s="580"/>
      <c r="T666" s="580"/>
      <c r="U666" s="580"/>
      <c r="V666" s="580"/>
      <c r="W666" s="580"/>
      <c r="X666" s="373"/>
    </row>
    <row r="667" spans="18:24" s="1" customFormat="1">
      <c r="R667" s="580"/>
      <c r="S667" s="580"/>
      <c r="T667" s="580"/>
      <c r="U667" s="580"/>
      <c r="V667" s="580"/>
      <c r="W667" s="580"/>
      <c r="X667" s="373"/>
    </row>
    <row r="668" spans="18:24" s="1" customFormat="1">
      <c r="R668" s="580"/>
      <c r="S668" s="580"/>
      <c r="T668" s="580"/>
      <c r="U668" s="580"/>
      <c r="V668" s="580"/>
      <c r="W668" s="580"/>
      <c r="X668" s="373"/>
    </row>
    <row r="669" spans="18:24" s="1" customFormat="1">
      <c r="R669" s="580"/>
      <c r="S669" s="580"/>
      <c r="T669" s="580"/>
      <c r="U669" s="580"/>
      <c r="V669" s="580"/>
      <c r="W669" s="580"/>
      <c r="X669" s="373"/>
    </row>
    <row r="670" spans="18:24" s="1" customFormat="1">
      <c r="R670" s="580"/>
      <c r="S670" s="580"/>
      <c r="T670" s="580"/>
      <c r="U670" s="580"/>
      <c r="V670" s="580"/>
      <c r="W670" s="580"/>
      <c r="X670" s="373"/>
    </row>
    <row r="671" spans="18:24" s="1" customFormat="1">
      <c r="R671" s="580"/>
      <c r="S671" s="580"/>
      <c r="T671" s="580"/>
      <c r="U671" s="580"/>
      <c r="V671" s="580"/>
      <c r="W671" s="580"/>
      <c r="X671" s="373"/>
    </row>
    <row r="672" spans="18:24" s="1" customFormat="1">
      <c r="R672" s="580"/>
      <c r="S672" s="580"/>
      <c r="T672" s="580"/>
      <c r="U672" s="580"/>
      <c r="V672" s="580"/>
      <c r="W672" s="580"/>
      <c r="X672" s="373"/>
    </row>
    <row r="673" spans="18:24" s="1" customFormat="1">
      <c r="R673" s="580"/>
      <c r="S673" s="580"/>
      <c r="T673" s="580"/>
      <c r="U673" s="580"/>
      <c r="V673" s="580"/>
      <c r="W673" s="580"/>
      <c r="X673" s="373"/>
    </row>
    <row r="674" spans="18:24" s="1" customFormat="1">
      <c r="R674" s="580"/>
      <c r="S674" s="580"/>
      <c r="T674" s="580"/>
      <c r="U674" s="580"/>
      <c r="V674" s="580"/>
      <c r="W674" s="580"/>
      <c r="X674" s="373"/>
    </row>
    <row r="675" spans="18:24" s="1" customFormat="1">
      <c r="R675" s="580"/>
      <c r="S675" s="580"/>
      <c r="T675" s="580"/>
      <c r="U675" s="580"/>
      <c r="V675" s="580"/>
      <c r="W675" s="580"/>
      <c r="X675" s="373"/>
    </row>
    <row r="676" spans="18:24" s="1" customFormat="1">
      <c r="R676" s="580"/>
      <c r="S676" s="580"/>
      <c r="T676" s="580"/>
      <c r="U676" s="580"/>
      <c r="V676" s="580"/>
      <c r="W676" s="580"/>
      <c r="X676" s="373"/>
    </row>
    <row r="677" spans="18:24" s="1" customFormat="1">
      <c r="R677" s="580"/>
      <c r="S677" s="580"/>
      <c r="T677" s="580"/>
      <c r="U677" s="580"/>
      <c r="V677" s="580"/>
      <c r="W677" s="580"/>
      <c r="X677" s="373"/>
    </row>
    <row r="678" spans="18:24" s="1" customFormat="1">
      <c r="R678" s="580"/>
      <c r="S678" s="580"/>
      <c r="T678" s="580"/>
      <c r="U678" s="580"/>
      <c r="V678" s="580"/>
      <c r="W678" s="580"/>
      <c r="X678" s="373"/>
    </row>
    <row r="679" spans="18:24" s="1" customFormat="1">
      <c r="R679" s="580"/>
      <c r="S679" s="580"/>
      <c r="T679" s="580"/>
      <c r="U679" s="580"/>
      <c r="V679" s="580"/>
      <c r="W679" s="580"/>
      <c r="X679" s="373"/>
    </row>
    <row r="680" spans="18:24" s="1" customFormat="1">
      <c r="R680" s="580"/>
      <c r="S680" s="580"/>
      <c r="T680" s="580"/>
      <c r="U680" s="580"/>
      <c r="V680" s="580"/>
      <c r="W680" s="580"/>
      <c r="X680" s="373"/>
    </row>
    <row r="681" spans="18:24" s="1" customFormat="1">
      <c r="R681" s="580"/>
      <c r="S681" s="580"/>
      <c r="T681" s="580"/>
      <c r="U681" s="580"/>
      <c r="V681" s="580"/>
      <c r="W681" s="580"/>
      <c r="X681" s="373"/>
    </row>
    <row r="682" spans="18:24" s="1" customFormat="1">
      <c r="R682" s="580"/>
      <c r="S682" s="580"/>
      <c r="T682" s="580"/>
      <c r="U682" s="580"/>
      <c r="V682" s="580"/>
      <c r="W682" s="580"/>
      <c r="X682" s="373"/>
    </row>
    <row r="683" spans="18:24" s="1" customFormat="1">
      <c r="R683" s="580"/>
      <c r="S683" s="580"/>
      <c r="T683" s="580"/>
      <c r="U683" s="580"/>
      <c r="V683" s="580"/>
      <c r="W683" s="580"/>
      <c r="X683" s="373"/>
    </row>
    <row r="684" spans="18:24" s="1" customFormat="1">
      <c r="R684" s="580"/>
      <c r="S684" s="580"/>
      <c r="T684" s="580"/>
      <c r="U684" s="580"/>
      <c r="V684" s="580"/>
      <c r="W684" s="580"/>
      <c r="X684" s="373"/>
    </row>
    <row r="685" spans="18:24" s="1" customFormat="1">
      <c r="R685" s="580"/>
      <c r="S685" s="580"/>
      <c r="T685" s="580"/>
      <c r="U685" s="580"/>
      <c r="V685" s="580"/>
      <c r="W685" s="580"/>
      <c r="X685" s="373"/>
    </row>
    <row r="686" spans="18:24" s="1" customFormat="1">
      <c r="R686" s="580"/>
      <c r="S686" s="580"/>
      <c r="T686" s="580"/>
      <c r="U686" s="580"/>
      <c r="V686" s="580"/>
      <c r="W686" s="580"/>
      <c r="X686" s="373"/>
    </row>
    <row r="687" spans="18:24" s="1" customFormat="1">
      <c r="R687" s="580"/>
      <c r="S687" s="580"/>
      <c r="T687" s="580"/>
      <c r="U687" s="580"/>
      <c r="V687" s="580"/>
      <c r="W687" s="580"/>
      <c r="X687" s="373"/>
    </row>
    <row r="688" spans="18:24" s="1" customFormat="1">
      <c r="R688" s="580"/>
      <c r="S688" s="580"/>
      <c r="T688" s="580"/>
      <c r="U688" s="580"/>
      <c r="V688" s="580"/>
      <c r="W688" s="580"/>
      <c r="X688" s="373"/>
    </row>
    <row r="689" spans="18:24" s="1" customFormat="1">
      <c r="R689" s="580"/>
      <c r="S689" s="580"/>
      <c r="T689" s="580"/>
      <c r="U689" s="580"/>
      <c r="V689" s="580"/>
      <c r="W689" s="580"/>
      <c r="X689" s="373"/>
    </row>
    <row r="690" spans="18:24" s="1" customFormat="1">
      <c r="R690" s="580"/>
      <c r="S690" s="580"/>
      <c r="T690" s="580"/>
      <c r="U690" s="580"/>
      <c r="V690" s="580"/>
      <c r="W690" s="580"/>
      <c r="X690" s="373"/>
    </row>
    <row r="691" spans="18:24" s="1" customFormat="1">
      <c r="R691" s="580"/>
      <c r="S691" s="580"/>
      <c r="T691" s="580"/>
      <c r="U691" s="580"/>
      <c r="V691" s="580"/>
      <c r="W691" s="580"/>
      <c r="X691" s="373"/>
    </row>
    <row r="692" spans="18:24" s="1" customFormat="1">
      <c r="R692" s="580"/>
      <c r="S692" s="580"/>
      <c r="T692" s="580"/>
      <c r="U692" s="580"/>
      <c r="V692" s="580"/>
      <c r="W692" s="580"/>
      <c r="X692" s="373"/>
    </row>
    <row r="693" spans="18:24" s="1" customFormat="1">
      <c r="R693" s="580"/>
      <c r="S693" s="580"/>
      <c r="T693" s="580"/>
      <c r="U693" s="580"/>
      <c r="V693" s="580"/>
      <c r="W693" s="580"/>
      <c r="X693" s="373"/>
    </row>
    <row r="694" spans="18:24" s="1" customFormat="1">
      <c r="R694" s="580"/>
      <c r="S694" s="580"/>
      <c r="T694" s="580"/>
      <c r="U694" s="580"/>
      <c r="V694" s="580"/>
      <c r="W694" s="580"/>
      <c r="X694" s="373"/>
    </row>
    <row r="695" spans="18:24" s="1" customFormat="1">
      <c r="R695" s="580"/>
      <c r="S695" s="580"/>
      <c r="T695" s="580"/>
      <c r="U695" s="580"/>
      <c r="V695" s="580"/>
      <c r="W695" s="580"/>
      <c r="X695" s="373"/>
    </row>
    <row r="696" spans="18:24" s="1" customFormat="1">
      <c r="R696" s="580"/>
      <c r="S696" s="580"/>
      <c r="T696" s="580"/>
      <c r="U696" s="580"/>
      <c r="V696" s="580"/>
      <c r="W696" s="580"/>
      <c r="X696" s="373"/>
    </row>
    <row r="697" spans="18:24" s="1" customFormat="1">
      <c r="R697" s="580"/>
      <c r="S697" s="580"/>
      <c r="T697" s="580"/>
      <c r="U697" s="580"/>
      <c r="V697" s="580"/>
      <c r="W697" s="580"/>
      <c r="X697" s="373"/>
    </row>
    <row r="698" spans="18:24" s="1" customFormat="1">
      <c r="R698" s="580"/>
      <c r="S698" s="580"/>
      <c r="T698" s="580"/>
      <c r="U698" s="580"/>
      <c r="V698" s="580"/>
      <c r="W698" s="580"/>
      <c r="X698" s="373"/>
    </row>
    <row r="699" spans="18:24" s="1" customFormat="1">
      <c r="R699" s="580"/>
      <c r="S699" s="580"/>
      <c r="T699" s="580"/>
      <c r="U699" s="580"/>
      <c r="V699" s="580"/>
      <c r="W699" s="580"/>
      <c r="X699" s="373"/>
    </row>
    <row r="700" spans="18:24" s="1" customFormat="1">
      <c r="R700" s="580"/>
      <c r="S700" s="580"/>
      <c r="T700" s="580"/>
      <c r="U700" s="580"/>
      <c r="V700" s="580"/>
      <c r="W700" s="580"/>
      <c r="X700" s="373"/>
    </row>
    <row r="701" spans="18:24" s="1" customFormat="1">
      <c r="R701" s="580"/>
      <c r="S701" s="580"/>
      <c r="T701" s="580"/>
      <c r="U701" s="580"/>
      <c r="V701" s="580"/>
      <c r="W701" s="580"/>
      <c r="X701" s="373"/>
    </row>
    <row r="702" spans="18:24" s="1" customFormat="1">
      <c r="R702" s="580"/>
      <c r="S702" s="580"/>
      <c r="T702" s="580"/>
      <c r="U702" s="580"/>
      <c r="V702" s="580"/>
      <c r="W702" s="580"/>
      <c r="X702" s="373"/>
    </row>
    <row r="703" spans="18:24" s="1" customFormat="1">
      <c r="R703" s="580"/>
      <c r="S703" s="580"/>
      <c r="T703" s="580"/>
      <c r="U703" s="580"/>
      <c r="V703" s="580"/>
      <c r="W703" s="580"/>
      <c r="X703" s="373"/>
    </row>
    <row r="704" spans="18:24" s="1" customFormat="1">
      <c r="R704" s="580"/>
      <c r="S704" s="580"/>
      <c r="T704" s="580"/>
      <c r="U704" s="580"/>
      <c r="V704" s="580"/>
      <c r="W704" s="580"/>
      <c r="X704" s="373"/>
    </row>
    <row r="705" spans="18:24" s="1" customFormat="1">
      <c r="R705" s="580"/>
      <c r="S705" s="580"/>
      <c r="T705" s="580"/>
      <c r="U705" s="580"/>
      <c r="V705" s="580"/>
      <c r="W705" s="580"/>
      <c r="X705" s="373"/>
    </row>
    <row r="706" spans="18:24" s="1" customFormat="1">
      <c r="R706" s="580"/>
      <c r="S706" s="580"/>
      <c r="T706" s="580"/>
      <c r="U706" s="580"/>
      <c r="V706" s="580"/>
      <c r="W706" s="580"/>
      <c r="X706" s="373"/>
    </row>
    <row r="707" spans="18:24" s="1" customFormat="1">
      <c r="R707" s="580"/>
      <c r="S707" s="580"/>
      <c r="T707" s="580"/>
      <c r="U707" s="580"/>
      <c r="V707" s="580"/>
      <c r="W707" s="580"/>
      <c r="X707" s="373"/>
    </row>
    <row r="708" spans="18:24" s="1" customFormat="1">
      <c r="R708" s="580"/>
      <c r="S708" s="580"/>
      <c r="T708" s="580"/>
      <c r="U708" s="580"/>
      <c r="V708" s="580"/>
      <c r="W708" s="580"/>
      <c r="X708" s="373"/>
    </row>
    <row r="709" spans="18:24" s="1" customFormat="1">
      <c r="R709" s="580"/>
      <c r="S709" s="580"/>
      <c r="T709" s="580"/>
      <c r="U709" s="580"/>
      <c r="V709" s="580"/>
      <c r="W709" s="580"/>
      <c r="X709" s="373"/>
    </row>
    <row r="710" spans="18:24" s="1" customFormat="1">
      <c r="R710" s="580"/>
      <c r="S710" s="580"/>
      <c r="T710" s="580"/>
      <c r="U710" s="580"/>
      <c r="V710" s="580"/>
      <c r="W710" s="580"/>
      <c r="X710" s="373"/>
    </row>
    <row r="711" spans="18:24" s="1" customFormat="1">
      <c r="R711" s="580"/>
      <c r="S711" s="580"/>
      <c r="T711" s="580"/>
      <c r="U711" s="580"/>
      <c r="V711" s="580"/>
      <c r="W711" s="580"/>
      <c r="X711" s="373"/>
    </row>
    <row r="712" spans="18:24" s="1" customFormat="1">
      <c r="R712" s="580"/>
      <c r="S712" s="580"/>
      <c r="T712" s="580"/>
      <c r="U712" s="580"/>
      <c r="V712" s="580"/>
      <c r="W712" s="580"/>
      <c r="X712" s="373"/>
    </row>
    <row r="713" spans="18:24" s="1" customFormat="1">
      <c r="R713" s="580"/>
      <c r="S713" s="580"/>
      <c r="T713" s="580"/>
      <c r="U713" s="580"/>
      <c r="V713" s="580"/>
      <c r="W713" s="580"/>
      <c r="X713" s="373"/>
    </row>
    <row r="714" spans="18:24" s="1" customFormat="1">
      <c r="R714" s="580"/>
      <c r="S714" s="580"/>
      <c r="T714" s="580"/>
      <c r="U714" s="580"/>
      <c r="V714" s="580"/>
      <c r="W714" s="580"/>
      <c r="X714" s="373"/>
    </row>
    <row r="715" spans="18:24" s="1" customFormat="1">
      <c r="R715" s="580"/>
      <c r="S715" s="580"/>
      <c r="T715" s="580"/>
      <c r="U715" s="580"/>
      <c r="V715" s="580"/>
      <c r="W715" s="580"/>
      <c r="X715" s="373"/>
    </row>
    <row r="716" spans="18:24" s="1" customFormat="1">
      <c r="R716" s="580"/>
      <c r="S716" s="580"/>
      <c r="T716" s="580"/>
      <c r="U716" s="580"/>
      <c r="V716" s="580"/>
      <c r="W716" s="580"/>
      <c r="X716" s="373"/>
    </row>
    <row r="717" spans="18:24" s="1" customFormat="1">
      <c r="R717" s="580"/>
      <c r="S717" s="580"/>
      <c r="T717" s="580"/>
      <c r="U717" s="580"/>
      <c r="V717" s="580"/>
      <c r="W717" s="580"/>
      <c r="X717" s="373"/>
    </row>
    <row r="718" spans="18:24" s="1" customFormat="1">
      <c r="R718" s="580"/>
      <c r="S718" s="580"/>
      <c r="T718" s="580"/>
      <c r="U718" s="580"/>
      <c r="V718" s="580"/>
      <c r="W718" s="580"/>
      <c r="X718" s="373"/>
    </row>
    <row r="719" spans="18:24" s="1" customFormat="1">
      <c r="R719" s="580"/>
      <c r="S719" s="580"/>
      <c r="T719" s="580"/>
      <c r="U719" s="580"/>
      <c r="V719" s="580"/>
      <c r="W719" s="580"/>
      <c r="X719" s="373"/>
    </row>
    <row r="720" spans="18:24" s="1" customFormat="1">
      <c r="R720" s="580"/>
      <c r="S720" s="580"/>
      <c r="T720" s="580"/>
      <c r="U720" s="580"/>
      <c r="V720" s="580"/>
      <c r="W720" s="580"/>
      <c r="X720" s="373"/>
    </row>
    <row r="721" spans="18:24" s="1" customFormat="1">
      <c r="R721" s="580"/>
      <c r="S721" s="580"/>
      <c r="T721" s="580"/>
      <c r="U721" s="580"/>
      <c r="V721" s="580"/>
      <c r="W721" s="580"/>
      <c r="X721" s="373"/>
    </row>
    <row r="722" spans="18:24" s="1" customFormat="1">
      <c r="R722" s="580"/>
      <c r="S722" s="580"/>
      <c r="T722" s="580"/>
      <c r="U722" s="580"/>
      <c r="V722" s="580"/>
      <c r="W722" s="580"/>
      <c r="X722" s="373"/>
    </row>
    <row r="723" spans="18:24" s="1" customFormat="1">
      <c r="R723" s="580"/>
      <c r="S723" s="580"/>
      <c r="T723" s="580"/>
      <c r="U723" s="580"/>
      <c r="V723" s="580"/>
      <c r="W723" s="580"/>
      <c r="X723" s="373"/>
    </row>
    <row r="724" spans="18:24" s="1" customFormat="1">
      <c r="R724" s="580"/>
      <c r="S724" s="580"/>
      <c r="T724" s="580"/>
      <c r="U724" s="580"/>
      <c r="V724" s="580"/>
      <c r="W724" s="580"/>
      <c r="X724" s="373"/>
    </row>
    <row r="725" spans="18:24" s="1" customFormat="1">
      <c r="R725" s="580"/>
      <c r="S725" s="580"/>
      <c r="T725" s="580"/>
      <c r="U725" s="580"/>
      <c r="V725" s="580"/>
      <c r="W725" s="580"/>
      <c r="X725" s="373"/>
    </row>
    <row r="726" spans="18:24" s="1" customFormat="1">
      <c r="R726" s="580"/>
      <c r="S726" s="580"/>
      <c r="T726" s="580"/>
      <c r="U726" s="580"/>
      <c r="V726" s="580"/>
      <c r="W726" s="580"/>
      <c r="X726" s="373"/>
    </row>
    <row r="727" spans="18:24" s="1" customFormat="1">
      <c r="R727" s="580"/>
      <c r="S727" s="580"/>
      <c r="T727" s="580"/>
      <c r="U727" s="580"/>
      <c r="V727" s="580"/>
      <c r="W727" s="580"/>
      <c r="X727" s="373"/>
    </row>
    <row r="728" spans="18:24" s="1" customFormat="1">
      <c r="R728" s="580"/>
      <c r="S728" s="580"/>
      <c r="T728" s="580"/>
      <c r="U728" s="580"/>
      <c r="V728" s="580"/>
      <c r="W728" s="580"/>
      <c r="X728" s="373"/>
    </row>
    <row r="729" spans="18:24" s="1" customFormat="1">
      <c r="R729" s="580"/>
      <c r="S729" s="580"/>
      <c r="T729" s="580"/>
      <c r="U729" s="580"/>
      <c r="V729" s="580"/>
      <c r="W729" s="580"/>
      <c r="X729" s="373"/>
    </row>
    <row r="730" spans="18:24" s="1" customFormat="1">
      <c r="R730" s="580"/>
      <c r="S730" s="580"/>
      <c r="T730" s="580"/>
      <c r="U730" s="580"/>
      <c r="V730" s="580"/>
      <c r="W730" s="580"/>
      <c r="X730" s="373"/>
    </row>
    <row r="731" spans="18:24" s="1" customFormat="1">
      <c r="R731" s="580"/>
      <c r="S731" s="580"/>
      <c r="T731" s="580"/>
      <c r="U731" s="580"/>
      <c r="V731" s="580"/>
      <c r="W731" s="580"/>
      <c r="X731" s="373"/>
    </row>
    <row r="732" spans="18:24" s="1" customFormat="1">
      <c r="R732" s="580"/>
      <c r="S732" s="580"/>
      <c r="T732" s="580"/>
      <c r="U732" s="580"/>
      <c r="V732" s="580"/>
      <c r="W732" s="580"/>
      <c r="X732" s="373"/>
    </row>
    <row r="733" spans="18:24" s="1" customFormat="1">
      <c r="R733" s="580"/>
      <c r="S733" s="580"/>
      <c r="T733" s="580"/>
      <c r="U733" s="580"/>
      <c r="V733" s="580"/>
      <c r="W733" s="580"/>
      <c r="X733" s="373"/>
    </row>
    <row r="734" spans="18:24" s="1" customFormat="1">
      <c r="R734" s="580"/>
      <c r="S734" s="580"/>
      <c r="T734" s="580"/>
      <c r="U734" s="580"/>
      <c r="V734" s="580"/>
      <c r="W734" s="580"/>
      <c r="X734" s="373"/>
    </row>
    <row r="735" spans="18:24" s="1" customFormat="1">
      <c r="R735" s="580"/>
      <c r="S735" s="580"/>
      <c r="T735" s="580"/>
      <c r="U735" s="580"/>
      <c r="V735" s="580"/>
      <c r="W735" s="580"/>
      <c r="X735" s="373"/>
    </row>
    <row r="736" spans="18:24" s="1" customFormat="1">
      <c r="R736" s="580"/>
      <c r="S736" s="580"/>
      <c r="T736" s="580"/>
      <c r="U736" s="580"/>
      <c r="V736" s="580"/>
      <c r="W736" s="580"/>
      <c r="X736" s="373"/>
    </row>
    <row r="737" spans="18:24" s="1" customFormat="1">
      <c r="R737" s="580"/>
      <c r="S737" s="580"/>
      <c r="T737" s="580"/>
      <c r="U737" s="580"/>
      <c r="V737" s="580"/>
      <c r="W737" s="580"/>
      <c r="X737" s="373"/>
    </row>
    <row r="738" spans="18:24" s="1" customFormat="1">
      <c r="R738" s="580"/>
      <c r="S738" s="580"/>
      <c r="T738" s="580"/>
      <c r="U738" s="580"/>
      <c r="V738" s="580"/>
      <c r="W738" s="580"/>
      <c r="X738" s="373"/>
    </row>
    <row r="739" spans="18:24" s="1" customFormat="1">
      <c r="R739" s="580"/>
      <c r="S739" s="580"/>
      <c r="T739" s="580"/>
      <c r="U739" s="580"/>
      <c r="V739" s="580"/>
      <c r="W739" s="580"/>
      <c r="X739" s="373"/>
    </row>
    <row r="740" spans="18:24" s="1" customFormat="1">
      <c r="R740" s="580"/>
      <c r="S740" s="580"/>
      <c r="T740" s="580"/>
      <c r="U740" s="580"/>
      <c r="V740" s="580"/>
      <c r="W740" s="580"/>
      <c r="X740" s="373"/>
    </row>
    <row r="741" spans="18:24" s="1" customFormat="1">
      <c r="R741" s="580"/>
      <c r="S741" s="580"/>
      <c r="T741" s="580"/>
      <c r="U741" s="580"/>
      <c r="V741" s="580"/>
      <c r="W741" s="580"/>
      <c r="X741" s="373"/>
    </row>
    <row r="742" spans="18:24" s="1" customFormat="1">
      <c r="R742" s="580"/>
      <c r="S742" s="580"/>
      <c r="T742" s="580"/>
      <c r="U742" s="580"/>
      <c r="V742" s="580"/>
      <c r="W742" s="580"/>
      <c r="X742" s="373"/>
    </row>
    <row r="743" spans="18:24" s="1" customFormat="1">
      <c r="R743" s="580"/>
      <c r="S743" s="580"/>
      <c r="T743" s="580"/>
      <c r="U743" s="580"/>
      <c r="V743" s="580"/>
      <c r="W743" s="580"/>
      <c r="X743" s="373"/>
    </row>
    <row r="744" spans="18:24" s="1" customFormat="1">
      <c r="R744" s="580"/>
      <c r="S744" s="580"/>
      <c r="T744" s="580"/>
      <c r="U744" s="580"/>
      <c r="V744" s="580"/>
      <c r="W744" s="580"/>
      <c r="X744" s="373"/>
    </row>
    <row r="745" spans="18:24" s="1" customFormat="1">
      <c r="R745" s="580"/>
      <c r="S745" s="580"/>
      <c r="T745" s="580"/>
      <c r="U745" s="580"/>
      <c r="V745" s="580"/>
      <c r="W745" s="580"/>
      <c r="X745" s="373"/>
    </row>
    <row r="746" spans="18:24" s="1" customFormat="1">
      <c r="R746" s="580"/>
      <c r="S746" s="580"/>
      <c r="T746" s="580"/>
      <c r="U746" s="580"/>
      <c r="V746" s="580"/>
      <c r="W746" s="580"/>
      <c r="X746" s="373"/>
    </row>
    <row r="747" spans="18:24" s="1" customFormat="1">
      <c r="R747" s="580"/>
      <c r="S747" s="580"/>
      <c r="T747" s="580"/>
      <c r="U747" s="580"/>
      <c r="V747" s="580"/>
      <c r="W747" s="580"/>
      <c r="X747" s="373"/>
    </row>
    <row r="748" spans="18:24" s="1" customFormat="1">
      <c r="R748" s="580"/>
      <c r="S748" s="580"/>
      <c r="T748" s="580"/>
      <c r="U748" s="580"/>
      <c r="V748" s="580"/>
      <c r="W748" s="580"/>
      <c r="X748" s="373"/>
    </row>
    <row r="749" spans="18:24" s="1" customFormat="1">
      <c r="R749" s="580"/>
      <c r="S749" s="580"/>
      <c r="T749" s="580"/>
      <c r="U749" s="580"/>
      <c r="V749" s="580"/>
      <c r="W749" s="580"/>
      <c r="X749" s="373"/>
    </row>
    <row r="750" spans="18:24" s="1" customFormat="1">
      <c r="R750" s="580"/>
      <c r="S750" s="580"/>
      <c r="T750" s="580"/>
      <c r="U750" s="580"/>
      <c r="V750" s="580"/>
      <c r="W750" s="580"/>
      <c r="X750" s="373"/>
    </row>
    <row r="751" spans="18:24" s="1" customFormat="1">
      <c r="R751" s="580"/>
      <c r="S751" s="580"/>
      <c r="T751" s="580"/>
      <c r="U751" s="580"/>
      <c r="V751" s="580"/>
      <c r="W751" s="580"/>
      <c r="X751" s="373"/>
    </row>
    <row r="752" spans="18:24" s="1" customFormat="1">
      <c r="R752" s="580"/>
      <c r="S752" s="580"/>
      <c r="T752" s="580"/>
      <c r="U752" s="580"/>
      <c r="V752" s="580"/>
      <c r="W752" s="580"/>
      <c r="X752" s="373"/>
    </row>
    <row r="753" spans="18:24" s="1" customFormat="1">
      <c r="R753" s="580"/>
      <c r="S753" s="580"/>
      <c r="T753" s="580"/>
      <c r="U753" s="580"/>
      <c r="V753" s="580"/>
      <c r="W753" s="580"/>
      <c r="X753" s="373"/>
    </row>
    <row r="754" spans="18:24" s="1" customFormat="1">
      <c r="R754" s="580"/>
      <c r="S754" s="580"/>
      <c r="T754" s="580"/>
      <c r="U754" s="580"/>
      <c r="V754" s="580"/>
      <c r="W754" s="580"/>
      <c r="X754" s="373"/>
    </row>
    <row r="755" spans="18:24" s="1" customFormat="1">
      <c r="R755" s="580"/>
      <c r="S755" s="580"/>
      <c r="T755" s="580"/>
      <c r="U755" s="580"/>
      <c r="V755" s="580"/>
      <c r="W755" s="580"/>
      <c r="X755" s="373"/>
    </row>
    <row r="756" spans="18:24" s="1" customFormat="1">
      <c r="R756" s="580"/>
      <c r="S756" s="580"/>
      <c r="T756" s="580"/>
      <c r="U756" s="580"/>
      <c r="V756" s="580"/>
      <c r="W756" s="580"/>
      <c r="X756" s="373"/>
    </row>
    <row r="757" spans="18:24" s="1" customFormat="1">
      <c r="R757" s="580"/>
      <c r="S757" s="580"/>
      <c r="T757" s="580"/>
      <c r="U757" s="580"/>
      <c r="V757" s="580"/>
      <c r="W757" s="580"/>
      <c r="X757" s="373"/>
    </row>
    <row r="758" spans="18:24" s="1" customFormat="1">
      <c r="R758" s="580"/>
      <c r="S758" s="580"/>
      <c r="T758" s="580"/>
      <c r="U758" s="580"/>
      <c r="V758" s="580"/>
      <c r="W758" s="580"/>
      <c r="X758" s="373"/>
    </row>
    <row r="759" spans="18:24" s="1" customFormat="1">
      <c r="R759" s="580"/>
      <c r="S759" s="580"/>
      <c r="T759" s="580"/>
      <c r="U759" s="580"/>
      <c r="V759" s="580"/>
      <c r="W759" s="580"/>
      <c r="X759" s="373"/>
    </row>
    <row r="760" spans="18:24" s="1" customFormat="1">
      <c r="R760" s="580"/>
      <c r="S760" s="580"/>
      <c r="T760" s="580"/>
      <c r="U760" s="580"/>
      <c r="V760" s="580"/>
      <c r="W760" s="580"/>
      <c r="X760" s="373"/>
    </row>
    <row r="761" spans="18:24" s="1" customFormat="1">
      <c r="R761" s="580"/>
      <c r="S761" s="580"/>
      <c r="T761" s="580"/>
      <c r="U761" s="580"/>
      <c r="V761" s="580"/>
      <c r="W761" s="580"/>
      <c r="X761" s="373"/>
    </row>
    <row r="762" spans="18:24" s="1" customFormat="1">
      <c r="R762" s="580"/>
      <c r="S762" s="580"/>
      <c r="T762" s="580"/>
      <c r="U762" s="580"/>
      <c r="V762" s="580"/>
      <c r="W762" s="580"/>
      <c r="X762" s="373"/>
    </row>
    <row r="763" spans="18:24" s="1" customFormat="1">
      <c r="R763" s="580"/>
      <c r="S763" s="580"/>
      <c r="T763" s="580"/>
      <c r="U763" s="580"/>
      <c r="V763" s="580"/>
      <c r="W763" s="580"/>
      <c r="X763" s="373"/>
    </row>
    <row r="764" spans="18:24" s="1" customFormat="1">
      <c r="R764" s="580"/>
      <c r="S764" s="580"/>
      <c r="T764" s="580"/>
      <c r="U764" s="580"/>
      <c r="V764" s="580"/>
      <c r="W764" s="580"/>
      <c r="X764" s="373"/>
    </row>
    <row r="765" spans="18:24" s="1" customFormat="1">
      <c r="R765" s="580"/>
      <c r="S765" s="580"/>
      <c r="T765" s="580"/>
      <c r="U765" s="580"/>
      <c r="V765" s="580"/>
      <c r="W765" s="580"/>
      <c r="X765" s="373"/>
    </row>
    <row r="766" spans="18:24" s="1" customFormat="1">
      <c r="R766" s="580"/>
      <c r="S766" s="580"/>
      <c r="T766" s="580"/>
      <c r="U766" s="580"/>
      <c r="V766" s="580"/>
      <c r="W766" s="580"/>
      <c r="X766" s="373"/>
    </row>
    <row r="767" spans="18:24" s="1" customFormat="1">
      <c r="R767" s="580"/>
      <c r="S767" s="580"/>
      <c r="T767" s="580"/>
      <c r="U767" s="580"/>
      <c r="V767" s="580"/>
      <c r="W767" s="580"/>
      <c r="X767" s="373"/>
    </row>
    <row r="768" spans="18:24" s="1" customFormat="1">
      <c r="R768" s="580"/>
      <c r="S768" s="580"/>
      <c r="T768" s="580"/>
      <c r="U768" s="580"/>
      <c r="V768" s="580"/>
      <c r="W768" s="580"/>
      <c r="X768" s="373"/>
    </row>
    <row r="769" spans="18:24" s="1" customFormat="1">
      <c r="R769" s="580"/>
      <c r="S769" s="580"/>
      <c r="T769" s="580"/>
      <c r="U769" s="580"/>
      <c r="V769" s="580"/>
      <c r="W769" s="580"/>
      <c r="X769" s="373"/>
    </row>
    <row r="770" spans="18:24" s="1" customFormat="1">
      <c r="R770" s="580"/>
      <c r="S770" s="580"/>
      <c r="T770" s="580"/>
      <c r="U770" s="580"/>
      <c r="V770" s="580"/>
      <c r="W770" s="580"/>
      <c r="X770" s="373"/>
    </row>
    <row r="771" spans="18:24" s="1" customFormat="1">
      <c r="R771" s="580"/>
      <c r="S771" s="580"/>
      <c r="T771" s="580"/>
      <c r="U771" s="580"/>
      <c r="V771" s="580"/>
      <c r="W771" s="580"/>
      <c r="X771" s="373"/>
    </row>
    <row r="772" spans="18:24" s="1" customFormat="1">
      <c r="R772" s="580"/>
      <c r="S772" s="580"/>
      <c r="T772" s="580"/>
      <c r="U772" s="580"/>
      <c r="V772" s="580"/>
      <c r="W772" s="580"/>
      <c r="X772" s="373"/>
    </row>
    <row r="773" spans="18:24" s="1" customFormat="1">
      <c r="R773" s="580"/>
      <c r="S773" s="580"/>
      <c r="T773" s="580"/>
      <c r="U773" s="580"/>
      <c r="V773" s="580"/>
      <c r="W773" s="580"/>
      <c r="X773" s="373"/>
    </row>
    <row r="774" spans="18:24" s="1" customFormat="1">
      <c r="R774" s="580"/>
      <c r="S774" s="580"/>
      <c r="T774" s="580"/>
      <c r="U774" s="580"/>
      <c r="V774" s="580"/>
      <c r="W774" s="580"/>
      <c r="X774" s="373"/>
    </row>
    <row r="775" spans="18:24" s="1" customFormat="1">
      <c r="R775" s="580"/>
      <c r="S775" s="580"/>
      <c r="T775" s="580"/>
      <c r="U775" s="580"/>
      <c r="V775" s="580"/>
      <c r="W775" s="580"/>
      <c r="X775" s="373"/>
    </row>
    <row r="776" spans="18:24" s="1" customFormat="1">
      <c r="R776" s="580"/>
      <c r="S776" s="580"/>
      <c r="T776" s="580"/>
      <c r="U776" s="580"/>
      <c r="V776" s="580"/>
      <c r="W776" s="580"/>
      <c r="X776" s="373"/>
    </row>
    <row r="777" spans="18:24" s="1" customFormat="1">
      <c r="R777" s="580"/>
      <c r="S777" s="580"/>
      <c r="T777" s="580"/>
      <c r="U777" s="580"/>
      <c r="V777" s="580"/>
      <c r="W777" s="580"/>
      <c r="X777" s="373"/>
    </row>
    <row r="778" spans="18:24" s="1" customFormat="1">
      <c r="R778" s="580"/>
      <c r="S778" s="580"/>
      <c r="T778" s="580"/>
      <c r="U778" s="580"/>
      <c r="V778" s="580"/>
      <c r="W778" s="580"/>
      <c r="X778" s="373"/>
    </row>
    <row r="779" spans="18:24" s="1" customFormat="1">
      <c r="R779" s="580"/>
      <c r="S779" s="580"/>
      <c r="T779" s="580"/>
      <c r="U779" s="580"/>
      <c r="V779" s="580"/>
      <c r="W779" s="580"/>
      <c r="X779" s="373"/>
    </row>
    <row r="780" spans="18:24" s="1" customFormat="1">
      <c r="R780" s="580"/>
      <c r="S780" s="580"/>
      <c r="T780" s="580"/>
      <c r="U780" s="580"/>
      <c r="V780" s="580"/>
      <c r="W780" s="580"/>
      <c r="X780" s="373"/>
    </row>
    <row r="781" spans="18:24" s="1" customFormat="1">
      <c r="R781" s="580"/>
      <c r="S781" s="580"/>
      <c r="T781" s="580"/>
      <c r="U781" s="580"/>
      <c r="V781" s="580"/>
      <c r="W781" s="580"/>
      <c r="X781" s="373"/>
    </row>
    <row r="782" spans="18:24" s="1" customFormat="1">
      <c r="R782" s="580"/>
      <c r="S782" s="580"/>
      <c r="T782" s="580"/>
      <c r="U782" s="580"/>
      <c r="V782" s="580"/>
      <c r="W782" s="580"/>
      <c r="X782" s="373"/>
    </row>
    <row r="783" spans="18:24" s="1" customFormat="1">
      <c r="R783" s="580"/>
      <c r="S783" s="580"/>
      <c r="T783" s="580"/>
      <c r="U783" s="580"/>
      <c r="V783" s="580"/>
      <c r="W783" s="580"/>
      <c r="X783" s="373"/>
    </row>
    <row r="784" spans="18:24" s="1" customFormat="1">
      <c r="R784" s="580"/>
      <c r="S784" s="580"/>
      <c r="T784" s="580"/>
      <c r="U784" s="580"/>
      <c r="V784" s="580"/>
      <c r="W784" s="580"/>
      <c r="X784" s="373"/>
    </row>
    <row r="785" spans="18:24" s="1" customFormat="1">
      <c r="R785" s="580"/>
      <c r="S785" s="580"/>
      <c r="T785" s="580"/>
      <c r="U785" s="580"/>
      <c r="V785" s="580"/>
      <c r="W785" s="580"/>
      <c r="X785" s="373"/>
    </row>
    <row r="786" spans="18:24" s="1" customFormat="1">
      <c r="R786" s="580"/>
      <c r="S786" s="580"/>
      <c r="T786" s="580"/>
      <c r="U786" s="580"/>
      <c r="V786" s="580"/>
      <c r="W786" s="580"/>
      <c r="X786" s="373"/>
    </row>
    <row r="787" spans="18:24" s="1" customFormat="1">
      <c r="R787" s="580"/>
      <c r="S787" s="580"/>
      <c r="T787" s="580"/>
      <c r="U787" s="580"/>
      <c r="V787" s="580"/>
      <c r="W787" s="580"/>
      <c r="X787" s="373"/>
    </row>
    <row r="788" spans="18:24" s="1" customFormat="1">
      <c r="R788" s="580"/>
      <c r="S788" s="580"/>
      <c r="T788" s="580"/>
      <c r="U788" s="580"/>
      <c r="V788" s="580"/>
      <c r="W788" s="580"/>
      <c r="X788" s="373"/>
    </row>
    <row r="789" spans="18:24" s="1" customFormat="1">
      <c r="R789" s="580"/>
      <c r="S789" s="580"/>
      <c r="T789" s="580"/>
      <c r="U789" s="580"/>
      <c r="V789" s="580"/>
      <c r="W789" s="580"/>
      <c r="X789" s="373"/>
    </row>
    <row r="790" spans="18:24" s="1" customFormat="1">
      <c r="R790" s="580"/>
      <c r="S790" s="580"/>
      <c r="T790" s="580"/>
      <c r="U790" s="580"/>
      <c r="V790" s="580"/>
      <c r="W790" s="580"/>
      <c r="X790" s="373"/>
    </row>
    <row r="791" spans="18:24" s="1" customFormat="1">
      <c r="R791" s="580"/>
      <c r="S791" s="580"/>
      <c r="T791" s="580"/>
      <c r="U791" s="580"/>
      <c r="V791" s="580"/>
      <c r="W791" s="580"/>
      <c r="X791" s="373"/>
    </row>
    <row r="792" spans="18:24" s="1" customFormat="1">
      <c r="R792" s="580"/>
      <c r="S792" s="580"/>
      <c r="T792" s="580"/>
      <c r="U792" s="580"/>
      <c r="V792" s="580"/>
      <c r="W792" s="580"/>
      <c r="X792" s="373"/>
    </row>
    <row r="793" spans="18:24" s="1" customFormat="1">
      <c r="R793" s="580"/>
      <c r="S793" s="580"/>
      <c r="T793" s="580"/>
      <c r="U793" s="580"/>
      <c r="V793" s="580"/>
      <c r="W793" s="580"/>
      <c r="X793" s="373"/>
    </row>
    <row r="794" spans="18:24" s="1" customFormat="1">
      <c r="R794" s="580"/>
      <c r="S794" s="580"/>
      <c r="T794" s="580"/>
      <c r="U794" s="580"/>
      <c r="V794" s="580"/>
      <c r="W794" s="580"/>
      <c r="X794" s="373"/>
    </row>
    <row r="795" spans="18:24" s="1" customFormat="1">
      <c r="R795" s="580"/>
      <c r="S795" s="580"/>
      <c r="T795" s="580"/>
      <c r="U795" s="580"/>
      <c r="V795" s="580"/>
      <c r="W795" s="580"/>
      <c r="X795" s="373"/>
    </row>
    <row r="796" spans="18:24" s="1" customFormat="1">
      <c r="R796" s="580"/>
      <c r="S796" s="580"/>
      <c r="T796" s="580"/>
      <c r="U796" s="580"/>
      <c r="V796" s="580"/>
      <c r="W796" s="580"/>
      <c r="X796" s="373"/>
    </row>
    <row r="797" spans="18:24" s="1" customFormat="1">
      <c r="R797" s="580"/>
      <c r="S797" s="580"/>
      <c r="T797" s="580"/>
      <c r="U797" s="580"/>
      <c r="V797" s="580"/>
      <c r="W797" s="580"/>
      <c r="X797" s="373"/>
    </row>
    <row r="798" spans="18:24" s="1" customFormat="1">
      <c r="R798" s="580"/>
      <c r="S798" s="580"/>
      <c r="T798" s="580"/>
      <c r="U798" s="580"/>
      <c r="V798" s="580"/>
      <c r="W798" s="580"/>
      <c r="X798" s="373"/>
    </row>
    <row r="799" spans="18:24" s="1" customFormat="1">
      <c r="R799" s="580"/>
      <c r="S799" s="580"/>
      <c r="T799" s="580"/>
      <c r="U799" s="580"/>
      <c r="V799" s="580"/>
      <c r="W799" s="580"/>
      <c r="X799" s="373"/>
    </row>
    <row r="800" spans="18:24" s="1" customFormat="1">
      <c r="R800" s="580"/>
      <c r="S800" s="580"/>
      <c r="T800" s="580"/>
      <c r="U800" s="580"/>
      <c r="V800" s="580"/>
      <c r="W800" s="580"/>
      <c r="X800" s="373"/>
    </row>
    <row r="801" spans="18:24" s="1" customFormat="1">
      <c r="R801" s="580"/>
      <c r="S801" s="580"/>
      <c r="T801" s="580"/>
      <c r="U801" s="580"/>
      <c r="V801" s="580"/>
      <c r="W801" s="580"/>
      <c r="X801" s="373"/>
    </row>
    <row r="802" spans="18:24" s="1" customFormat="1">
      <c r="R802" s="580"/>
      <c r="S802" s="580"/>
      <c r="T802" s="580"/>
      <c r="U802" s="580"/>
      <c r="V802" s="580"/>
      <c r="W802" s="580"/>
      <c r="X802" s="373"/>
    </row>
    <row r="803" spans="18:24" s="1" customFormat="1">
      <c r="R803" s="580"/>
      <c r="S803" s="580"/>
      <c r="T803" s="580"/>
      <c r="U803" s="580"/>
      <c r="V803" s="580"/>
      <c r="W803" s="580"/>
      <c r="X803" s="373"/>
    </row>
    <row r="804" spans="18:24" s="1" customFormat="1">
      <c r="R804" s="580"/>
      <c r="S804" s="580"/>
      <c r="T804" s="580"/>
      <c r="U804" s="580"/>
      <c r="V804" s="580"/>
      <c r="W804" s="580"/>
      <c r="X804" s="373"/>
    </row>
    <row r="805" spans="18:24" s="1" customFormat="1">
      <c r="R805" s="580"/>
      <c r="S805" s="580"/>
      <c r="T805" s="580"/>
      <c r="U805" s="580"/>
      <c r="V805" s="580"/>
      <c r="W805" s="580"/>
      <c r="X805" s="373"/>
    </row>
    <row r="806" spans="18:24" s="1" customFormat="1">
      <c r="R806" s="580"/>
      <c r="S806" s="580"/>
      <c r="T806" s="580"/>
      <c r="U806" s="580"/>
      <c r="V806" s="580"/>
      <c r="W806" s="580"/>
      <c r="X806" s="373"/>
    </row>
    <row r="807" spans="18:24" s="1" customFormat="1">
      <c r="R807" s="580"/>
      <c r="S807" s="580"/>
      <c r="T807" s="580"/>
      <c r="U807" s="580"/>
      <c r="V807" s="580"/>
      <c r="W807" s="580"/>
      <c r="X807" s="373"/>
    </row>
    <row r="808" spans="18:24" s="1" customFormat="1">
      <c r="R808" s="580"/>
      <c r="S808" s="580"/>
      <c r="T808" s="580"/>
      <c r="U808" s="580"/>
      <c r="V808" s="580"/>
      <c r="W808" s="580"/>
      <c r="X808" s="373"/>
    </row>
    <row r="809" spans="18:24" s="1" customFormat="1">
      <c r="R809" s="580"/>
      <c r="S809" s="580"/>
      <c r="T809" s="580"/>
      <c r="U809" s="580"/>
      <c r="V809" s="580"/>
      <c r="W809" s="580"/>
      <c r="X809" s="373"/>
    </row>
    <row r="810" spans="18:24" s="1" customFormat="1">
      <c r="R810" s="580"/>
      <c r="S810" s="580"/>
      <c r="T810" s="580"/>
      <c r="U810" s="580"/>
      <c r="V810" s="580"/>
      <c r="W810" s="580"/>
      <c r="X810" s="373"/>
    </row>
    <row r="811" spans="18:24" s="1" customFormat="1">
      <c r="R811" s="580"/>
      <c r="S811" s="580"/>
      <c r="T811" s="580"/>
      <c r="U811" s="580"/>
      <c r="V811" s="580"/>
      <c r="W811" s="580"/>
      <c r="X811" s="373"/>
    </row>
    <row r="812" spans="18:24" s="1" customFormat="1">
      <c r="R812" s="580"/>
      <c r="S812" s="580"/>
      <c r="T812" s="580"/>
      <c r="U812" s="580"/>
      <c r="V812" s="580"/>
      <c r="W812" s="580"/>
      <c r="X812" s="373"/>
    </row>
    <row r="813" spans="18:24" s="1" customFormat="1">
      <c r="R813" s="580"/>
      <c r="S813" s="580"/>
      <c r="T813" s="580"/>
      <c r="U813" s="580"/>
      <c r="V813" s="580"/>
      <c r="W813" s="580"/>
      <c r="X813" s="373"/>
    </row>
    <row r="814" spans="18:24" s="1" customFormat="1">
      <c r="R814" s="580"/>
      <c r="S814" s="580"/>
      <c r="T814" s="580"/>
      <c r="U814" s="580"/>
      <c r="V814" s="580"/>
      <c r="W814" s="580"/>
      <c r="X814" s="373"/>
    </row>
    <row r="815" spans="18:24" s="1" customFormat="1">
      <c r="R815" s="580"/>
      <c r="S815" s="580"/>
      <c r="T815" s="580"/>
      <c r="U815" s="580"/>
      <c r="V815" s="580"/>
      <c r="W815" s="580"/>
      <c r="X815" s="373"/>
    </row>
    <row r="816" spans="18:24" s="1" customFormat="1">
      <c r="R816" s="580"/>
      <c r="S816" s="580"/>
      <c r="T816" s="580"/>
      <c r="U816" s="580"/>
      <c r="V816" s="580"/>
      <c r="W816" s="580"/>
      <c r="X816" s="373"/>
    </row>
    <row r="817" spans="18:24" s="1" customFormat="1">
      <c r="R817" s="580"/>
      <c r="S817" s="580"/>
      <c r="T817" s="580"/>
      <c r="U817" s="580"/>
      <c r="V817" s="580"/>
      <c r="W817" s="580"/>
      <c r="X817" s="373"/>
    </row>
    <row r="818" spans="18:24" s="1" customFormat="1">
      <c r="R818" s="580"/>
      <c r="S818" s="580"/>
      <c r="T818" s="580"/>
      <c r="U818" s="580"/>
      <c r="V818" s="580"/>
      <c r="W818" s="580"/>
      <c r="X818" s="373"/>
    </row>
    <row r="819" spans="18:24" s="1" customFormat="1">
      <c r="R819" s="580"/>
      <c r="S819" s="580"/>
      <c r="T819" s="580"/>
      <c r="U819" s="580"/>
      <c r="V819" s="580"/>
      <c r="W819" s="580"/>
      <c r="X819" s="373"/>
    </row>
    <row r="820" spans="18:24" s="1" customFormat="1">
      <c r="R820" s="580"/>
      <c r="S820" s="580"/>
      <c r="T820" s="580"/>
      <c r="U820" s="580"/>
      <c r="V820" s="580"/>
      <c r="W820" s="580"/>
      <c r="X820" s="373"/>
    </row>
    <row r="821" spans="18:24" s="1" customFormat="1">
      <c r="R821" s="580"/>
      <c r="S821" s="580"/>
      <c r="T821" s="580"/>
      <c r="U821" s="580"/>
      <c r="V821" s="580"/>
      <c r="W821" s="580"/>
      <c r="X821" s="373"/>
    </row>
    <row r="822" spans="18:24" s="1" customFormat="1">
      <c r="R822" s="580"/>
      <c r="S822" s="580"/>
      <c r="T822" s="580"/>
      <c r="U822" s="580"/>
      <c r="V822" s="580"/>
      <c r="W822" s="580"/>
      <c r="X822" s="373"/>
    </row>
    <row r="823" spans="18:24" s="1" customFormat="1">
      <c r="R823" s="580"/>
      <c r="S823" s="580"/>
      <c r="T823" s="580"/>
      <c r="U823" s="580"/>
      <c r="V823" s="580"/>
      <c r="W823" s="580"/>
      <c r="X823" s="373"/>
    </row>
    <row r="824" spans="18:24" s="1" customFormat="1">
      <c r="R824" s="580"/>
      <c r="S824" s="580"/>
      <c r="T824" s="580"/>
      <c r="U824" s="580"/>
      <c r="V824" s="580"/>
      <c r="W824" s="580"/>
      <c r="X824" s="373"/>
    </row>
    <row r="825" spans="18:24" s="1" customFormat="1">
      <c r="R825" s="580"/>
      <c r="S825" s="580"/>
      <c r="T825" s="580"/>
      <c r="U825" s="580"/>
      <c r="V825" s="580"/>
      <c r="W825" s="580"/>
      <c r="X825" s="373"/>
    </row>
    <row r="826" spans="18:24" s="1" customFormat="1">
      <c r="R826" s="580"/>
      <c r="S826" s="580"/>
      <c r="T826" s="580"/>
      <c r="U826" s="580"/>
      <c r="V826" s="580"/>
      <c r="W826" s="580"/>
      <c r="X826" s="373"/>
    </row>
    <row r="827" spans="18:24" s="1" customFormat="1">
      <c r="R827" s="580"/>
      <c r="S827" s="580"/>
      <c r="T827" s="580"/>
      <c r="U827" s="580"/>
      <c r="V827" s="580"/>
      <c r="W827" s="580"/>
      <c r="X827" s="373"/>
    </row>
    <row r="828" spans="18:24" s="1" customFormat="1">
      <c r="R828" s="580"/>
      <c r="S828" s="580"/>
      <c r="T828" s="580"/>
      <c r="U828" s="580"/>
      <c r="V828" s="580"/>
      <c r="W828" s="580"/>
      <c r="X828" s="373"/>
    </row>
    <row r="829" spans="18:24" s="1" customFormat="1">
      <c r="R829" s="580"/>
      <c r="S829" s="580"/>
      <c r="T829" s="580"/>
      <c r="U829" s="580"/>
      <c r="V829" s="580"/>
      <c r="W829" s="580"/>
      <c r="X829" s="373"/>
    </row>
    <row r="830" spans="18:24" s="1" customFormat="1">
      <c r="R830" s="580"/>
      <c r="S830" s="580"/>
      <c r="T830" s="580"/>
      <c r="U830" s="580"/>
      <c r="V830" s="580"/>
      <c r="W830" s="580"/>
      <c r="X830" s="373"/>
    </row>
    <row r="831" spans="18:24" s="1" customFormat="1">
      <c r="R831" s="580"/>
      <c r="S831" s="580"/>
      <c r="T831" s="580"/>
      <c r="U831" s="580"/>
      <c r="V831" s="580"/>
      <c r="W831" s="580"/>
      <c r="X831" s="373"/>
    </row>
    <row r="832" spans="18:24" s="1" customFormat="1">
      <c r="R832" s="580"/>
      <c r="S832" s="580"/>
      <c r="T832" s="580"/>
      <c r="U832" s="580"/>
      <c r="V832" s="580"/>
      <c r="W832" s="580"/>
      <c r="X832" s="373"/>
    </row>
    <row r="833" spans="18:24" s="1" customFormat="1">
      <c r="R833" s="580"/>
      <c r="S833" s="580"/>
      <c r="T833" s="580"/>
      <c r="U833" s="580"/>
      <c r="V833" s="580"/>
      <c r="W833" s="580"/>
      <c r="X833" s="373"/>
    </row>
    <row r="834" spans="18:24" s="1" customFormat="1">
      <c r="R834" s="580"/>
      <c r="S834" s="580"/>
      <c r="T834" s="580"/>
      <c r="U834" s="580"/>
      <c r="V834" s="580"/>
      <c r="W834" s="580"/>
      <c r="X834" s="373"/>
    </row>
    <row r="835" spans="18:24" s="1" customFormat="1">
      <c r="R835" s="580"/>
      <c r="S835" s="580"/>
      <c r="T835" s="580"/>
      <c r="U835" s="580"/>
      <c r="V835" s="580"/>
      <c r="W835" s="580"/>
      <c r="X835" s="373"/>
    </row>
    <row r="836" spans="18:24" s="1" customFormat="1">
      <c r="R836" s="580"/>
      <c r="S836" s="580"/>
      <c r="T836" s="580"/>
      <c r="U836" s="580"/>
      <c r="V836" s="580"/>
      <c r="W836" s="580"/>
      <c r="X836" s="373"/>
    </row>
    <row r="837" spans="18:24" s="1" customFormat="1">
      <c r="R837" s="580"/>
      <c r="S837" s="580"/>
      <c r="T837" s="580"/>
      <c r="U837" s="580"/>
      <c r="V837" s="580"/>
      <c r="W837" s="580"/>
      <c r="X837" s="373"/>
    </row>
    <row r="838" spans="18:24" s="1" customFormat="1">
      <c r="R838" s="580"/>
      <c r="S838" s="580"/>
      <c r="T838" s="580"/>
      <c r="U838" s="580"/>
      <c r="V838" s="580"/>
      <c r="W838" s="580"/>
      <c r="X838" s="373"/>
    </row>
    <row r="839" spans="18:24" s="1" customFormat="1">
      <c r="R839" s="580"/>
      <c r="S839" s="580"/>
      <c r="T839" s="580"/>
      <c r="U839" s="580"/>
      <c r="V839" s="580"/>
      <c r="W839" s="580"/>
      <c r="X839" s="373"/>
    </row>
    <row r="840" spans="18:24" s="1" customFormat="1">
      <c r="R840" s="580"/>
      <c r="S840" s="580"/>
      <c r="T840" s="580"/>
      <c r="U840" s="580"/>
      <c r="V840" s="580"/>
      <c r="W840" s="580"/>
      <c r="X840" s="373"/>
    </row>
    <row r="841" spans="18:24" s="1" customFormat="1">
      <c r="R841" s="580"/>
      <c r="S841" s="580"/>
      <c r="T841" s="580"/>
      <c r="U841" s="580"/>
      <c r="V841" s="580"/>
      <c r="W841" s="580"/>
      <c r="X841" s="373"/>
    </row>
    <row r="842" spans="18:24" s="1" customFormat="1">
      <c r="R842" s="580"/>
      <c r="S842" s="580"/>
      <c r="T842" s="580"/>
      <c r="U842" s="580"/>
      <c r="V842" s="580"/>
      <c r="W842" s="580"/>
      <c r="X842" s="373"/>
    </row>
    <row r="843" spans="18:24" s="1" customFormat="1">
      <c r="R843" s="580"/>
      <c r="S843" s="580"/>
      <c r="T843" s="580"/>
      <c r="U843" s="580"/>
      <c r="V843" s="580"/>
      <c r="W843" s="580"/>
      <c r="X843" s="373"/>
    </row>
    <row r="844" spans="18:24" s="1" customFormat="1">
      <c r="R844" s="580"/>
      <c r="S844" s="580"/>
      <c r="T844" s="580"/>
      <c r="U844" s="580"/>
      <c r="V844" s="580"/>
      <c r="W844" s="580"/>
      <c r="X844" s="373"/>
    </row>
    <row r="845" spans="18:24" s="1" customFormat="1">
      <c r="R845" s="580"/>
      <c r="S845" s="580"/>
      <c r="T845" s="580"/>
      <c r="U845" s="580"/>
      <c r="V845" s="580"/>
      <c r="W845" s="580"/>
      <c r="X845" s="373"/>
    </row>
    <row r="846" spans="18:24" s="1" customFormat="1">
      <c r="R846" s="580"/>
      <c r="S846" s="580"/>
      <c r="T846" s="580"/>
      <c r="U846" s="580"/>
      <c r="V846" s="580"/>
      <c r="W846" s="580"/>
      <c r="X846" s="373"/>
    </row>
    <row r="847" spans="18:24" s="1" customFormat="1">
      <c r="R847" s="580"/>
      <c r="S847" s="580"/>
      <c r="T847" s="580"/>
      <c r="U847" s="580"/>
      <c r="V847" s="580"/>
      <c r="W847" s="580"/>
      <c r="X847" s="373"/>
    </row>
    <row r="848" spans="18:24" s="1" customFormat="1">
      <c r="R848" s="580"/>
      <c r="S848" s="580"/>
      <c r="T848" s="580"/>
      <c r="U848" s="580"/>
      <c r="V848" s="580"/>
      <c r="W848" s="580"/>
      <c r="X848" s="373"/>
    </row>
    <row r="849" spans="18:24" s="1" customFormat="1">
      <c r="R849" s="580"/>
      <c r="S849" s="580"/>
      <c r="T849" s="580"/>
      <c r="U849" s="580"/>
      <c r="V849" s="580"/>
      <c r="W849" s="580"/>
      <c r="X849" s="373"/>
    </row>
    <row r="850" spans="18:24" s="1" customFormat="1">
      <c r="R850" s="580"/>
      <c r="S850" s="580"/>
      <c r="T850" s="580"/>
      <c r="U850" s="580"/>
      <c r="V850" s="580"/>
      <c r="W850" s="580"/>
      <c r="X850" s="373"/>
    </row>
    <row r="851" spans="18:24" s="1" customFormat="1">
      <c r="R851" s="580"/>
      <c r="S851" s="580"/>
      <c r="T851" s="580"/>
      <c r="U851" s="580"/>
      <c r="V851" s="580"/>
      <c r="W851" s="580"/>
      <c r="X851" s="373"/>
    </row>
    <row r="852" spans="18:24" s="1" customFormat="1">
      <c r="R852" s="580"/>
      <c r="S852" s="580"/>
      <c r="T852" s="580"/>
      <c r="U852" s="580"/>
      <c r="V852" s="580"/>
      <c r="W852" s="580"/>
      <c r="X852" s="373"/>
    </row>
    <row r="853" spans="18:24" s="1" customFormat="1">
      <c r="R853" s="580"/>
      <c r="S853" s="580"/>
      <c r="T853" s="580"/>
      <c r="U853" s="580"/>
      <c r="V853" s="580"/>
      <c r="W853" s="580"/>
      <c r="X853" s="373"/>
    </row>
    <row r="854" spans="18:24" s="1" customFormat="1">
      <c r="R854" s="580"/>
      <c r="S854" s="580"/>
      <c r="T854" s="580"/>
      <c r="U854" s="580"/>
      <c r="V854" s="580"/>
      <c r="W854" s="580"/>
      <c r="X854" s="373"/>
    </row>
    <row r="855" spans="18:24" s="1" customFormat="1">
      <c r="R855" s="580"/>
      <c r="S855" s="580"/>
      <c r="T855" s="580"/>
      <c r="U855" s="580"/>
      <c r="V855" s="580"/>
      <c r="W855" s="580"/>
      <c r="X855" s="373"/>
    </row>
    <row r="856" spans="18:24" s="1" customFormat="1">
      <c r="R856" s="580"/>
      <c r="S856" s="580"/>
      <c r="T856" s="580"/>
      <c r="U856" s="580"/>
      <c r="V856" s="580"/>
      <c r="W856" s="580"/>
      <c r="X856" s="373"/>
    </row>
    <row r="857" spans="18:24" s="1" customFormat="1">
      <c r="R857" s="580"/>
      <c r="S857" s="580"/>
      <c r="T857" s="580"/>
      <c r="U857" s="580"/>
      <c r="V857" s="580"/>
      <c r="W857" s="580"/>
      <c r="X857" s="373"/>
    </row>
    <row r="858" spans="18:24" s="1" customFormat="1">
      <c r="R858" s="580"/>
      <c r="S858" s="580"/>
      <c r="T858" s="580"/>
      <c r="U858" s="580"/>
      <c r="V858" s="580"/>
      <c r="W858" s="580"/>
      <c r="X858" s="373"/>
    </row>
    <row r="859" spans="18:24" s="1" customFormat="1">
      <c r="R859" s="580"/>
      <c r="S859" s="580"/>
      <c r="T859" s="580"/>
      <c r="U859" s="580"/>
      <c r="V859" s="580"/>
      <c r="W859" s="580"/>
      <c r="X859" s="373"/>
    </row>
    <row r="860" spans="18:24" s="1" customFormat="1">
      <c r="R860" s="580"/>
      <c r="S860" s="580"/>
      <c r="T860" s="580"/>
      <c r="U860" s="580"/>
      <c r="V860" s="580"/>
      <c r="W860" s="580"/>
      <c r="X860" s="373"/>
    </row>
    <row r="861" spans="18:24" s="1" customFormat="1">
      <c r="R861" s="580"/>
      <c r="S861" s="580"/>
      <c r="T861" s="580"/>
      <c r="U861" s="580"/>
      <c r="V861" s="580"/>
      <c r="W861" s="580"/>
      <c r="X861" s="373"/>
    </row>
    <row r="862" spans="18:24" s="1" customFormat="1">
      <c r="R862" s="580"/>
      <c r="S862" s="580"/>
      <c r="T862" s="580"/>
      <c r="U862" s="580"/>
      <c r="V862" s="580"/>
      <c r="W862" s="580"/>
      <c r="X862" s="373"/>
    </row>
    <row r="863" spans="18:24" s="1" customFormat="1">
      <c r="R863" s="580"/>
      <c r="S863" s="580"/>
      <c r="T863" s="580"/>
      <c r="U863" s="580"/>
      <c r="V863" s="580"/>
      <c r="W863" s="580"/>
      <c r="X863" s="373"/>
    </row>
    <row r="864" spans="18:24" s="1" customFormat="1">
      <c r="R864" s="580"/>
      <c r="S864" s="580"/>
      <c r="T864" s="580"/>
      <c r="U864" s="580"/>
      <c r="V864" s="580"/>
      <c r="W864" s="580"/>
      <c r="X864" s="373"/>
    </row>
    <row r="865" spans="18:24" s="1" customFormat="1">
      <c r="R865" s="580"/>
      <c r="S865" s="580"/>
      <c r="T865" s="580"/>
      <c r="U865" s="580"/>
      <c r="V865" s="580"/>
      <c r="W865" s="580"/>
      <c r="X865" s="373"/>
    </row>
    <row r="866" spans="18:24" s="1" customFormat="1">
      <c r="R866" s="580"/>
      <c r="S866" s="580"/>
      <c r="T866" s="580"/>
      <c r="U866" s="580"/>
      <c r="V866" s="580"/>
      <c r="W866" s="580"/>
      <c r="X866" s="373"/>
    </row>
    <row r="867" spans="18:24" s="1" customFormat="1">
      <c r="R867" s="580"/>
      <c r="S867" s="580"/>
      <c r="T867" s="580"/>
      <c r="U867" s="580"/>
      <c r="V867" s="580"/>
      <c r="W867" s="580"/>
      <c r="X867" s="373"/>
    </row>
    <row r="868" spans="18:24" s="1" customFormat="1">
      <c r="R868" s="580"/>
      <c r="S868" s="580"/>
      <c r="T868" s="580"/>
      <c r="U868" s="580"/>
      <c r="V868" s="580"/>
      <c r="W868" s="580"/>
      <c r="X868" s="373"/>
    </row>
    <row r="869" spans="18:24" s="1" customFormat="1">
      <c r="R869" s="580"/>
      <c r="S869" s="580"/>
      <c r="T869" s="580"/>
      <c r="U869" s="580"/>
      <c r="V869" s="580"/>
      <c r="W869" s="580"/>
      <c r="X869" s="373"/>
    </row>
    <row r="870" spans="18:24" s="1" customFormat="1">
      <c r="R870" s="580"/>
      <c r="S870" s="580"/>
      <c r="T870" s="580"/>
      <c r="U870" s="580"/>
      <c r="V870" s="580"/>
      <c r="W870" s="580"/>
      <c r="X870" s="373"/>
    </row>
    <row r="871" spans="18:24" s="1" customFormat="1">
      <c r="R871" s="580"/>
      <c r="S871" s="580"/>
      <c r="T871" s="580"/>
      <c r="U871" s="580"/>
      <c r="V871" s="580"/>
      <c r="W871" s="580"/>
      <c r="X871" s="373"/>
    </row>
    <row r="872" spans="18:24" s="1" customFormat="1">
      <c r="R872" s="580"/>
      <c r="S872" s="580"/>
      <c r="T872" s="580"/>
      <c r="U872" s="580"/>
      <c r="V872" s="580"/>
      <c r="W872" s="580"/>
      <c r="X872" s="373"/>
    </row>
    <row r="873" spans="18:24" s="1" customFormat="1">
      <c r="R873" s="580"/>
      <c r="S873" s="580"/>
      <c r="T873" s="580"/>
      <c r="U873" s="580"/>
      <c r="V873" s="580"/>
      <c r="W873" s="580"/>
      <c r="X873" s="373"/>
    </row>
    <row r="874" spans="18:24" s="1" customFormat="1">
      <c r="R874" s="580"/>
      <c r="S874" s="580"/>
      <c r="T874" s="580"/>
      <c r="U874" s="580"/>
      <c r="V874" s="580"/>
      <c r="W874" s="580"/>
      <c r="X874" s="373"/>
    </row>
    <row r="875" spans="18:24" s="1" customFormat="1">
      <c r="R875" s="580"/>
      <c r="S875" s="580"/>
      <c r="T875" s="580"/>
      <c r="U875" s="580"/>
      <c r="V875" s="580"/>
      <c r="W875" s="580"/>
      <c r="X875" s="373"/>
    </row>
    <row r="876" spans="18:24" s="1" customFormat="1">
      <c r="R876" s="580"/>
      <c r="S876" s="580"/>
      <c r="T876" s="580"/>
      <c r="U876" s="580"/>
      <c r="V876" s="580"/>
      <c r="W876" s="580"/>
      <c r="X876" s="373"/>
    </row>
    <row r="877" spans="18:24" s="1" customFormat="1">
      <c r="R877" s="580"/>
      <c r="S877" s="580"/>
      <c r="T877" s="580"/>
      <c r="U877" s="580"/>
      <c r="V877" s="580"/>
      <c r="W877" s="580"/>
      <c r="X877" s="373"/>
    </row>
    <row r="878" spans="18:24" s="1" customFormat="1">
      <c r="R878" s="580"/>
      <c r="S878" s="580"/>
      <c r="T878" s="580"/>
      <c r="U878" s="580"/>
      <c r="V878" s="580"/>
      <c r="W878" s="580"/>
      <c r="X878" s="373"/>
    </row>
  </sheetData>
  <mergeCells count="11">
    <mergeCell ref="C5:D5"/>
    <mergeCell ref="G5:H5"/>
    <mergeCell ref="B39:M39"/>
    <mergeCell ref="B22:M22"/>
    <mergeCell ref="B1:M1"/>
    <mergeCell ref="B2:M2"/>
    <mergeCell ref="B3:M3"/>
    <mergeCell ref="K5:M5"/>
    <mergeCell ref="B21:M21"/>
    <mergeCell ref="E5:F5"/>
    <mergeCell ref="I5:J5"/>
  </mergeCells>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colBreaks count="2" manualBreakCount="2">
    <brk id="14" max="39" man="1"/>
    <brk id="23" max="39" man="1"/>
  </colBreaks>
  <ignoredErrors>
    <ignoredError sqref="C19:L19" formulaRange="1"/>
    <ignoredError sqref="T1:T2" formula="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X32"/>
  <sheetViews>
    <sheetView topLeftCell="A7" zoomScaleNormal="100" workbookViewId="0">
      <selection activeCell="L11" sqref="L11"/>
    </sheetView>
  </sheetViews>
  <sheetFormatPr baseColWidth="10" defaultColWidth="10.90625" defaultRowHeight="12"/>
  <cols>
    <col min="1" max="1" width="1.6328125" style="1" customWidth="1"/>
    <col min="2" max="2" width="6.1796875" style="1" customWidth="1"/>
    <col min="3" max="3" width="6.453125" style="1" customWidth="1"/>
    <col min="4" max="4" width="10.81640625" style="1" customWidth="1"/>
    <col min="5" max="5" width="7.90625" style="1" bestFit="1" customWidth="1"/>
    <col min="6" max="6" width="8.453125" style="1" bestFit="1" customWidth="1"/>
    <col min="7" max="7" width="7.90625" style="1" bestFit="1" customWidth="1"/>
    <col min="8" max="8" width="8.26953125" style="1" customWidth="1"/>
    <col min="9" max="9" width="6.453125" style="1" customWidth="1"/>
    <col min="10" max="10" width="1.90625" style="1" customWidth="1"/>
    <col min="11" max="11" width="2.90625" style="1" customWidth="1"/>
    <col min="12" max="12" width="5.08984375" style="1" bestFit="1" customWidth="1"/>
    <col min="13" max="13" width="3.453125" style="1" customWidth="1"/>
    <col min="14" max="14" width="11.36328125" style="1" customWidth="1"/>
    <col min="15" max="16" width="3.453125" style="1" customWidth="1"/>
    <col min="17" max="17" width="7.90625" style="1" customWidth="1"/>
    <col min="18" max="18" width="2" style="1" customWidth="1"/>
    <col min="19" max="24" width="3" style="2" customWidth="1"/>
    <col min="25" max="16384" width="10.90625" style="1"/>
  </cols>
  <sheetData>
    <row r="1" spans="2:14" s="22" customFormat="1" ht="12.75" customHeight="1">
      <c r="B1" s="858" t="s">
        <v>196</v>
      </c>
      <c r="C1" s="858"/>
      <c r="D1" s="858"/>
      <c r="E1" s="858"/>
      <c r="F1" s="858"/>
      <c r="G1" s="858"/>
      <c r="H1" s="858"/>
      <c r="I1" s="858"/>
    </row>
    <row r="2" spans="2:14" s="22" customFormat="1" ht="6" customHeight="1"/>
    <row r="3" spans="2:14" s="22" customFormat="1" ht="12.75">
      <c r="B3" s="767" t="s">
        <v>570</v>
      </c>
      <c r="C3" s="767"/>
      <c r="D3" s="767"/>
      <c r="E3" s="767"/>
      <c r="F3" s="767"/>
      <c r="G3" s="767"/>
      <c r="H3" s="767"/>
      <c r="I3" s="767"/>
    </row>
    <row r="4" spans="2:14" s="22" customFormat="1" ht="12.75">
      <c r="B4" s="839" t="s">
        <v>644</v>
      </c>
      <c r="C4" s="839"/>
      <c r="D4" s="839"/>
      <c r="E4" s="839"/>
      <c r="F4" s="839"/>
      <c r="G4" s="839"/>
      <c r="H4" s="839"/>
      <c r="I4" s="839"/>
    </row>
    <row r="5" spans="2:14" s="22" customFormat="1" ht="15" customHeight="1">
      <c r="B5" s="767" t="s">
        <v>571</v>
      </c>
      <c r="C5" s="767"/>
      <c r="D5" s="767"/>
      <c r="E5" s="767"/>
      <c r="F5" s="767"/>
      <c r="G5" s="767"/>
      <c r="H5" s="767"/>
      <c r="I5" s="767"/>
    </row>
    <row r="6" spans="2:14" s="22" customFormat="1" ht="50.25" customHeight="1">
      <c r="B6" s="339" t="s">
        <v>423</v>
      </c>
      <c r="C6" s="339" t="s">
        <v>572</v>
      </c>
      <c r="D6" s="339" t="s">
        <v>573</v>
      </c>
      <c r="E6" s="339" t="s">
        <v>574</v>
      </c>
      <c r="F6" s="339" t="s">
        <v>575</v>
      </c>
      <c r="G6" s="339" t="s">
        <v>576</v>
      </c>
      <c r="H6" s="339" t="s">
        <v>587</v>
      </c>
      <c r="I6" s="339" t="s">
        <v>577</v>
      </c>
      <c r="M6"/>
      <c r="N6"/>
    </row>
    <row r="7" spans="2:14" s="22" customFormat="1" ht="86.45" customHeight="1">
      <c r="B7" s="128" t="s">
        <v>181</v>
      </c>
      <c r="C7" s="103" t="s">
        <v>578</v>
      </c>
      <c r="D7" s="103" t="s">
        <v>579</v>
      </c>
      <c r="E7" s="455" t="s">
        <v>580</v>
      </c>
      <c r="F7" s="455" t="s">
        <v>581</v>
      </c>
      <c r="G7" s="455" t="s">
        <v>582</v>
      </c>
      <c r="H7" s="455" t="s">
        <v>583</v>
      </c>
      <c r="I7" s="455" t="s">
        <v>584</v>
      </c>
      <c r="M7"/>
      <c r="N7"/>
    </row>
    <row r="8" spans="2:14" s="22" customFormat="1" ht="15.75" customHeight="1">
      <c r="B8" s="52">
        <v>2015</v>
      </c>
      <c r="C8" s="46">
        <v>0.184</v>
      </c>
      <c r="D8" s="46">
        <v>165.41900000000001</v>
      </c>
      <c r="E8" s="46">
        <v>33427.444000000003</v>
      </c>
      <c r="F8" s="46">
        <v>79329.955000000002</v>
      </c>
      <c r="G8" s="46">
        <v>5746.4930000000004</v>
      </c>
      <c r="H8" s="46">
        <v>118503.89200000001</v>
      </c>
      <c r="I8" s="46">
        <v>23403.947</v>
      </c>
      <c r="J8" s="95"/>
      <c r="M8"/>
      <c r="N8"/>
    </row>
    <row r="9" spans="2:14" s="22" customFormat="1" ht="15.75" customHeight="1">
      <c r="B9" s="52">
        <v>2016</v>
      </c>
      <c r="C9" s="46">
        <v>2.65</v>
      </c>
      <c r="D9" s="46">
        <v>245.19800000000001</v>
      </c>
      <c r="E9" s="46">
        <v>32468.589</v>
      </c>
      <c r="F9" s="46">
        <v>63325.135999999999</v>
      </c>
      <c r="G9" s="46">
        <v>8109.7209999999995</v>
      </c>
      <c r="H9" s="46">
        <v>103903.44600000001</v>
      </c>
      <c r="I9" s="46">
        <v>25158.268</v>
      </c>
      <c r="J9" s="95"/>
      <c r="M9"/>
      <c r="N9"/>
    </row>
    <row r="10" spans="2:14" s="22" customFormat="1" ht="15.75" customHeight="1">
      <c r="B10" s="52">
        <v>2017</v>
      </c>
      <c r="C10" s="46">
        <v>0</v>
      </c>
      <c r="D10" s="46">
        <v>251</v>
      </c>
      <c r="E10" s="46">
        <v>51251.331999999995</v>
      </c>
      <c r="F10" s="46">
        <v>71736.990999999995</v>
      </c>
      <c r="G10" s="46">
        <v>8223.1779999999999</v>
      </c>
      <c r="H10" s="46">
        <v>131211.50099999999</v>
      </c>
      <c r="I10" s="46">
        <v>23480.124</v>
      </c>
      <c r="J10" s="95"/>
      <c r="M10"/>
      <c r="N10"/>
    </row>
    <row r="11" spans="2:14" s="22" customFormat="1" ht="15.75" customHeight="1">
      <c r="B11" s="52">
        <v>2018</v>
      </c>
      <c r="C11" s="46">
        <v>2.6</v>
      </c>
      <c r="D11" s="46">
        <v>132</v>
      </c>
      <c r="E11" s="46">
        <v>34146.11952</v>
      </c>
      <c r="F11" s="46">
        <v>88590.467260000005</v>
      </c>
      <c r="G11" s="46">
        <v>10628.6798</v>
      </c>
      <c r="H11" s="46">
        <v>133365</v>
      </c>
      <c r="I11" s="46">
        <v>30688.84042</v>
      </c>
      <c r="J11" s="95"/>
      <c r="M11"/>
      <c r="N11" s="432"/>
    </row>
    <row r="12" spans="2:14" s="22" customFormat="1" ht="15.75" customHeight="1">
      <c r="B12" s="52">
        <v>2019</v>
      </c>
      <c r="C12" s="46">
        <v>11</v>
      </c>
      <c r="D12" s="46">
        <v>291</v>
      </c>
      <c r="E12" s="46">
        <v>36413</v>
      </c>
      <c r="F12" s="46">
        <v>84744.584040000016</v>
      </c>
      <c r="G12" s="46">
        <v>5123.49629</v>
      </c>
      <c r="H12" s="46">
        <v>126281.55284999999</v>
      </c>
      <c r="I12" s="46">
        <v>27380.79</v>
      </c>
      <c r="J12" s="95"/>
      <c r="K12" s="22" t="s">
        <v>663</v>
      </c>
      <c r="L12" s="95"/>
      <c r="M12"/>
      <c r="N12" s="432"/>
    </row>
    <row r="13" spans="2:14" s="22" customFormat="1" ht="15.75" customHeight="1">
      <c r="B13" s="52">
        <v>2020</v>
      </c>
      <c r="C13" s="46">
        <v>36.160879999999999</v>
      </c>
      <c r="D13" s="46">
        <v>361.52414999999996</v>
      </c>
      <c r="E13" s="46">
        <v>52918.822890000003</v>
      </c>
      <c r="F13" s="46">
        <v>100601.82218000002</v>
      </c>
      <c r="G13" s="46">
        <v>13833.749479999999</v>
      </c>
      <c r="H13" s="46">
        <v>167354.39455000003</v>
      </c>
      <c r="I13" s="46">
        <v>30916.17628</v>
      </c>
      <c r="J13" s="95"/>
      <c r="L13" s="95"/>
      <c r="M13"/>
      <c r="N13" s="432"/>
    </row>
    <row r="14" spans="2:14" s="22" customFormat="1" ht="15.75" customHeight="1">
      <c r="B14" s="52">
        <v>2021</v>
      </c>
      <c r="C14" s="46">
        <v>24.07762</v>
      </c>
      <c r="D14" s="46">
        <v>194.31326999999999</v>
      </c>
      <c r="E14" s="46">
        <v>53219.585890000002</v>
      </c>
      <c r="F14" s="46">
        <v>62602.326540000002</v>
      </c>
      <c r="G14" s="46">
        <v>15387.177729999999</v>
      </c>
      <c r="H14" s="46">
        <v>131209.09016000002</v>
      </c>
      <c r="I14" s="46">
        <v>41152.463060000002</v>
      </c>
      <c r="J14" s="95"/>
      <c r="L14" s="95" t="s">
        <v>663</v>
      </c>
      <c r="M14"/>
      <c r="N14" s="432"/>
    </row>
    <row r="15" spans="2:14" s="22" customFormat="1" ht="15.75" customHeight="1">
      <c r="B15" s="52" t="s">
        <v>646</v>
      </c>
      <c r="C15" s="46">
        <v>22.437999999999999</v>
      </c>
      <c r="D15" s="46">
        <v>996.57327999999995</v>
      </c>
      <c r="E15" s="46">
        <v>33758.836840000004</v>
      </c>
      <c r="F15" s="46">
        <v>40907.014460000006</v>
      </c>
      <c r="G15" s="46">
        <v>11282.157929999998</v>
      </c>
      <c r="H15" s="46">
        <v>85948.009229999996</v>
      </c>
      <c r="I15" s="46">
        <v>13084.02036</v>
      </c>
      <c r="J15" s="95"/>
      <c r="L15" s="95"/>
      <c r="M15"/>
      <c r="N15" s="432"/>
    </row>
    <row r="16" spans="2:14" s="22" customFormat="1" ht="26.25" customHeight="1">
      <c r="B16" s="868" t="s">
        <v>762</v>
      </c>
      <c r="C16" s="868"/>
      <c r="D16" s="868"/>
      <c r="E16" s="868"/>
      <c r="F16" s="868"/>
      <c r="G16" s="868"/>
      <c r="H16" s="868"/>
      <c r="I16" s="868"/>
      <c r="J16" s="95"/>
    </row>
    <row r="17" spans="2:24" ht="29.25" customHeight="1">
      <c r="B17" s="1" t="s">
        <v>671</v>
      </c>
      <c r="C17" s="12"/>
      <c r="D17" s="12"/>
      <c r="E17" s="12"/>
      <c r="F17" s="12"/>
      <c r="G17" s="12"/>
      <c r="H17" s="12"/>
      <c r="K17" s="22"/>
      <c r="L17" s="22"/>
      <c r="M17" s="22"/>
      <c r="N17" s="22"/>
      <c r="O17" s="22"/>
    </row>
    <row r="18" spans="2:24" ht="12.75">
      <c r="C18" s="12"/>
      <c r="D18" s="12"/>
      <c r="E18" s="12"/>
      <c r="F18" s="12"/>
      <c r="G18" s="12"/>
      <c r="H18" s="12"/>
      <c r="J18" s="12"/>
      <c r="K18" s="22"/>
      <c r="L18" s="22"/>
      <c r="M18" s="22"/>
      <c r="N18" s="22"/>
      <c r="O18" s="22"/>
    </row>
    <row r="19" spans="2:24">
      <c r="C19" s="12"/>
      <c r="D19" s="12"/>
      <c r="E19" s="12"/>
      <c r="F19" s="12"/>
      <c r="G19" s="12"/>
      <c r="H19" s="12"/>
    </row>
    <row r="21" spans="2:24" ht="15" customHeight="1"/>
    <row r="22" spans="2:24" ht="15" customHeight="1">
      <c r="B22" s="4"/>
      <c r="C22" s="4"/>
      <c r="D22" s="4"/>
      <c r="E22" s="4"/>
      <c r="F22" s="4"/>
      <c r="G22" s="4"/>
      <c r="H22" s="4"/>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3"/>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D6:G6 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AG57"/>
  <sheetViews>
    <sheetView topLeftCell="A14" zoomScaleNormal="100" workbookViewId="0">
      <selection activeCell="I33" sqref="I33"/>
    </sheetView>
  </sheetViews>
  <sheetFormatPr baseColWidth="10" defaultColWidth="10.90625" defaultRowHeight="12"/>
  <cols>
    <col min="1" max="1" width="1" style="1" customWidth="1"/>
    <col min="2" max="7" width="8.81640625" style="1" customWidth="1"/>
    <col min="8" max="8" width="1.453125" style="1" customWidth="1"/>
    <col min="9" max="9" width="4.453125" style="1" customWidth="1"/>
    <col min="10" max="10" width="4" style="1" customWidth="1"/>
    <col min="11" max="11" width="7.36328125" style="1" bestFit="1" customWidth="1"/>
    <col min="12" max="12" width="4.26953125" style="1" customWidth="1"/>
    <col min="13" max="13" width="4.7265625" style="1" customWidth="1"/>
    <col min="14" max="25" width="3.453125" style="1" customWidth="1"/>
    <col min="26" max="26" width="7.90625" style="1" customWidth="1"/>
    <col min="27" max="27" width="2" style="1" customWidth="1"/>
    <col min="28" max="33" width="3" style="2" customWidth="1"/>
    <col min="34" max="16384" width="10.90625" style="1"/>
  </cols>
  <sheetData>
    <row r="1" spans="2:20" s="22" customFormat="1" ht="12.75" customHeight="1">
      <c r="B1" s="858" t="s">
        <v>212</v>
      </c>
      <c r="C1" s="858"/>
      <c r="D1" s="858"/>
      <c r="E1" s="858"/>
      <c r="F1" s="858"/>
      <c r="G1" s="858"/>
    </row>
    <row r="2" spans="2:20" s="22" customFormat="1" ht="6" customHeight="1"/>
    <row r="3" spans="2:20" s="22" customFormat="1" ht="12.75">
      <c r="B3" s="767" t="s">
        <v>570</v>
      </c>
      <c r="C3" s="767"/>
      <c r="D3" s="767"/>
      <c r="E3" s="767"/>
      <c r="F3" s="767"/>
      <c r="G3" s="767"/>
    </row>
    <row r="4" spans="2:20" s="22" customFormat="1" ht="15" customHeight="1">
      <c r="B4" s="767" t="s">
        <v>585</v>
      </c>
      <c r="C4" s="767"/>
      <c r="D4" s="767"/>
      <c r="E4" s="767"/>
      <c r="F4" s="767"/>
      <c r="G4" s="767"/>
    </row>
    <row r="5" spans="2:20" s="22" customFormat="1" ht="12.75">
      <c r="B5" s="839" t="s">
        <v>645</v>
      </c>
      <c r="C5" s="839"/>
      <c r="D5" s="839"/>
      <c r="E5" s="839"/>
      <c r="F5" s="839"/>
      <c r="G5" s="839"/>
    </row>
    <row r="6" spans="2:20" s="22" customFormat="1" ht="12.75">
      <c r="B6" s="839" t="s">
        <v>586</v>
      </c>
      <c r="C6" s="839"/>
      <c r="D6" s="839"/>
      <c r="E6" s="839"/>
      <c r="F6" s="839"/>
      <c r="G6" s="839"/>
    </row>
    <row r="7" spans="2:20" s="22" customFormat="1" ht="43.5" customHeight="1">
      <c r="B7" s="339" t="s">
        <v>423</v>
      </c>
      <c r="C7" s="339" t="s">
        <v>574</v>
      </c>
      <c r="D7" s="339" t="s">
        <v>575</v>
      </c>
      <c r="E7" s="339" t="s">
        <v>576</v>
      </c>
      <c r="F7" s="339" t="s">
        <v>587</v>
      </c>
      <c r="G7" s="339" t="s">
        <v>577</v>
      </c>
    </row>
    <row r="8" spans="2:20" s="22" customFormat="1" ht="81" customHeight="1">
      <c r="B8" s="128" t="s">
        <v>181</v>
      </c>
      <c r="C8" s="455" t="s">
        <v>580</v>
      </c>
      <c r="D8" s="455" t="s">
        <v>588</v>
      </c>
      <c r="E8" s="455" t="s">
        <v>582</v>
      </c>
      <c r="F8" s="455" t="s">
        <v>583</v>
      </c>
      <c r="G8" s="455" t="s">
        <v>584</v>
      </c>
      <c r="K8" s="63"/>
      <c r="L8" s="63"/>
    </row>
    <row r="9" spans="2:20" s="22" customFormat="1" ht="15.75" customHeight="1">
      <c r="B9" s="307">
        <v>2015</v>
      </c>
      <c r="C9" s="46">
        <v>531.85660859980794</v>
      </c>
      <c r="D9" s="46">
        <v>516.63461789193218</v>
      </c>
      <c r="E9" s="46">
        <v>560.80778311223924</v>
      </c>
      <c r="F9" s="46">
        <v>523.061346988266</v>
      </c>
      <c r="G9" s="46">
        <v>408.69529400318663</v>
      </c>
      <c r="J9" s="213"/>
      <c r="K9" s="449"/>
      <c r="L9" s="449"/>
      <c r="M9" s="403"/>
      <c r="P9" s="95"/>
      <c r="Q9" s="95"/>
      <c r="R9" s="95"/>
      <c r="S9" s="95"/>
      <c r="T9" s="95"/>
    </row>
    <row r="10" spans="2:20" s="22" customFormat="1" ht="15.75" customHeight="1">
      <c r="B10" s="307">
        <v>2016</v>
      </c>
      <c r="C10" s="46">
        <v>511.09590872581498</v>
      </c>
      <c r="D10" s="46">
        <v>447.0824981726056</v>
      </c>
      <c r="E10" s="46">
        <v>551.24066536937585</v>
      </c>
      <c r="F10" s="46">
        <v>475.21552846283851</v>
      </c>
      <c r="G10" s="46">
        <v>381.70725995316155</v>
      </c>
      <c r="J10" s="213"/>
      <c r="K10" s="449"/>
      <c r="L10" s="449"/>
      <c r="M10" s="403"/>
      <c r="P10" s="95"/>
      <c r="Q10" s="95"/>
      <c r="R10" s="95"/>
      <c r="S10" s="95"/>
      <c r="T10" s="95"/>
    </row>
    <row r="11" spans="2:20" s="22" customFormat="1" ht="15.75" customHeight="1">
      <c r="B11" s="307">
        <v>2017</v>
      </c>
      <c r="C11" s="46">
        <v>549</v>
      </c>
      <c r="D11" s="46">
        <v>473</v>
      </c>
      <c r="E11" s="46">
        <v>548</v>
      </c>
      <c r="F11" s="46">
        <v>507</v>
      </c>
      <c r="G11" s="46">
        <v>386</v>
      </c>
      <c r="J11" s="213"/>
      <c r="K11" s="449"/>
      <c r="L11" s="449"/>
      <c r="M11" s="403"/>
      <c r="P11" s="95"/>
      <c r="Q11" s="95"/>
      <c r="R11" s="95"/>
      <c r="S11" s="95"/>
      <c r="T11" s="95"/>
    </row>
    <row r="12" spans="2:20" s="22" customFormat="1" ht="15.75" customHeight="1">
      <c r="B12" s="307">
        <v>2018</v>
      </c>
      <c r="C12" s="46">
        <f>AVERAGE(C3:C11)</f>
        <v>530.65083910854094</v>
      </c>
      <c r="D12" s="46">
        <f>AVERAGE(D3:D11)</f>
        <v>478.90570535484591</v>
      </c>
      <c r="E12" s="46">
        <f>AVERAGE(E3:E11)</f>
        <v>553.34948282720507</v>
      </c>
      <c r="F12" s="46">
        <f>AVERAGE(F3:F11)</f>
        <v>501.75895848370146</v>
      </c>
      <c r="G12" s="46">
        <f>AVERAGE(G3:G11)</f>
        <v>392.13418465211606</v>
      </c>
      <c r="I12" s="226"/>
      <c r="J12" s="225" t="s">
        <v>663</v>
      </c>
      <c r="K12" s="449"/>
      <c r="L12" s="403"/>
      <c r="M12" s="403"/>
      <c r="P12" s="95"/>
      <c r="Q12" s="95"/>
      <c r="R12" s="95"/>
      <c r="S12" s="95"/>
      <c r="T12" s="95"/>
    </row>
    <row r="13" spans="2:20" s="22" customFormat="1" ht="15.75" customHeight="1">
      <c r="B13" s="457">
        <v>2019</v>
      </c>
      <c r="C13" s="46">
        <v>530.68294408786574</v>
      </c>
      <c r="D13" s="46">
        <v>439.6641496326306</v>
      </c>
      <c r="E13" s="46">
        <v>646.42421024975886</v>
      </c>
      <c r="F13" s="46">
        <v>472.75245779219557</v>
      </c>
      <c r="G13" s="46">
        <v>357.29194952655001</v>
      </c>
      <c r="I13" s="226" t="s">
        <v>663</v>
      </c>
      <c r="J13" s="225"/>
      <c r="K13" s="449"/>
      <c r="L13" s="403"/>
      <c r="M13" s="403"/>
      <c r="P13" s="95"/>
      <c r="Q13" s="95"/>
      <c r="R13" s="95"/>
      <c r="S13" s="95"/>
      <c r="T13" s="95"/>
    </row>
    <row r="14" spans="2:20" s="22" customFormat="1" ht="15.75" customHeight="1">
      <c r="B14" s="457">
        <v>2020</v>
      </c>
      <c r="C14" s="46">
        <v>572.19839573180616</v>
      </c>
      <c r="D14" s="46">
        <v>505.45948706494579</v>
      </c>
      <c r="E14" s="46">
        <v>574.76875640634387</v>
      </c>
      <c r="F14" s="46">
        <v>530.79608413587209</v>
      </c>
      <c r="G14" s="46">
        <v>380.60525246744896</v>
      </c>
      <c r="I14" s="226"/>
      <c r="J14" s="225"/>
      <c r="K14" s="449"/>
      <c r="L14" s="403"/>
      <c r="M14" s="403"/>
      <c r="P14" s="95"/>
      <c r="Q14" s="95"/>
      <c r="R14" s="95"/>
      <c r="S14" s="95"/>
      <c r="T14" s="95"/>
    </row>
    <row r="15" spans="2:20" s="22" customFormat="1" ht="15.75" customHeight="1">
      <c r="B15" s="457">
        <v>2021</v>
      </c>
      <c r="C15" s="46">
        <v>629.16241319891003</v>
      </c>
      <c r="D15" s="46">
        <v>534.64074898148556</v>
      </c>
      <c r="E15" s="46">
        <v>640.48616495179488</v>
      </c>
      <c r="F15" s="46">
        <v>581.99136732368606</v>
      </c>
      <c r="G15" s="46">
        <v>428.26342897370228</v>
      </c>
      <c r="I15" s="226"/>
      <c r="J15" s="225"/>
      <c r="K15" s="449"/>
      <c r="L15" s="403"/>
      <c r="M15" s="403"/>
      <c r="P15" s="95"/>
      <c r="Q15" s="95"/>
      <c r="R15" s="95"/>
      <c r="S15" s="95"/>
      <c r="T15" s="95"/>
    </row>
    <row r="16" spans="2:20" s="22" customFormat="1" ht="15.75" customHeight="1">
      <c r="B16" s="457" t="s">
        <v>646</v>
      </c>
      <c r="C16" s="46">
        <v>632.17946961693303</v>
      </c>
      <c r="D16" s="46">
        <v>509.75539524425767</v>
      </c>
      <c r="E16" s="46">
        <v>533.00923344586431</v>
      </c>
      <c r="F16" s="46">
        <v>558.14618496737273</v>
      </c>
      <c r="G16" s="46">
        <v>421.84709909540027</v>
      </c>
      <c r="I16" s="226"/>
      <c r="J16" s="225"/>
      <c r="K16" s="449"/>
      <c r="L16" s="403"/>
      <c r="M16" s="403"/>
      <c r="P16" s="95"/>
      <c r="Q16" s="95"/>
      <c r="R16" s="95"/>
      <c r="S16" s="95"/>
      <c r="T16" s="95"/>
    </row>
    <row r="17" spans="2:33" s="39" customFormat="1" ht="30" customHeight="1">
      <c r="B17" s="868" t="s">
        <v>763</v>
      </c>
      <c r="C17" s="868"/>
      <c r="D17" s="868"/>
      <c r="E17" s="868"/>
      <c r="F17" s="868"/>
      <c r="G17" s="868"/>
      <c r="I17" s="584"/>
      <c r="J17" s="584"/>
    </row>
    <row r="18" spans="2:33">
      <c r="C18" s="214"/>
      <c r="D18" s="214"/>
      <c r="E18" s="214"/>
      <c r="F18" s="214"/>
      <c r="G18" s="214"/>
      <c r="I18" s="13"/>
      <c r="J18" s="13"/>
      <c r="K18" s="13"/>
    </row>
    <row r="19" spans="2:33">
      <c r="I19" s="13"/>
      <c r="J19" s="13"/>
      <c r="K19" s="13"/>
    </row>
    <row r="20" spans="2:33">
      <c r="I20" s="13"/>
      <c r="J20" s="13"/>
      <c r="K20" s="13"/>
    </row>
    <row r="21" spans="2:33">
      <c r="I21" s="13"/>
      <c r="J21" s="13"/>
      <c r="K21" s="13"/>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2:33" ht="78.599999999999994" customHeight="1"/>
    <row r="34" spans="2:33" ht="15" customHeight="1">
      <c r="B34" s="922"/>
      <c r="C34" s="922"/>
      <c r="D34" s="922"/>
      <c r="E34" s="922"/>
      <c r="F34" s="922"/>
      <c r="G34" s="922"/>
      <c r="AB34" s="3"/>
    </row>
    <row r="35" spans="2:33" ht="15" customHeight="1">
      <c r="B35" s="922"/>
      <c r="C35" s="922"/>
      <c r="D35" s="922"/>
      <c r="E35" s="922"/>
      <c r="F35" s="922"/>
      <c r="G35" s="922"/>
      <c r="AB35" s="3"/>
    </row>
    <row r="36" spans="2:33" ht="15" customHeight="1">
      <c r="AB36" s="3"/>
    </row>
    <row r="37" spans="2:33" ht="15" customHeight="1">
      <c r="AB37" s="3"/>
    </row>
    <row r="38" spans="2:33" ht="15" customHeight="1"/>
    <row r="39" spans="2:33" ht="15" customHeight="1">
      <c r="AB39" s="3"/>
      <c r="AC39" s="3"/>
      <c r="AD39" s="3"/>
      <c r="AE39" s="3"/>
      <c r="AF39" s="3"/>
      <c r="AG39" s="3"/>
    </row>
    <row r="40" spans="2:33" ht="15" customHeight="1">
      <c r="AB40" s="3"/>
      <c r="AC40" s="3"/>
      <c r="AD40" s="3"/>
      <c r="AE40" s="3"/>
      <c r="AF40" s="3"/>
      <c r="AG40" s="3"/>
    </row>
    <row r="41" spans="2:33" ht="15" customHeight="1">
      <c r="AB41" s="3"/>
      <c r="AC41" s="3"/>
      <c r="AD41" s="3"/>
      <c r="AE41" s="3"/>
      <c r="AF41" s="3"/>
      <c r="AG41" s="3"/>
    </row>
    <row r="42" spans="2:33" ht="15" customHeight="1">
      <c r="AB42" s="3"/>
      <c r="AC42" s="3"/>
      <c r="AD42" s="3"/>
      <c r="AE42" s="3"/>
      <c r="AF42" s="3"/>
      <c r="AG42" s="3"/>
    </row>
    <row r="43" spans="2:33" ht="15" customHeight="1">
      <c r="AB43" s="3"/>
      <c r="AC43" s="3"/>
      <c r="AD43" s="3"/>
      <c r="AE43" s="3"/>
      <c r="AF43" s="3"/>
      <c r="AG43" s="3"/>
    </row>
    <row r="44" spans="2:33" ht="15" customHeight="1">
      <c r="AB44" s="3"/>
      <c r="AC44" s="3"/>
      <c r="AD44" s="3"/>
      <c r="AE44" s="3"/>
      <c r="AF44" s="3"/>
      <c r="AG44" s="3"/>
    </row>
    <row r="45" spans="2:33" ht="15" customHeight="1">
      <c r="AB45" s="3"/>
      <c r="AC45" s="3"/>
      <c r="AD45" s="3"/>
      <c r="AE45" s="3"/>
      <c r="AF45" s="3"/>
      <c r="AG45" s="3"/>
    </row>
    <row r="46" spans="2:33" ht="15" customHeight="1">
      <c r="AB46" s="3"/>
      <c r="AC46" s="3"/>
      <c r="AD46" s="3"/>
      <c r="AE46" s="3"/>
      <c r="AF46" s="3"/>
      <c r="AG46" s="3"/>
    </row>
    <row r="47" spans="2:33" ht="15" customHeight="1">
      <c r="AB47" s="3"/>
      <c r="AC47" s="3"/>
      <c r="AD47" s="3"/>
      <c r="AE47" s="3"/>
      <c r="AF47" s="3"/>
      <c r="AG47" s="3"/>
    </row>
    <row r="48" spans="2:33" ht="15" customHeight="1">
      <c r="AB48" s="3"/>
      <c r="AC48" s="3"/>
      <c r="AD48" s="3"/>
      <c r="AE48" s="3"/>
      <c r="AF48" s="3"/>
      <c r="AG48" s="3"/>
    </row>
    <row r="49" spans="28:33" ht="15" customHeight="1">
      <c r="AB49" s="3"/>
      <c r="AC49" s="3"/>
      <c r="AD49" s="3"/>
      <c r="AE49" s="3"/>
      <c r="AF49" s="3"/>
      <c r="AG49" s="3"/>
    </row>
    <row r="50" spans="28:33" ht="15" customHeight="1">
      <c r="AB50" s="3"/>
      <c r="AC50" s="3"/>
      <c r="AD50" s="3"/>
      <c r="AE50" s="3"/>
      <c r="AF50" s="3"/>
      <c r="AG50" s="3"/>
    </row>
    <row r="51" spans="28:33" ht="15" customHeight="1">
      <c r="AB51" s="3"/>
    </row>
    <row r="52" spans="28:33" ht="15" customHeight="1"/>
    <row r="53" spans="28:33" ht="15" customHeight="1"/>
    <row r="54" spans="28:33" ht="15" customHeight="1"/>
    <row r="55" spans="28:33" ht="15" customHeight="1"/>
    <row r="56" spans="28:33" ht="15" customHeight="1"/>
    <row r="57" spans="28: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7:G7" numberStoredAsText="1"/>
  </ignoredError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P93"/>
  <sheetViews>
    <sheetView zoomScaleNormal="100" zoomScaleSheetLayoutView="75" workbookViewId="0">
      <selection activeCell="F34" sqref="F34"/>
    </sheetView>
  </sheetViews>
  <sheetFormatPr baseColWidth="10" defaultColWidth="10.90625" defaultRowHeight="12"/>
  <cols>
    <col min="1" max="1" width="1.36328125" style="1" customWidth="1"/>
    <col min="2" max="2" width="10.6328125" style="1" customWidth="1"/>
    <col min="3" max="3" width="7.26953125" style="1" customWidth="1"/>
    <col min="4" max="4" width="7.90625" style="1" customWidth="1"/>
    <col min="5" max="5" width="6.81640625" style="1" customWidth="1"/>
    <col min="6" max="6" width="6.453125" style="1" customWidth="1"/>
    <col min="7" max="7" width="6.90625" style="1" customWidth="1"/>
    <col min="8" max="8" width="6.7265625" style="1" customWidth="1"/>
    <col min="9" max="9" width="9.36328125" style="1" customWidth="1"/>
    <col min="10" max="10" width="5.453125" style="1" customWidth="1"/>
    <col min="11" max="12" width="6.08984375" style="1" customWidth="1"/>
    <col min="13" max="13" width="4.90625" style="1" customWidth="1"/>
    <col min="14" max="14" width="5.36328125" style="1" customWidth="1"/>
    <col min="15" max="15" width="4.6328125" style="1" customWidth="1"/>
    <col min="16" max="16384" width="10.90625" style="1"/>
  </cols>
  <sheetData>
    <row r="1" spans="2:16" s="15" customFormat="1" ht="12.75">
      <c r="B1" s="767" t="s">
        <v>216</v>
      </c>
      <c r="C1" s="767"/>
      <c r="D1" s="767"/>
      <c r="E1" s="767"/>
      <c r="F1" s="767"/>
      <c r="G1" s="767"/>
      <c r="H1" s="767"/>
    </row>
    <row r="2" spans="2:16" s="15" customFormat="1" ht="12.75"/>
    <row r="3" spans="2:16" s="15" customFormat="1" ht="12.75">
      <c r="B3" s="767" t="s">
        <v>234</v>
      </c>
      <c r="C3" s="767"/>
      <c r="D3" s="767"/>
      <c r="E3" s="767"/>
      <c r="F3" s="767"/>
      <c r="G3" s="767"/>
      <c r="H3" s="767"/>
    </row>
    <row r="4" spans="2:16" s="15" customFormat="1" ht="12.75">
      <c r="B4" s="767" t="s">
        <v>642</v>
      </c>
      <c r="C4" s="767"/>
      <c r="D4" s="767"/>
      <c r="E4" s="767"/>
      <c r="F4" s="767"/>
      <c r="G4" s="767"/>
      <c r="H4" s="767"/>
    </row>
    <row r="5" spans="2:16" s="15" customFormat="1" ht="12.75">
      <c r="B5" s="767" t="s">
        <v>589</v>
      </c>
      <c r="C5" s="767"/>
      <c r="D5" s="767"/>
      <c r="E5" s="767"/>
      <c r="F5" s="767"/>
      <c r="G5" s="767"/>
      <c r="H5" s="767"/>
    </row>
    <row r="6" spans="2:16" s="22" customFormat="1" ht="15.75" customHeight="1">
      <c r="B6" s="215"/>
      <c r="C6" s="212">
        <v>2017</v>
      </c>
      <c r="D6" s="212">
        <v>2018</v>
      </c>
      <c r="E6" s="212">
        <v>2019</v>
      </c>
      <c r="F6" s="212">
        <v>2020</v>
      </c>
      <c r="G6" s="128">
        <v>2021</v>
      </c>
      <c r="H6" s="128">
        <v>2022</v>
      </c>
    </row>
    <row r="7" spans="2:16" s="22" customFormat="1" ht="15.75" customHeight="1">
      <c r="B7" s="24" t="s">
        <v>200</v>
      </c>
      <c r="C7" s="46">
        <v>190868.42105263201</v>
      </c>
      <c r="D7" s="46"/>
      <c r="E7" s="244"/>
      <c r="F7" s="47"/>
      <c r="G7" s="47"/>
      <c r="H7" s="46"/>
      <c r="I7" s="216"/>
      <c r="P7" s="216"/>
    </row>
    <row r="8" spans="2:16" s="22" customFormat="1" ht="15.75" customHeight="1">
      <c r="B8" s="24" t="s">
        <v>201</v>
      </c>
      <c r="C8" s="46"/>
      <c r="D8" s="46"/>
      <c r="E8" s="46"/>
      <c r="F8" s="46"/>
      <c r="G8" s="46"/>
      <c r="H8" s="46"/>
    </row>
    <row r="9" spans="2:16" s="22" customFormat="1" ht="15.75" customHeight="1">
      <c r="B9" s="348" t="s">
        <v>202</v>
      </c>
      <c r="C9" s="46"/>
      <c r="D9" s="46">
        <v>170000</v>
      </c>
      <c r="E9" s="46">
        <v>170500</v>
      </c>
      <c r="F9" s="46">
        <v>229324.07407407404</v>
      </c>
      <c r="G9" s="46">
        <v>232700</v>
      </c>
      <c r="H9" s="46"/>
      <c r="J9" s="392"/>
    </row>
    <row r="10" spans="2:16" s="22" customFormat="1" ht="15.75" customHeight="1">
      <c r="B10" s="348" t="s">
        <v>203</v>
      </c>
      <c r="C10" s="46">
        <v>204799.444444444</v>
      </c>
      <c r="D10" s="46">
        <v>167700</v>
      </c>
      <c r="E10" s="46">
        <v>173000</v>
      </c>
      <c r="F10" s="46">
        <v>237888.88888888888</v>
      </c>
      <c r="G10" s="46">
        <v>230633.33333333331</v>
      </c>
      <c r="H10" s="46">
        <v>258366.66666666663</v>
      </c>
      <c r="I10" s="217"/>
      <c r="J10" s="22" t="s">
        <v>663</v>
      </c>
      <c r="P10" s="217"/>
    </row>
    <row r="11" spans="2:16" s="22" customFormat="1" ht="15.75" customHeight="1">
      <c r="B11" s="348" t="s">
        <v>204</v>
      </c>
      <c r="C11" s="46">
        <v>203591.11111111101</v>
      </c>
      <c r="D11" s="46">
        <v>173854.83870967742</v>
      </c>
      <c r="E11" s="46">
        <v>176666.66666666669</v>
      </c>
      <c r="F11" s="46">
        <v>236881.7204301075</v>
      </c>
      <c r="G11" s="46">
        <v>225316.66666666669</v>
      </c>
      <c r="H11" s="46">
        <v>267000.00000000006</v>
      </c>
    </row>
    <row r="12" spans="2:16" s="22" customFormat="1" ht="15.75" customHeight="1">
      <c r="B12" s="24" t="s">
        <v>205</v>
      </c>
      <c r="C12" s="46">
        <v>191201.61290322599</v>
      </c>
      <c r="D12" s="46">
        <v>171466.66666666669</v>
      </c>
      <c r="E12" s="46">
        <v>179000</v>
      </c>
      <c r="F12" s="46">
        <v>228216.66666666669</v>
      </c>
      <c r="G12" s="46">
        <v>227433.33333333331</v>
      </c>
      <c r="H12" s="46">
        <v>257133.33333333328</v>
      </c>
      <c r="I12" s="218"/>
      <c r="J12" s="216"/>
      <c r="P12" s="218"/>
    </row>
    <row r="13" spans="2:16" s="22" customFormat="1" ht="15.75" customHeight="1">
      <c r="B13" s="24" t="s">
        <v>206</v>
      </c>
      <c r="C13" s="46">
        <v>194322.58064516101</v>
      </c>
      <c r="D13" s="46">
        <v>175793</v>
      </c>
      <c r="E13" s="46">
        <v>173548.38709677421</v>
      </c>
      <c r="F13" s="46">
        <v>235423.07692307691</v>
      </c>
      <c r="G13" s="46">
        <v>228000</v>
      </c>
      <c r="H13" s="46">
        <v>278380.64516129036</v>
      </c>
    </row>
    <row r="14" spans="2:16" s="22" customFormat="1" ht="15.75" customHeight="1">
      <c r="B14" s="24" t="s">
        <v>207</v>
      </c>
      <c r="C14" s="46">
        <v>190612.90322580643</v>
      </c>
      <c r="D14" s="46">
        <v>178167</v>
      </c>
      <c r="E14" s="46">
        <v>177742</v>
      </c>
      <c r="F14" s="46">
        <v>229000</v>
      </c>
      <c r="G14" s="46">
        <v>235700</v>
      </c>
      <c r="H14" s="46"/>
    </row>
    <row r="15" spans="2:16" s="22" customFormat="1" ht="15.75" customHeight="1">
      <c r="B15" s="24" t="s">
        <v>208</v>
      </c>
      <c r="C15" s="46">
        <v>189000</v>
      </c>
      <c r="D15" s="46">
        <v>177000</v>
      </c>
      <c r="E15" s="46">
        <v>185400</v>
      </c>
      <c r="F15" s="46"/>
      <c r="G15" s="46"/>
      <c r="H15" s="46"/>
    </row>
    <row r="16" spans="2:16" s="22" customFormat="1" ht="15.75" customHeight="1">
      <c r="B16" s="24" t="s">
        <v>209</v>
      </c>
      <c r="C16" s="46"/>
      <c r="D16" s="46"/>
      <c r="E16" s="46"/>
      <c r="F16" s="46"/>
      <c r="G16" s="46"/>
      <c r="H16" s="46"/>
    </row>
    <row r="17" spans="2:8" s="22" customFormat="1" ht="15.75" customHeight="1">
      <c r="B17" s="24" t="s">
        <v>193</v>
      </c>
      <c r="C17" s="46"/>
      <c r="D17" s="46"/>
      <c r="E17" s="46"/>
      <c r="F17" s="46"/>
      <c r="G17" s="46"/>
      <c r="H17" s="46"/>
    </row>
    <row r="18" spans="2:8" s="22" customFormat="1" ht="15.75" customHeight="1">
      <c r="B18" s="24" t="s">
        <v>194</v>
      </c>
      <c r="C18" s="240"/>
      <c r="D18" s="240"/>
      <c r="E18" s="46"/>
      <c r="F18" s="46"/>
      <c r="G18" s="47"/>
      <c r="H18" s="47"/>
    </row>
    <row r="19" spans="2:8" s="22" customFormat="1" ht="27" customHeight="1">
      <c r="B19" s="855" t="s">
        <v>590</v>
      </c>
      <c r="C19" s="855"/>
      <c r="D19" s="855"/>
      <c r="E19" s="855"/>
      <c r="F19" s="855"/>
      <c r="G19" s="855"/>
      <c r="H19" s="855"/>
    </row>
    <row r="20" spans="2:8" s="22" customFormat="1" ht="30.75" customHeight="1">
      <c r="B20" s="847"/>
      <c r="C20" s="847"/>
      <c r="D20" s="847"/>
      <c r="E20" s="847"/>
      <c r="F20" s="847"/>
      <c r="G20" s="847"/>
      <c r="H20" s="847"/>
    </row>
    <row r="21" spans="2:8" s="22" customFormat="1" ht="12.75">
      <c r="G21" s="219"/>
    </row>
    <row r="22" spans="2:8" s="22" customFormat="1" ht="23.25" customHeight="1"/>
    <row r="23" spans="2:8" s="22" customFormat="1" ht="30.75" customHeight="1"/>
    <row r="24" spans="2:8" s="22" customFormat="1" ht="44.25" customHeight="1"/>
    <row r="25" spans="2:8" s="22" customFormat="1" ht="30" customHeight="1"/>
    <row r="26" spans="2:8" s="22" customFormat="1" ht="21.75" customHeight="1"/>
    <row r="27" spans="2:8" s="22" customFormat="1" ht="17.25" customHeight="1"/>
    <row r="28" spans="2:8" s="22" customFormat="1" ht="44.25" customHeight="1"/>
    <row r="29" spans="2:8" s="22" customFormat="1" ht="21" customHeight="1"/>
    <row r="30" spans="2:8" s="22" customFormat="1" ht="12.75"/>
    <row r="31" spans="2:8" s="22" customFormat="1" ht="12.75">
      <c r="B31" s="1"/>
    </row>
    <row r="32" spans="2:8" ht="14.1" customHeight="1">
      <c r="B32" s="220"/>
    </row>
    <row r="33" spans="7:7" ht="20.45" customHeight="1"/>
    <row r="34" spans="7:7" ht="61.5" customHeight="1"/>
    <row r="35" spans="7:7" ht="61.5" customHeight="1"/>
    <row r="36" spans="7:7" ht="61.5" customHeight="1"/>
    <row r="37" spans="7:7" ht="61.5" customHeight="1"/>
    <row r="38" spans="7:7">
      <c r="G38" s="6"/>
    </row>
    <row r="39" spans="7:7" ht="55.5" customHeight="1">
      <c r="G39" s="6"/>
    </row>
    <row r="40" spans="7:7">
      <c r="G40" s="6"/>
    </row>
    <row r="41" spans="7:7">
      <c r="G41" s="6"/>
    </row>
    <row r="42" spans="7:7">
      <c r="G42" s="6"/>
    </row>
    <row r="49" ht="13.7" customHeight="1"/>
    <row r="50" ht="13.7" customHeight="1"/>
    <row r="51" ht="13.7" customHeight="1"/>
    <row r="52" ht="13.7"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7"/>
    </row>
    <row r="74" spans="13:13" ht="15" customHeight="1">
      <c r="M74" s="7"/>
    </row>
    <row r="75" spans="13:13" ht="15" customHeight="1">
      <c r="M75" s="7"/>
    </row>
    <row r="76" spans="13:13" ht="15" customHeight="1">
      <c r="M76" s="7"/>
    </row>
    <row r="77" spans="13:13" ht="15" customHeight="1">
      <c r="M77" s="7"/>
    </row>
    <row r="78" spans="13:13" ht="15" customHeight="1">
      <c r="M78" s="7"/>
    </row>
    <row r="79" spans="13:13" ht="15" customHeight="1">
      <c r="M79" s="7"/>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X40"/>
  <sheetViews>
    <sheetView zoomScaleNormal="100" workbookViewId="0">
      <selection activeCell="R5" sqref="R5"/>
    </sheetView>
  </sheetViews>
  <sheetFormatPr baseColWidth="10" defaultColWidth="5.90625" defaultRowHeight="18"/>
  <cols>
    <col min="1" max="1" width="1.26953125" customWidth="1"/>
    <col min="2" max="2" width="11.81640625" customWidth="1"/>
    <col min="3" max="6" width="6.36328125" customWidth="1"/>
    <col min="7" max="7" width="6.7265625" customWidth="1"/>
    <col min="8" max="13" width="6.36328125" customWidth="1"/>
    <col min="14" max="14" width="6.6328125" customWidth="1"/>
    <col min="15" max="15" width="8.81640625" bestFit="1" customWidth="1"/>
    <col min="16" max="16" width="6.36328125" bestFit="1" customWidth="1"/>
  </cols>
  <sheetData>
    <row r="1" spans="2:23">
      <c r="B1" s="789" t="s">
        <v>110</v>
      </c>
      <c r="C1" s="789"/>
      <c r="D1" s="789"/>
      <c r="E1" s="789"/>
      <c r="F1" s="789"/>
      <c r="G1" s="789"/>
      <c r="H1" s="789"/>
      <c r="I1" s="789"/>
      <c r="J1" s="789"/>
      <c r="K1" s="789"/>
      <c r="L1" s="789"/>
      <c r="M1" s="789"/>
      <c r="N1" s="789"/>
    </row>
    <row r="2" spans="2:23">
      <c r="B2" s="31"/>
      <c r="C2" s="31"/>
      <c r="D2" s="31"/>
      <c r="E2" s="31"/>
      <c r="F2" s="31"/>
      <c r="G2" s="31"/>
      <c r="H2" s="31"/>
      <c r="I2" s="31"/>
      <c r="J2" s="31"/>
      <c r="K2" s="31"/>
      <c r="L2" s="31"/>
      <c r="M2" s="31"/>
      <c r="N2" s="31"/>
    </row>
    <row r="3" spans="2:23" ht="20.25" customHeight="1">
      <c r="B3" s="790" t="s">
        <v>24</v>
      </c>
      <c r="C3" s="790"/>
      <c r="D3" s="790"/>
      <c r="E3" s="790"/>
      <c r="F3" s="790"/>
      <c r="G3" s="790"/>
      <c r="H3" s="790"/>
      <c r="I3" s="790"/>
      <c r="J3" s="790"/>
      <c r="K3" s="790"/>
      <c r="L3" s="790"/>
      <c r="M3" s="790"/>
      <c r="N3" s="790"/>
    </row>
    <row r="4" spans="2:23" ht="17.649999999999999" customHeight="1">
      <c r="B4" s="791" t="s">
        <v>741</v>
      </c>
      <c r="C4" s="791"/>
      <c r="D4" s="791"/>
      <c r="E4" s="791"/>
      <c r="F4" s="791"/>
      <c r="G4" s="791"/>
      <c r="H4" s="791"/>
      <c r="I4" s="791"/>
      <c r="J4" s="791"/>
      <c r="K4" s="791"/>
      <c r="L4" s="791"/>
      <c r="M4" s="791"/>
      <c r="N4" s="791"/>
    </row>
    <row r="5" spans="2:23" ht="30" customHeight="1">
      <c r="B5" s="510" t="s">
        <v>111</v>
      </c>
      <c r="C5" s="103" t="s">
        <v>112</v>
      </c>
      <c r="D5" s="103" t="s">
        <v>113</v>
      </c>
      <c r="E5" s="103" t="s">
        <v>114</v>
      </c>
      <c r="F5" s="103" t="s">
        <v>115</v>
      </c>
      <c r="G5" s="103" t="s">
        <v>116</v>
      </c>
      <c r="H5" s="103" t="s">
        <v>117</v>
      </c>
      <c r="I5" s="103" t="s">
        <v>118</v>
      </c>
      <c r="J5" s="103" t="s">
        <v>119</v>
      </c>
      <c r="K5" s="103" t="s">
        <v>120</v>
      </c>
      <c r="L5" s="103" t="s">
        <v>536</v>
      </c>
      <c r="M5" s="103" t="s">
        <v>121</v>
      </c>
      <c r="N5" s="103" t="s">
        <v>122</v>
      </c>
    </row>
    <row r="6" spans="2:23" ht="18" customHeight="1">
      <c r="B6" s="787" t="s">
        <v>704</v>
      </c>
      <c r="C6" s="787"/>
      <c r="D6" s="787"/>
      <c r="E6" s="787"/>
      <c r="F6" s="787"/>
      <c r="G6" s="787"/>
      <c r="H6" s="787"/>
      <c r="I6" s="787"/>
      <c r="J6" s="787"/>
      <c r="K6" s="787"/>
      <c r="L6" s="787"/>
      <c r="M6" s="787"/>
      <c r="N6" s="787"/>
    </row>
    <row r="7" spans="2:23">
      <c r="B7" s="348" t="s">
        <v>89</v>
      </c>
      <c r="C7" s="585">
        <v>2.12</v>
      </c>
      <c r="D7" s="585">
        <v>2.96</v>
      </c>
      <c r="E7" s="585">
        <v>5.67</v>
      </c>
      <c r="F7" s="585">
        <v>10.69</v>
      </c>
      <c r="G7" s="585">
        <v>1.48</v>
      </c>
      <c r="H7" s="585">
        <v>11.38</v>
      </c>
      <c r="I7" s="585">
        <v>1.51</v>
      </c>
      <c r="J7" s="585">
        <v>23</v>
      </c>
      <c r="K7" s="585">
        <v>144.12</v>
      </c>
      <c r="L7" s="585">
        <v>27.8</v>
      </c>
      <c r="M7" s="585">
        <v>290.27</v>
      </c>
      <c r="N7" s="585">
        <v>146.15</v>
      </c>
      <c r="O7" s="246"/>
      <c r="P7" s="621"/>
      <c r="Q7" t="s">
        <v>663</v>
      </c>
    </row>
    <row r="8" spans="2:23">
      <c r="B8" s="348" t="s">
        <v>90</v>
      </c>
      <c r="C8" s="585">
        <v>22.5</v>
      </c>
      <c r="D8" s="585">
        <v>36.299999999999997</v>
      </c>
      <c r="E8" s="585">
        <v>21.65</v>
      </c>
      <c r="F8" s="585">
        <v>138.29</v>
      </c>
      <c r="G8" s="585">
        <v>11.81</v>
      </c>
      <c r="H8" s="585">
        <v>75.16</v>
      </c>
      <c r="I8" s="585">
        <v>33.01</v>
      </c>
      <c r="J8" s="585">
        <v>44.79</v>
      </c>
      <c r="K8" s="585">
        <v>136.94999999999999</v>
      </c>
      <c r="L8" s="585">
        <v>109.59</v>
      </c>
      <c r="M8" s="585">
        <v>779.24</v>
      </c>
      <c r="N8" s="585">
        <v>642.29999999999995</v>
      </c>
      <c r="O8" s="246"/>
      <c r="P8" s="621"/>
    </row>
    <row r="9" spans="2:23">
      <c r="B9" s="348" t="s">
        <v>123</v>
      </c>
      <c r="C9" s="585">
        <v>0</v>
      </c>
      <c r="D9" s="585">
        <v>0.2</v>
      </c>
      <c r="E9" s="585">
        <v>0.6</v>
      </c>
      <c r="F9" s="585">
        <v>4.5999999999999996</v>
      </c>
      <c r="G9" s="585">
        <v>2.5</v>
      </c>
      <c r="H9" s="585">
        <v>0.3</v>
      </c>
      <c r="I9" s="585">
        <v>0.13</v>
      </c>
      <c r="J9" s="585">
        <v>2.59</v>
      </c>
      <c r="K9" s="585">
        <v>9.57</v>
      </c>
      <c r="L9" s="585">
        <v>0.03</v>
      </c>
      <c r="M9" s="585">
        <v>197.83</v>
      </c>
      <c r="N9" s="585">
        <v>188.26</v>
      </c>
      <c r="O9" s="246"/>
      <c r="P9" s="621"/>
    </row>
    <row r="10" spans="2:23">
      <c r="B10" s="348" t="s">
        <v>91</v>
      </c>
      <c r="C10" s="585">
        <v>6.35</v>
      </c>
      <c r="D10" s="585">
        <v>8.5</v>
      </c>
      <c r="E10" s="585">
        <v>9.5</v>
      </c>
      <c r="F10" s="585">
        <v>108.75</v>
      </c>
      <c r="G10" s="585">
        <v>6.1</v>
      </c>
      <c r="H10" s="585">
        <v>41.75</v>
      </c>
      <c r="I10" s="585">
        <v>10</v>
      </c>
      <c r="J10" s="585">
        <v>30.64</v>
      </c>
      <c r="K10" s="585">
        <v>148</v>
      </c>
      <c r="L10" s="585">
        <v>109.88</v>
      </c>
      <c r="M10" s="585">
        <v>793.16</v>
      </c>
      <c r="N10" s="585">
        <v>645.16</v>
      </c>
      <c r="O10" s="246"/>
      <c r="P10" s="621"/>
    </row>
    <row r="11" spans="2:23">
      <c r="B11" s="348" t="s">
        <v>92</v>
      </c>
      <c r="C11" s="585">
        <v>16.5</v>
      </c>
      <c r="D11" s="585">
        <v>27.5</v>
      </c>
      <c r="E11" s="585">
        <v>15</v>
      </c>
      <c r="F11" s="585">
        <v>31.75</v>
      </c>
      <c r="G11" s="585">
        <v>8.1999999999999993</v>
      </c>
      <c r="H11" s="585">
        <v>33</v>
      </c>
      <c r="I11" s="585">
        <v>18.8</v>
      </c>
      <c r="J11" s="585">
        <v>21.78</v>
      </c>
      <c r="K11" s="585">
        <v>0.88</v>
      </c>
      <c r="L11" s="585">
        <v>8.0299999999999994</v>
      </c>
      <c r="M11" s="585">
        <v>202.67</v>
      </c>
      <c r="N11" s="585">
        <v>201.79</v>
      </c>
      <c r="O11" s="246"/>
      <c r="P11" s="720"/>
    </row>
    <row r="12" spans="2:23">
      <c r="B12" s="548" t="s">
        <v>99</v>
      </c>
      <c r="C12" s="585">
        <v>1.78</v>
      </c>
      <c r="D12" s="585">
        <v>3.46</v>
      </c>
      <c r="E12" s="585">
        <v>3.42</v>
      </c>
      <c r="F12" s="585">
        <v>13.08</v>
      </c>
      <c r="G12" s="585">
        <v>1.49</v>
      </c>
      <c r="H12" s="585">
        <v>12.09</v>
      </c>
      <c r="I12" s="585">
        <v>5.84</v>
      </c>
      <c r="J12" s="585">
        <v>17.96</v>
      </c>
      <c r="K12" s="585">
        <v>141.76</v>
      </c>
      <c r="L12" s="585">
        <v>19.5</v>
      </c>
      <c r="M12" s="585">
        <v>276.35000000000002</v>
      </c>
      <c r="N12" s="585">
        <v>134.59</v>
      </c>
      <c r="O12" s="246"/>
      <c r="P12" s="622"/>
      <c r="Q12" s="92"/>
      <c r="R12" s="92"/>
      <c r="S12" s="92"/>
      <c r="T12" s="92"/>
      <c r="U12" s="92"/>
      <c r="V12" s="92"/>
      <c r="W12" s="92"/>
    </row>
    <row r="13" spans="2:23" ht="18" customHeight="1">
      <c r="B13" s="787" t="s">
        <v>703</v>
      </c>
      <c r="C13" s="788"/>
      <c r="D13" s="788"/>
      <c r="E13" s="788"/>
      <c r="F13" s="788"/>
      <c r="G13" s="788"/>
      <c r="H13" s="788"/>
      <c r="I13" s="788"/>
      <c r="J13" s="788"/>
      <c r="K13" s="788"/>
      <c r="L13" s="788"/>
      <c r="M13" s="788"/>
      <c r="N13" s="787"/>
      <c r="O13" s="246"/>
    </row>
    <row r="14" spans="2:23">
      <c r="B14" s="348" t="s">
        <v>89</v>
      </c>
      <c r="C14" s="511">
        <v>1.78</v>
      </c>
      <c r="D14" s="511">
        <v>3.46</v>
      </c>
      <c r="E14" s="511">
        <v>3.42</v>
      </c>
      <c r="F14" s="511">
        <v>13.08</v>
      </c>
      <c r="G14" s="511">
        <v>1.49</v>
      </c>
      <c r="H14" s="511">
        <v>12.09</v>
      </c>
      <c r="I14" s="511">
        <v>5.84</v>
      </c>
      <c r="J14" s="511">
        <v>17.96</v>
      </c>
      <c r="K14" s="511">
        <v>141.76</v>
      </c>
      <c r="L14" s="511">
        <v>19.5</v>
      </c>
      <c r="M14" s="511">
        <v>276.35000000000002</v>
      </c>
      <c r="N14" s="511">
        <v>134.59</v>
      </c>
      <c r="O14" s="92"/>
      <c r="P14" s="92"/>
      <c r="Q14" s="92"/>
      <c r="R14" s="92"/>
      <c r="S14" s="92"/>
      <c r="T14" s="92"/>
      <c r="U14" s="92"/>
      <c r="V14" s="92"/>
      <c r="W14" s="92"/>
    </row>
    <row r="15" spans="2:23" ht="15.75" customHeight="1">
      <c r="B15" s="348" t="s">
        <v>90</v>
      </c>
      <c r="C15" s="511">
        <v>19</v>
      </c>
      <c r="D15" s="511">
        <v>33</v>
      </c>
      <c r="E15" s="511">
        <v>35</v>
      </c>
      <c r="F15" s="511">
        <v>132.1</v>
      </c>
      <c r="G15" s="511">
        <v>13</v>
      </c>
      <c r="H15" s="511">
        <v>88</v>
      </c>
      <c r="I15" s="511">
        <v>19.5</v>
      </c>
      <c r="J15" s="511">
        <v>48.52</v>
      </c>
      <c r="K15" s="511">
        <v>138</v>
      </c>
      <c r="L15" s="511">
        <v>103</v>
      </c>
      <c r="M15" s="511">
        <v>779.6</v>
      </c>
      <c r="N15" s="511">
        <v>641.6</v>
      </c>
      <c r="O15" s="92"/>
      <c r="P15" s="92"/>
      <c r="Q15" s="92"/>
      <c r="R15" s="92" t="s">
        <v>663</v>
      </c>
      <c r="S15" s="92"/>
      <c r="T15" s="92"/>
      <c r="U15" s="92"/>
      <c r="V15" s="92"/>
      <c r="W15" s="92"/>
    </row>
    <row r="16" spans="2:23" ht="15.75" customHeight="1">
      <c r="B16" s="348" t="s">
        <v>123</v>
      </c>
      <c r="C16" s="511">
        <v>0.01</v>
      </c>
      <c r="D16" s="511">
        <v>0.2</v>
      </c>
      <c r="E16" s="511">
        <v>0.6</v>
      </c>
      <c r="F16" s="511">
        <v>5.5</v>
      </c>
      <c r="G16" s="511">
        <v>1</v>
      </c>
      <c r="H16" s="511">
        <v>0.3</v>
      </c>
      <c r="I16" s="511">
        <v>0.1</v>
      </c>
      <c r="J16" s="511">
        <v>2.99</v>
      </c>
      <c r="K16" s="511">
        <v>9.5</v>
      </c>
      <c r="L16" s="511">
        <v>0.03</v>
      </c>
      <c r="M16" s="511">
        <v>203.89</v>
      </c>
      <c r="N16" s="511">
        <v>194.39</v>
      </c>
      <c r="O16" s="92"/>
      <c r="P16" s="92"/>
      <c r="Q16" s="92"/>
      <c r="R16" s="92"/>
      <c r="S16" s="92"/>
      <c r="T16" s="92"/>
      <c r="U16" s="92"/>
      <c r="V16" s="92"/>
      <c r="W16" s="92"/>
    </row>
    <row r="17" spans="2:24" ht="15.75" customHeight="1">
      <c r="B17" s="348" t="s">
        <v>91</v>
      </c>
      <c r="C17" s="511">
        <v>6.35</v>
      </c>
      <c r="D17" s="511">
        <v>8.5500000000000007</v>
      </c>
      <c r="E17" s="511">
        <v>9.1</v>
      </c>
      <c r="F17" s="511">
        <v>107</v>
      </c>
      <c r="G17" s="511">
        <v>6.1</v>
      </c>
      <c r="H17" s="511">
        <v>44</v>
      </c>
      <c r="I17" s="511">
        <v>10.199999999999999</v>
      </c>
      <c r="J17" s="511">
        <v>30.43</v>
      </c>
      <c r="K17" s="511">
        <v>144</v>
      </c>
      <c r="L17" s="511">
        <v>104.5</v>
      </c>
      <c r="M17" s="511">
        <v>788.6</v>
      </c>
      <c r="N17" s="511">
        <v>644.6</v>
      </c>
      <c r="O17" s="92"/>
      <c r="P17" s="92"/>
      <c r="Q17" s="92"/>
      <c r="R17" s="92"/>
      <c r="S17" s="92"/>
      <c r="T17" s="92"/>
      <c r="U17" s="92"/>
      <c r="V17" s="92"/>
      <c r="W17" s="92"/>
      <c r="X17" s="92"/>
    </row>
    <row r="18" spans="2:24" ht="15.75" customHeight="1">
      <c r="B18" s="348" t="s">
        <v>92</v>
      </c>
      <c r="C18" s="511">
        <v>13</v>
      </c>
      <c r="D18" s="511">
        <v>25</v>
      </c>
      <c r="E18" s="511">
        <v>26</v>
      </c>
      <c r="F18" s="511">
        <v>33.5</v>
      </c>
      <c r="G18" s="511">
        <v>8</v>
      </c>
      <c r="H18" s="511">
        <v>42</v>
      </c>
      <c r="I18" s="511">
        <v>11</v>
      </c>
      <c r="J18" s="511">
        <v>22.45</v>
      </c>
      <c r="K18" s="511">
        <v>0.9</v>
      </c>
      <c r="L18" s="511">
        <v>6.5</v>
      </c>
      <c r="M18" s="511">
        <v>208.65</v>
      </c>
      <c r="N18" s="511">
        <v>207.75</v>
      </c>
      <c r="O18" s="246"/>
      <c r="P18" s="720"/>
      <c r="Q18" s="92"/>
      <c r="R18" s="92"/>
      <c r="S18" s="92"/>
      <c r="T18" s="92"/>
      <c r="U18" s="92"/>
      <c r="V18" s="92"/>
      <c r="W18" s="92"/>
      <c r="X18" s="92"/>
    </row>
    <row r="19" spans="2:24" ht="15.75" customHeight="1">
      <c r="B19" s="548" t="s">
        <v>99</v>
      </c>
      <c r="C19" s="512">
        <v>1.43</v>
      </c>
      <c r="D19" s="512">
        <v>3.11</v>
      </c>
      <c r="E19" s="512">
        <v>3.92</v>
      </c>
      <c r="F19" s="512">
        <v>10.18</v>
      </c>
      <c r="G19" s="512">
        <v>1.39</v>
      </c>
      <c r="H19" s="512">
        <v>14.39</v>
      </c>
      <c r="I19" s="512">
        <v>4.24</v>
      </c>
      <c r="J19" s="512">
        <v>16.600000000000001</v>
      </c>
      <c r="K19" s="513">
        <v>144.36000000000001</v>
      </c>
      <c r="L19" s="513">
        <v>11.53</v>
      </c>
      <c r="M19" s="512">
        <v>267.33999999999997</v>
      </c>
      <c r="N19" s="512">
        <v>122.98</v>
      </c>
      <c r="O19" s="92"/>
      <c r="P19" s="425"/>
      <c r="Q19" s="92"/>
      <c r="R19" s="92"/>
      <c r="S19" s="92"/>
      <c r="T19" s="92"/>
      <c r="U19" s="92"/>
      <c r="V19" s="92"/>
      <c r="W19" s="92"/>
      <c r="X19" s="92"/>
    </row>
    <row r="20" spans="2:24">
      <c r="B20" s="365" t="s">
        <v>124</v>
      </c>
      <c r="C20" s="366"/>
      <c r="D20" s="366"/>
      <c r="E20" s="366"/>
      <c r="F20" s="366"/>
      <c r="G20" s="366"/>
      <c r="H20" s="366"/>
      <c r="I20" s="366"/>
      <c r="J20" s="366"/>
      <c r="K20" s="366"/>
      <c r="L20" s="366"/>
      <c r="M20" s="366"/>
      <c r="N20" s="367"/>
      <c r="O20" s="92"/>
      <c r="P20" s="92"/>
      <c r="Q20" s="92"/>
      <c r="R20" s="92"/>
      <c r="S20" s="92"/>
      <c r="T20" s="92"/>
      <c r="U20" s="92"/>
      <c r="V20" s="92"/>
      <c r="W20" s="92"/>
      <c r="X20" s="92"/>
    </row>
    <row r="21" spans="2:24">
      <c r="B21" s="1"/>
      <c r="C21" s="38"/>
      <c r="D21" s="38"/>
      <c r="E21" s="38"/>
      <c r="F21" s="38"/>
      <c r="G21" s="38"/>
      <c r="H21" s="38"/>
      <c r="I21" s="38"/>
      <c r="J21" s="38"/>
      <c r="K21" s="38"/>
      <c r="L21" s="38"/>
      <c r="M21" s="38"/>
      <c r="O21" s="92"/>
      <c r="P21" s="92"/>
      <c r="Q21" s="92"/>
      <c r="R21" s="92"/>
      <c r="S21" s="92"/>
      <c r="T21" s="92"/>
      <c r="U21" s="92"/>
      <c r="V21" s="92"/>
      <c r="W21" s="92"/>
      <c r="X21" s="92"/>
    </row>
    <row r="22" spans="2:24">
      <c r="B22" s="324"/>
      <c r="C22" s="92"/>
      <c r="D22" s="92"/>
      <c r="E22" s="92"/>
      <c r="F22" s="92"/>
      <c r="G22" s="92"/>
      <c r="H22" s="92"/>
      <c r="I22" s="92"/>
      <c r="J22" s="92"/>
      <c r="K22" s="92"/>
      <c r="L22" s="92"/>
      <c r="M22" s="11"/>
      <c r="N22" s="382"/>
      <c r="O22" s="92"/>
      <c r="P22" s="92"/>
      <c r="Q22" s="92"/>
      <c r="R22" s="92"/>
      <c r="S22" s="92"/>
      <c r="T22" s="92"/>
      <c r="U22" s="92"/>
      <c r="V22" s="92"/>
      <c r="W22" s="92"/>
      <c r="X22" s="92"/>
    </row>
    <row r="23" spans="2:24">
      <c r="B23" s="37"/>
      <c r="C23" s="92"/>
      <c r="D23" s="92"/>
      <c r="E23" s="92"/>
      <c r="F23" s="92"/>
      <c r="G23" s="92"/>
      <c r="H23" s="92"/>
      <c r="I23" s="92"/>
      <c r="J23" s="92"/>
      <c r="K23" s="92"/>
      <c r="L23" s="92"/>
      <c r="M23" s="92"/>
      <c r="O23" s="92"/>
      <c r="P23" s="92"/>
      <c r="Q23" s="92"/>
      <c r="R23" s="92"/>
      <c r="S23" s="92"/>
      <c r="T23" s="92"/>
      <c r="U23" s="92"/>
      <c r="V23" s="92"/>
      <c r="W23" s="92"/>
      <c r="X23" s="92"/>
    </row>
    <row r="24" spans="2:24">
      <c r="C24" s="92"/>
      <c r="D24" s="92"/>
      <c r="E24" s="92"/>
      <c r="F24" s="92"/>
      <c r="G24" s="92"/>
      <c r="H24" s="92"/>
      <c r="I24" s="92"/>
      <c r="J24" s="92"/>
      <c r="K24" s="92"/>
      <c r="L24" s="92"/>
      <c r="M24" s="92"/>
      <c r="O24" s="92"/>
      <c r="P24" s="92"/>
      <c r="Q24" s="92"/>
      <c r="R24" s="92"/>
      <c r="S24" s="92"/>
      <c r="T24" s="92"/>
      <c r="U24" s="92"/>
      <c r="V24" s="92"/>
      <c r="W24" s="92"/>
      <c r="X24" s="92"/>
    </row>
    <row r="25" spans="2:24">
      <c r="C25" s="92"/>
      <c r="D25" s="92"/>
      <c r="E25" s="92"/>
      <c r="F25" s="92"/>
      <c r="G25" s="92"/>
      <c r="H25" s="92"/>
      <c r="I25" s="92"/>
      <c r="J25" s="92"/>
      <c r="K25" s="92"/>
      <c r="L25" s="92"/>
      <c r="M25" s="92"/>
    </row>
    <row r="26" spans="2:24">
      <c r="C26" s="92"/>
      <c r="D26" s="92"/>
      <c r="E26" s="92"/>
      <c r="F26" s="92"/>
      <c r="G26" s="92"/>
      <c r="H26" s="92"/>
      <c r="I26" s="92"/>
      <c r="J26" s="92"/>
      <c r="K26" s="92"/>
      <c r="L26" s="92"/>
      <c r="M26" s="92"/>
    </row>
    <row r="27" spans="2:24">
      <c r="C27" s="92"/>
      <c r="D27" s="92"/>
      <c r="E27" s="92"/>
      <c r="F27" s="92"/>
      <c r="G27" s="92"/>
      <c r="H27" s="92"/>
      <c r="I27" s="92"/>
      <c r="J27" s="92"/>
      <c r="K27" s="92"/>
      <c r="L27" s="92"/>
      <c r="M27" s="92"/>
    </row>
    <row r="28" spans="2:24">
      <c r="C28" s="92"/>
      <c r="D28" s="92"/>
      <c r="E28" s="92"/>
      <c r="F28" s="92"/>
      <c r="G28" s="92"/>
      <c r="H28" s="92"/>
      <c r="I28" s="92"/>
      <c r="J28" s="92"/>
      <c r="K28" s="92"/>
      <c r="L28" s="92"/>
      <c r="M28" s="92"/>
    </row>
    <row r="29" spans="2:24">
      <c r="C29" s="92"/>
      <c r="D29" s="92"/>
      <c r="E29" s="92"/>
      <c r="F29" s="92"/>
      <c r="G29" s="92"/>
      <c r="H29" s="92"/>
      <c r="I29" s="92"/>
      <c r="J29" s="92"/>
      <c r="K29" s="92"/>
      <c r="L29" s="92"/>
      <c r="M29" s="92"/>
    </row>
    <row r="30" spans="2:24">
      <c r="C30" s="92"/>
      <c r="D30" s="92"/>
      <c r="E30" s="92"/>
      <c r="F30" s="92"/>
      <c r="G30" s="92"/>
      <c r="H30" s="92"/>
      <c r="I30" s="92"/>
      <c r="J30" s="92"/>
      <c r="K30" s="92"/>
      <c r="L30" s="92"/>
      <c r="M30" s="92"/>
    </row>
    <row r="31" spans="2:24">
      <c r="C31" s="92"/>
      <c r="D31" s="92"/>
      <c r="E31" s="92"/>
      <c r="F31" s="92"/>
      <c r="G31" s="92"/>
      <c r="H31" s="92"/>
      <c r="I31" s="92"/>
      <c r="J31" s="92"/>
      <c r="K31" s="92"/>
      <c r="L31" s="92"/>
      <c r="M31" s="92"/>
    </row>
    <row r="32" spans="2:24">
      <c r="C32" s="92"/>
      <c r="D32" s="92"/>
      <c r="E32" s="92"/>
      <c r="F32" s="92"/>
      <c r="G32" s="92"/>
      <c r="H32" s="92"/>
      <c r="I32" s="92"/>
      <c r="J32" s="92"/>
      <c r="K32" s="92"/>
      <c r="L32" s="92"/>
      <c r="M32" s="92"/>
    </row>
    <row r="33" spans="3:13">
      <c r="C33" s="92"/>
      <c r="D33" s="92"/>
      <c r="E33" s="92"/>
      <c r="F33" s="92"/>
      <c r="G33" s="92"/>
      <c r="H33" s="92"/>
      <c r="I33" s="92"/>
      <c r="J33" s="92"/>
      <c r="K33" s="92"/>
      <c r="L33" s="92"/>
      <c r="M33" s="92"/>
    </row>
    <row r="34" spans="3:13">
      <c r="C34" s="92"/>
      <c r="D34" s="92"/>
      <c r="E34" s="92"/>
      <c r="F34" s="92"/>
      <c r="G34" s="92"/>
      <c r="H34" s="92"/>
      <c r="I34" s="92"/>
      <c r="J34" s="92"/>
      <c r="K34" s="92"/>
      <c r="L34" s="92"/>
      <c r="M34" s="92"/>
    </row>
    <row r="35" spans="3:13">
      <c r="C35" s="92"/>
      <c r="D35" s="92"/>
      <c r="E35" s="92"/>
      <c r="F35" s="92"/>
      <c r="G35" s="92"/>
      <c r="H35" s="92"/>
      <c r="I35" s="92"/>
      <c r="J35" s="92"/>
      <c r="K35" s="92"/>
      <c r="L35" s="92"/>
      <c r="M35" s="92"/>
    </row>
    <row r="36" spans="3:13">
      <c r="C36" s="92"/>
      <c r="D36" s="92"/>
      <c r="E36" s="92"/>
      <c r="F36" s="92"/>
      <c r="G36" s="92"/>
      <c r="H36" s="92"/>
      <c r="I36" s="92"/>
      <c r="J36" s="92"/>
      <c r="K36" s="92"/>
      <c r="L36" s="92"/>
      <c r="M36" s="92"/>
    </row>
    <row r="37" spans="3:13">
      <c r="C37" s="92"/>
      <c r="D37" s="92"/>
      <c r="E37" s="92"/>
      <c r="F37" s="92"/>
      <c r="G37" s="92"/>
      <c r="H37" s="92"/>
      <c r="I37" s="92"/>
      <c r="J37" s="92"/>
      <c r="K37" s="92"/>
      <c r="L37" s="92"/>
      <c r="M37" s="92"/>
    </row>
    <row r="38" spans="3:13">
      <c r="C38" s="92"/>
      <c r="D38" s="92"/>
      <c r="E38" s="92"/>
      <c r="F38" s="92"/>
      <c r="G38" s="92"/>
      <c r="H38" s="92"/>
      <c r="I38" s="92"/>
      <c r="J38" s="92"/>
      <c r="K38" s="92"/>
      <c r="L38" s="92"/>
      <c r="M38" s="92"/>
    </row>
    <row r="39" spans="3:13">
      <c r="C39" s="92"/>
      <c r="D39" s="92"/>
      <c r="E39" s="92"/>
      <c r="F39" s="92"/>
      <c r="G39" s="92"/>
      <c r="H39" s="92"/>
      <c r="I39" s="92"/>
      <c r="J39" s="92"/>
      <c r="K39" s="92"/>
      <c r="L39" s="92"/>
      <c r="M39" s="92"/>
    </row>
    <row r="40" spans="3:13">
      <c r="C40" s="92"/>
      <c r="D40" s="92"/>
      <c r="E40" s="92"/>
      <c r="F40" s="92"/>
      <c r="G40" s="92"/>
      <c r="H40" s="92"/>
      <c r="I40" s="92"/>
      <c r="J40" s="92"/>
      <c r="K40" s="92"/>
      <c r="L40" s="92"/>
      <c r="M40" s="92"/>
    </row>
  </sheetData>
  <mergeCells count="5">
    <mergeCell ref="B13:N13"/>
    <mergeCell ref="B6:N6"/>
    <mergeCell ref="B1:N1"/>
    <mergeCell ref="B3:N3"/>
    <mergeCell ref="B4:N4"/>
  </mergeCells>
  <pageMargins left="0.70866141732283472" right="0.70866141732283472" top="0.74803149606299213" bottom="0.74803149606299213" header="0.31496062992125984" footer="0.31496062992125984"/>
  <pageSetup paperSize="126" orientation="landscape"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O88"/>
  <sheetViews>
    <sheetView zoomScaleNormal="100" zoomScaleSheetLayoutView="75" workbookViewId="0">
      <selection activeCell="I15" sqref="I15"/>
    </sheetView>
  </sheetViews>
  <sheetFormatPr baseColWidth="10" defaultColWidth="10.90625" defaultRowHeight="12"/>
  <cols>
    <col min="1" max="1" width="1.453125" style="1" customWidth="1"/>
    <col min="2" max="2" width="13.453125" style="1" customWidth="1"/>
    <col min="3" max="3" width="7.453125" style="1" customWidth="1"/>
    <col min="4" max="4" width="7.08984375" style="1" customWidth="1"/>
    <col min="5" max="5" width="5.90625" style="1" customWidth="1"/>
    <col min="6" max="6" width="1.08984375" style="1" customWidth="1"/>
    <col min="7" max="15" width="5.6328125" style="1" customWidth="1"/>
    <col min="16" max="16384" width="10.90625" style="1"/>
  </cols>
  <sheetData>
    <row r="1" spans="2:15" s="15" customFormat="1" ht="12.75">
      <c r="B1" s="767" t="s">
        <v>223</v>
      </c>
      <c r="C1" s="767"/>
      <c r="D1" s="767"/>
      <c r="E1" s="767"/>
    </row>
    <row r="2" spans="2:15" s="15" customFormat="1" ht="12.75">
      <c r="B2" s="17"/>
      <c r="C2" s="17"/>
      <c r="D2" s="17"/>
    </row>
    <row r="3" spans="2:15" s="15" customFormat="1" ht="31.7" customHeight="1">
      <c r="B3" s="858" t="s">
        <v>591</v>
      </c>
      <c r="C3" s="858"/>
      <c r="D3" s="858"/>
      <c r="E3" s="858"/>
    </row>
    <row r="4" spans="2:15" s="15" customFormat="1" ht="12.75">
      <c r="B4" s="767" t="s">
        <v>592</v>
      </c>
      <c r="C4" s="767"/>
      <c r="D4" s="767"/>
      <c r="E4" s="767"/>
    </row>
    <row r="5" spans="2:15" s="22" customFormat="1" ht="31.7" customHeight="1">
      <c r="B5" s="954" t="s">
        <v>416</v>
      </c>
      <c r="C5" s="866" t="s">
        <v>593</v>
      </c>
      <c r="D5" s="866"/>
      <c r="E5" s="866"/>
      <c r="F5" s="20"/>
    </row>
    <row r="6" spans="2:15" s="22" customFormat="1" ht="17.25" customHeight="1">
      <c r="B6" s="954"/>
      <c r="C6" s="212">
        <v>2020</v>
      </c>
      <c r="D6" s="212">
        <v>2021</v>
      </c>
      <c r="E6" s="212">
        <v>2022</v>
      </c>
      <c r="F6" s="63"/>
      <c r="G6" s="63"/>
    </row>
    <row r="7" spans="2:15" s="22" customFormat="1" ht="15.75" customHeight="1">
      <c r="B7" s="53" t="s">
        <v>200</v>
      </c>
      <c r="C7" s="388"/>
      <c r="D7" s="388"/>
      <c r="E7" s="47"/>
      <c r="F7" s="63"/>
      <c r="G7" s="63"/>
    </row>
    <row r="8" spans="2:15" s="22" customFormat="1" ht="15.75" customHeight="1">
      <c r="B8" s="53" t="s">
        <v>201</v>
      </c>
      <c r="C8" s="389"/>
      <c r="D8" s="388"/>
      <c r="E8" s="47"/>
      <c r="F8" s="63"/>
      <c r="G8" s="63"/>
    </row>
    <row r="9" spans="2:15" s="22" customFormat="1" ht="15.75" customHeight="1">
      <c r="B9" s="53" t="s">
        <v>202</v>
      </c>
      <c r="C9" s="388">
        <v>229.32407407407405</v>
      </c>
      <c r="D9" s="388">
        <v>233</v>
      </c>
      <c r="E9" s="47"/>
      <c r="F9" s="63"/>
      <c r="G9" s="63"/>
      <c r="H9" s="22" t="s">
        <v>663</v>
      </c>
    </row>
    <row r="10" spans="2:15" s="22" customFormat="1" ht="15.75" customHeight="1">
      <c r="B10" s="53" t="s">
        <v>203</v>
      </c>
      <c r="C10" s="388">
        <v>237.88888888888886</v>
      </c>
      <c r="D10" s="388">
        <v>230.63333333333333</v>
      </c>
      <c r="E10" s="388">
        <v>258.36666666666662</v>
      </c>
      <c r="F10" s="26"/>
      <c r="G10" s="246"/>
      <c r="H10" s="26"/>
      <c r="I10" s="26"/>
      <c r="J10" s="26"/>
      <c r="K10" s="26"/>
      <c r="L10" s="26"/>
      <c r="M10" s="26"/>
      <c r="N10" s="26"/>
      <c r="O10" s="26"/>
    </row>
    <row r="11" spans="2:15" s="22" customFormat="1" ht="15.75" customHeight="1">
      <c r="B11" s="53" t="s">
        <v>204</v>
      </c>
      <c r="C11" s="388">
        <v>236.88172043010749</v>
      </c>
      <c r="D11" s="388">
        <v>225.31666666666669</v>
      </c>
      <c r="E11" s="388">
        <v>267.00000000000006</v>
      </c>
      <c r="F11" s="222"/>
      <c r="G11" s="246"/>
      <c r="H11" s="26"/>
      <c r="I11" s="26"/>
      <c r="J11" s="26"/>
      <c r="K11" s="26"/>
      <c r="L11" s="26"/>
      <c r="M11" s="26"/>
      <c r="N11" s="26"/>
      <c r="O11" s="26"/>
    </row>
    <row r="12" spans="2:15" s="22" customFormat="1" ht="15.75" customHeight="1">
      <c r="B12" s="53" t="s">
        <v>205</v>
      </c>
      <c r="C12" s="388">
        <v>228.21666666666667</v>
      </c>
      <c r="D12" s="388">
        <v>227</v>
      </c>
      <c r="E12" s="388">
        <v>257.13333333333327</v>
      </c>
      <c r="F12" s="222"/>
      <c r="G12" s="504"/>
    </row>
    <row r="13" spans="2:15" s="22" customFormat="1" ht="15.75" customHeight="1">
      <c r="B13" s="53" t="s">
        <v>206</v>
      </c>
      <c r="C13" s="388">
        <v>235.42307692307691</v>
      </c>
      <c r="D13" s="388">
        <v>228</v>
      </c>
      <c r="E13" s="388">
        <v>278.38064516129032</v>
      </c>
      <c r="F13" s="222"/>
      <c r="G13" s="567"/>
    </row>
    <row r="14" spans="2:15" s="22" customFormat="1" ht="15.75" customHeight="1">
      <c r="B14" s="53" t="s">
        <v>207</v>
      </c>
      <c r="C14" s="388">
        <v>229</v>
      </c>
      <c r="D14" s="388">
        <v>236</v>
      </c>
      <c r="E14" s="47"/>
      <c r="F14" s="26"/>
      <c r="G14" s="403"/>
    </row>
    <row r="15" spans="2:15" s="22" customFormat="1" ht="15.75" customHeight="1">
      <c r="B15" s="53" t="s">
        <v>208</v>
      </c>
      <c r="C15" s="388"/>
      <c r="D15" s="388"/>
      <c r="E15" s="47"/>
      <c r="F15" s="63"/>
      <c r="G15" s="63"/>
    </row>
    <row r="16" spans="2:15" s="22" customFormat="1" ht="15.75" customHeight="1">
      <c r="B16" s="53" t="s">
        <v>209</v>
      </c>
      <c r="C16" s="389"/>
      <c r="D16" s="388"/>
      <c r="E16" s="47"/>
    </row>
    <row r="17" spans="2:10" s="22" customFormat="1" ht="15.75" customHeight="1">
      <c r="B17" s="53" t="s">
        <v>193</v>
      </c>
      <c r="C17" s="388"/>
      <c r="D17" s="388"/>
      <c r="E17" s="47"/>
    </row>
    <row r="18" spans="2:10" s="22" customFormat="1" ht="15.75" customHeight="1">
      <c r="B18" s="53" t="s">
        <v>194</v>
      </c>
      <c r="C18" s="388"/>
      <c r="D18" s="388"/>
      <c r="E18" s="47"/>
    </row>
    <row r="19" spans="2:10" ht="78.75" customHeight="1">
      <c r="B19" s="1007" t="s">
        <v>594</v>
      </c>
      <c r="C19" s="1008"/>
      <c r="D19" s="1008"/>
      <c r="E19" s="1009"/>
    </row>
    <row r="20" spans="2:10" ht="18" customHeight="1">
      <c r="C20" s="166"/>
      <c r="D20" s="166"/>
    </row>
    <row r="21" spans="2:10" ht="7.5" customHeight="1"/>
    <row r="22" spans="2:10" ht="24.75" customHeight="1"/>
    <row r="23" spans="2:10">
      <c r="B23" s="781"/>
      <c r="C23" s="781"/>
      <c r="D23" s="276"/>
      <c r="E23" s="223"/>
      <c r="F23" s="223"/>
      <c r="G23" s="223"/>
      <c r="H23" s="223"/>
      <c r="I23" s="223"/>
      <c r="J23" s="223"/>
    </row>
    <row r="24" spans="2:10" ht="12.75">
      <c r="C24" s="9"/>
      <c r="D24" s="9"/>
      <c r="E24" s="22"/>
      <c r="F24" s="22"/>
      <c r="G24" s="22"/>
      <c r="H24" s="22"/>
      <c r="I24" s="22"/>
      <c r="J24" s="22"/>
    </row>
    <row r="44" ht="13.7" customHeight="1"/>
    <row r="45" ht="13.7" customHeight="1"/>
    <row r="46" ht="13.7" customHeight="1"/>
    <row r="47" ht="13.7" customHeight="1"/>
    <row r="48" ht="12.75" customHeight="1"/>
    <row r="49" ht="12.7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c r="K68" s="7"/>
    </row>
    <row r="69" spans="11:11" ht="15" customHeight="1">
      <c r="K69" s="7"/>
    </row>
    <row r="70" spans="11:11" ht="15" customHeight="1">
      <c r="K70" s="7"/>
    </row>
    <row r="71" spans="11:11" ht="15" customHeight="1">
      <c r="K71" s="7"/>
    </row>
    <row r="72" spans="11:11" ht="15" customHeight="1">
      <c r="K72" s="7"/>
    </row>
    <row r="73" spans="11:11" ht="15" customHeight="1">
      <c r="K73" s="7"/>
    </row>
    <row r="74" spans="11:11" ht="15" customHeight="1">
      <c r="K74" s="7"/>
    </row>
    <row r="75" spans="11:11" ht="15" customHeight="1"/>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sheetData>
  <mergeCells count="7">
    <mergeCell ref="B23:C23"/>
    <mergeCell ref="B5:B6"/>
    <mergeCell ref="C5:E5"/>
    <mergeCell ref="B1:E1"/>
    <mergeCell ref="B3:E3"/>
    <mergeCell ref="B4:E4"/>
    <mergeCell ref="B19:E19"/>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M58"/>
  <sheetViews>
    <sheetView topLeftCell="A18" zoomScaleNormal="100" zoomScaleSheetLayoutView="75" workbookViewId="0">
      <selection activeCell="L57" sqref="L57"/>
    </sheetView>
  </sheetViews>
  <sheetFormatPr baseColWidth="10" defaultColWidth="10.90625" defaultRowHeight="12"/>
  <cols>
    <col min="1" max="1" width="1.36328125" style="62" customWidth="1"/>
    <col min="2" max="3" width="6.81640625" style="4" customWidth="1"/>
    <col min="4" max="4" width="8.36328125" style="1" customWidth="1"/>
    <col min="5" max="5" width="8.7265625" style="1" customWidth="1"/>
    <col min="6" max="6" width="8.08984375" style="1" customWidth="1"/>
    <col min="7" max="7" width="8.26953125" style="1" customWidth="1"/>
    <col min="8" max="8" width="7.81640625" style="1" customWidth="1"/>
    <col min="9" max="9" width="9.26953125" style="1" customWidth="1"/>
    <col min="10" max="10" width="1.7265625" style="1" customWidth="1"/>
    <col min="11" max="11" width="10.90625" style="1"/>
    <col min="12" max="16384" width="10.90625" style="62"/>
  </cols>
  <sheetData>
    <row r="1" spans="2:11" s="273" customFormat="1" ht="12.75">
      <c r="B1" s="767" t="s">
        <v>230</v>
      </c>
      <c r="C1" s="767"/>
      <c r="D1" s="767"/>
      <c r="E1" s="767"/>
      <c r="F1" s="767"/>
      <c r="G1" s="767"/>
      <c r="H1" s="767"/>
      <c r="I1" s="767"/>
      <c r="J1" s="18"/>
      <c r="K1" s="18"/>
    </row>
    <row r="2" spans="2:11" s="273" customFormat="1" ht="12.75">
      <c r="B2" s="17"/>
      <c r="C2" s="17"/>
      <c r="D2" s="15"/>
      <c r="E2" s="15"/>
      <c r="F2" s="15"/>
      <c r="G2" s="15"/>
      <c r="H2" s="15"/>
      <c r="I2" s="15"/>
      <c r="J2" s="18"/>
      <c r="K2" s="18"/>
    </row>
    <row r="3" spans="2:11" s="273" customFormat="1" ht="12.75">
      <c r="B3" s="767" t="s">
        <v>595</v>
      </c>
      <c r="C3" s="767"/>
      <c r="D3" s="767"/>
      <c r="E3" s="767"/>
      <c r="F3" s="767"/>
      <c r="G3" s="767"/>
      <c r="H3" s="767"/>
      <c r="I3" s="767"/>
      <c r="J3" s="18"/>
      <c r="K3" s="18"/>
    </row>
    <row r="4" spans="2:11" s="273" customFormat="1" ht="12.75">
      <c r="B4" s="767" t="s">
        <v>596</v>
      </c>
      <c r="C4" s="767"/>
      <c r="D4" s="767"/>
      <c r="E4" s="767"/>
      <c r="F4" s="767"/>
      <c r="G4" s="767"/>
      <c r="H4" s="767"/>
      <c r="I4" s="767"/>
      <c r="J4" s="18"/>
      <c r="K4" s="18"/>
    </row>
    <row r="5" spans="2:11" s="273" customFormat="1" ht="78.75" customHeight="1">
      <c r="B5" s="450" t="s">
        <v>198</v>
      </c>
      <c r="C5" s="451" t="s">
        <v>597</v>
      </c>
      <c r="D5" s="451" t="s">
        <v>598</v>
      </c>
      <c r="E5" s="451" t="s">
        <v>599</v>
      </c>
      <c r="F5" s="456" t="s">
        <v>600</v>
      </c>
      <c r="G5" s="456" t="s">
        <v>672</v>
      </c>
      <c r="H5" s="456" t="s">
        <v>673</v>
      </c>
      <c r="I5" s="456" t="s">
        <v>674</v>
      </c>
      <c r="J5" s="18"/>
      <c r="K5" s="1"/>
    </row>
    <row r="6" spans="2:11" ht="12.75">
      <c r="B6" s="452">
        <v>43831</v>
      </c>
      <c r="C6" s="314">
        <v>449.41</v>
      </c>
      <c r="D6" s="314">
        <v>446.32</v>
      </c>
      <c r="E6" s="314">
        <v>443.64</v>
      </c>
      <c r="F6" s="314"/>
      <c r="G6" s="314">
        <v>485.83611795904483</v>
      </c>
      <c r="H6" s="314">
        <v>274.48368246273719</v>
      </c>
      <c r="I6" s="314">
        <v>268.46766124576266</v>
      </c>
    </row>
    <row r="7" spans="2:11" ht="15.75" customHeight="1">
      <c r="B7" s="452">
        <v>43862</v>
      </c>
      <c r="C7" s="314">
        <v>449.65</v>
      </c>
      <c r="D7" s="314">
        <v>446.05</v>
      </c>
      <c r="E7" s="314">
        <v>444.9</v>
      </c>
      <c r="F7" s="314"/>
      <c r="G7" s="314">
        <v>487.76342375700193</v>
      </c>
      <c r="H7" s="314">
        <v>275.57255579491635</v>
      </c>
      <c r="I7" s="314">
        <v>269.76252324376497</v>
      </c>
    </row>
    <row r="8" spans="2:11" ht="15.75" customHeight="1">
      <c r="B8" s="452">
        <v>43891</v>
      </c>
      <c r="C8" s="314">
        <v>487.86</v>
      </c>
      <c r="D8" s="314">
        <v>484.59</v>
      </c>
      <c r="E8" s="314">
        <v>479.55</v>
      </c>
      <c r="F8" s="314">
        <v>273.0146006096337</v>
      </c>
      <c r="G8" s="314">
        <v>494.50513305175457</v>
      </c>
      <c r="H8" s="314">
        <v>279.38143110268618</v>
      </c>
      <c r="I8" s="314">
        <v>268.34214893235429</v>
      </c>
    </row>
    <row r="9" spans="2:11" ht="15.75" customHeight="1">
      <c r="B9" s="452">
        <v>43922</v>
      </c>
      <c r="C9" s="314">
        <v>562.1</v>
      </c>
      <c r="D9" s="314">
        <v>559.04999999999995</v>
      </c>
      <c r="E9" s="314">
        <v>547.42999999999995</v>
      </c>
      <c r="F9" s="314">
        <v>278.76079693558427</v>
      </c>
      <c r="G9" s="314">
        <v>485.93022164445802</v>
      </c>
      <c r="H9" s="314">
        <v>274.53684838669943</v>
      </c>
      <c r="I9" s="314">
        <v>274.10297874335004</v>
      </c>
    </row>
    <row r="10" spans="2:11" ht="15.75" customHeight="1">
      <c r="B10" s="452">
        <v>43952</v>
      </c>
      <c r="C10" s="314">
        <v>519.80999999999995</v>
      </c>
      <c r="D10" s="314">
        <v>516.62</v>
      </c>
      <c r="E10" s="314">
        <v>510.52</v>
      </c>
      <c r="F10" s="314">
        <v>291.13165082048687</v>
      </c>
      <c r="G10" s="314">
        <v>488.60434020492249</v>
      </c>
      <c r="H10" s="314">
        <v>276.04764983328954</v>
      </c>
      <c r="I10" s="314">
        <v>285.47388583449589</v>
      </c>
    </row>
    <row r="11" spans="2:11" ht="15.75" customHeight="1">
      <c r="B11" s="452">
        <v>43983</v>
      </c>
      <c r="C11" s="314">
        <v>517.5</v>
      </c>
      <c r="D11" s="314">
        <v>514.32000000000005</v>
      </c>
      <c r="E11" s="314">
        <v>507.91</v>
      </c>
      <c r="F11" s="314">
        <v>296.44767383187002</v>
      </c>
      <c r="G11" s="314">
        <v>506.83333341292433</v>
      </c>
      <c r="H11" s="314">
        <v>286.34651605249962</v>
      </c>
      <c r="I11" s="314">
        <v>294.44192148551821</v>
      </c>
    </row>
    <row r="12" spans="2:11" ht="15.75" customHeight="1">
      <c r="B12" s="452">
        <v>44013</v>
      </c>
      <c r="C12" s="314">
        <v>481.35</v>
      </c>
      <c r="D12" s="314">
        <v>478.09</v>
      </c>
      <c r="E12" s="314">
        <v>474</v>
      </c>
      <c r="F12" s="314">
        <v>296.91741108406711</v>
      </c>
      <c r="G12" s="314">
        <v>534.75582564397189</v>
      </c>
      <c r="H12" s="314">
        <v>302.12193539207453</v>
      </c>
      <c r="I12" s="314">
        <v>295.17158767983892</v>
      </c>
    </row>
    <row r="13" spans="2:11" ht="15.75" customHeight="1">
      <c r="B13" s="452">
        <v>44044</v>
      </c>
      <c r="C13" s="314">
        <v>498.19</v>
      </c>
      <c r="D13" s="314">
        <v>495.19</v>
      </c>
      <c r="E13" s="314">
        <v>489.52</v>
      </c>
      <c r="F13" s="314">
        <v>291.84614992480823</v>
      </c>
      <c r="G13" s="314">
        <v>546.97583411464359</v>
      </c>
      <c r="H13" s="314">
        <v>309.02589498002465</v>
      </c>
      <c r="I13" s="314">
        <v>323.55908414821954</v>
      </c>
    </row>
    <row r="14" spans="2:11" ht="15.75" customHeight="1">
      <c r="B14" s="452">
        <v>44075</v>
      </c>
      <c r="C14" s="314">
        <v>511.14</v>
      </c>
      <c r="D14" s="314">
        <v>507.45</v>
      </c>
      <c r="E14" s="314">
        <v>500.95</v>
      </c>
      <c r="F14" s="314"/>
      <c r="G14" s="314">
        <v>547.30008592686488</v>
      </c>
      <c r="H14" s="314">
        <v>309.20908809427397</v>
      </c>
      <c r="I14" s="314">
        <v>399.7482975605551</v>
      </c>
    </row>
    <row r="15" spans="2:11" ht="15.75" customHeight="1">
      <c r="B15" s="452">
        <v>44105</v>
      </c>
      <c r="C15" s="314">
        <v>477.5</v>
      </c>
      <c r="D15" s="314">
        <v>474.18</v>
      </c>
      <c r="E15" s="314">
        <v>471.68</v>
      </c>
      <c r="F15" s="314"/>
      <c r="G15" s="314">
        <v>611.45540506874011</v>
      </c>
      <c r="H15" s="314">
        <v>345.45503111228254</v>
      </c>
      <c r="I15" s="314">
        <v>404.84333117663368</v>
      </c>
    </row>
    <row r="16" spans="2:11" ht="15.75" customHeight="1">
      <c r="B16" s="452">
        <v>44136</v>
      </c>
      <c r="C16" s="314">
        <v>484.24</v>
      </c>
      <c r="D16" s="314">
        <v>480.62</v>
      </c>
      <c r="E16" s="314">
        <v>479.48</v>
      </c>
      <c r="F16" s="314"/>
      <c r="G16" s="314">
        <v>657.03983530257608</v>
      </c>
      <c r="H16" s="314">
        <v>371.20894649863055</v>
      </c>
      <c r="I16" s="314">
        <v>385.96019122371985</v>
      </c>
    </row>
    <row r="17" spans="2:11" ht="15.75" customHeight="1">
      <c r="B17" s="452">
        <v>44166</v>
      </c>
      <c r="C17" s="314">
        <v>518.64</v>
      </c>
      <c r="D17" s="314">
        <v>515.45000000000005</v>
      </c>
      <c r="E17" s="314">
        <v>512.23</v>
      </c>
      <c r="F17" s="314"/>
      <c r="G17" s="314">
        <v>522.55345354356325</v>
      </c>
      <c r="H17" s="314">
        <v>295.2279398551205</v>
      </c>
      <c r="I17" s="314">
        <v>380.64937613685606</v>
      </c>
    </row>
    <row r="18" spans="2:11" ht="15.75" customHeight="1">
      <c r="B18" s="452">
        <v>44197</v>
      </c>
      <c r="C18" s="314">
        <v>538.1</v>
      </c>
      <c r="D18" s="314">
        <v>534.45000000000005</v>
      </c>
      <c r="E18" s="314">
        <v>530.04999999999995</v>
      </c>
      <c r="F18" s="314"/>
      <c r="G18" s="314">
        <v>524.3046206835927</v>
      </c>
      <c r="H18" s="314">
        <v>296.21729982123884</v>
      </c>
      <c r="I18" s="314">
        <v>354.63184719282259</v>
      </c>
      <c r="K18" s="392"/>
    </row>
    <row r="19" spans="2:11" ht="15.75" customHeight="1">
      <c r="B19" s="452">
        <v>44228</v>
      </c>
      <c r="C19" s="314">
        <v>557.4</v>
      </c>
      <c r="D19" s="314">
        <v>553.65</v>
      </c>
      <c r="E19" s="314">
        <v>548.79999999999995</v>
      </c>
      <c r="F19" s="314"/>
      <c r="G19" s="314">
        <v>570.13865280248558</v>
      </c>
      <c r="H19" s="314">
        <v>322.11223322174328</v>
      </c>
      <c r="I19" s="314">
        <v>346.645816900304</v>
      </c>
      <c r="K19" s="392"/>
    </row>
    <row r="20" spans="2:11" ht="15" customHeight="1">
      <c r="B20" s="452">
        <v>44256</v>
      </c>
      <c r="C20" s="314">
        <v>530.96</v>
      </c>
      <c r="D20" s="314">
        <v>529.48</v>
      </c>
      <c r="E20" s="314">
        <v>526.70000000000005</v>
      </c>
      <c r="F20" s="314">
        <v>320.36014703250407</v>
      </c>
      <c r="G20" s="314">
        <v>575.27615541876776</v>
      </c>
      <c r="H20" s="314">
        <v>325.01477707275012</v>
      </c>
      <c r="I20" s="314">
        <v>323.65679107525546</v>
      </c>
      <c r="K20" s="392"/>
    </row>
    <row r="21" spans="2:11" ht="15" customHeight="1">
      <c r="B21" s="452">
        <v>44287</v>
      </c>
      <c r="C21" s="314">
        <v>499.86</v>
      </c>
      <c r="D21" s="314">
        <v>496.29</v>
      </c>
      <c r="E21" s="314">
        <v>493.62</v>
      </c>
      <c r="F21" s="314">
        <v>325.82232582232575</v>
      </c>
      <c r="G21" s="314">
        <v>595.9091176226982</v>
      </c>
      <c r="H21" s="314">
        <v>336.67181786593119</v>
      </c>
      <c r="I21" s="314">
        <v>323.81323726778271</v>
      </c>
      <c r="K21" s="392"/>
    </row>
    <row r="22" spans="2:11" ht="15" customHeight="1">
      <c r="B22" s="452">
        <v>44317</v>
      </c>
      <c r="C22" s="314">
        <v>493.19</v>
      </c>
      <c r="D22" s="314">
        <v>490.05</v>
      </c>
      <c r="E22" s="314">
        <v>487.57</v>
      </c>
      <c r="F22" s="314">
        <v>316.43935750174597</v>
      </c>
      <c r="G22" s="314">
        <v>550.41993363719439</v>
      </c>
      <c r="H22" s="314">
        <v>310.97171391931886</v>
      </c>
      <c r="I22" s="314">
        <v>313.9434403710859</v>
      </c>
      <c r="K22" s="392"/>
    </row>
    <row r="23" spans="2:11" ht="15" customHeight="1">
      <c r="B23" s="452">
        <v>44348</v>
      </c>
      <c r="C23" s="314">
        <v>474.64</v>
      </c>
      <c r="D23" s="314">
        <v>471.74</v>
      </c>
      <c r="E23" s="314">
        <v>468.5</v>
      </c>
      <c r="F23" s="314">
        <v>313.03621732228555</v>
      </c>
      <c r="G23" s="314">
        <v>628.28779953260755</v>
      </c>
      <c r="H23" s="314">
        <v>354.96485849299859</v>
      </c>
      <c r="I23" s="314">
        <v>311.01889320156727</v>
      </c>
      <c r="K23" s="392"/>
    </row>
    <row r="24" spans="2:11" ht="15" customHeight="1">
      <c r="B24" s="452">
        <v>44378</v>
      </c>
      <c r="C24" s="314">
        <v>420.5</v>
      </c>
      <c r="D24" s="314">
        <v>417.5</v>
      </c>
      <c r="E24" s="314">
        <v>417.05</v>
      </c>
      <c r="F24" s="314">
        <v>303.82175790203075</v>
      </c>
      <c r="G24" s="314">
        <v>590.01634891700269</v>
      </c>
      <c r="H24" s="314">
        <v>333.34257000960605</v>
      </c>
      <c r="I24" s="314">
        <v>306.60507126141908</v>
      </c>
      <c r="K24" s="392"/>
    </row>
    <row r="25" spans="2:11" ht="15" customHeight="1">
      <c r="B25" s="452">
        <v>44409</v>
      </c>
      <c r="C25" s="314">
        <v>402.27</v>
      </c>
      <c r="D25" s="314">
        <v>399.27</v>
      </c>
      <c r="E25" s="314">
        <v>397.14</v>
      </c>
      <c r="F25" s="314">
        <v>302.24536116845979</v>
      </c>
      <c r="G25" s="314">
        <v>602.79229418600823</v>
      </c>
      <c r="H25" s="314">
        <v>340.56061818418544</v>
      </c>
      <c r="I25" s="314">
        <v>304.83743804463126</v>
      </c>
      <c r="K25" s="392"/>
    </row>
    <row r="26" spans="2:11" ht="15" customHeight="1">
      <c r="B26" s="452">
        <v>44440</v>
      </c>
      <c r="C26" s="314">
        <v>400.91</v>
      </c>
      <c r="D26" s="314">
        <v>397.91</v>
      </c>
      <c r="E26" s="314">
        <v>396.14</v>
      </c>
      <c r="F26" s="314"/>
      <c r="G26" s="314">
        <v>588.77641975476865</v>
      </c>
      <c r="H26" s="314">
        <v>332.64204505919133</v>
      </c>
      <c r="I26" s="314">
        <v>300.36581890262835</v>
      </c>
      <c r="K26" s="392"/>
    </row>
    <row r="27" spans="2:11" ht="15" customHeight="1">
      <c r="B27" s="452">
        <v>44470</v>
      </c>
      <c r="C27" s="314">
        <v>400</v>
      </c>
      <c r="D27" s="314">
        <v>397</v>
      </c>
      <c r="E27" s="314">
        <v>396.33</v>
      </c>
      <c r="F27" s="314"/>
      <c r="G27" s="314">
        <v>565.97413856195249</v>
      </c>
      <c r="H27" s="314">
        <v>319.75940031748729</v>
      </c>
      <c r="I27" s="314">
        <v>294.88614859040638</v>
      </c>
      <c r="K27" s="392"/>
    </row>
    <row r="28" spans="2:11" ht="15" customHeight="1">
      <c r="B28" s="452">
        <v>44501</v>
      </c>
      <c r="C28" s="314">
        <v>400.05</v>
      </c>
      <c r="D28" s="314">
        <v>397.05</v>
      </c>
      <c r="E28" s="314">
        <v>397.09</v>
      </c>
      <c r="F28" s="314"/>
      <c r="G28" s="314">
        <v>601.55447686894615</v>
      </c>
      <c r="H28" s="314">
        <v>339.86128636663625</v>
      </c>
      <c r="I28" s="314">
        <v>274.59154525571</v>
      </c>
      <c r="K28" s="392"/>
    </row>
    <row r="29" spans="2:11" ht="15" customHeight="1">
      <c r="B29" s="452">
        <v>44531</v>
      </c>
      <c r="C29" s="314">
        <v>399.55</v>
      </c>
      <c r="D29" s="314">
        <v>396.82</v>
      </c>
      <c r="E29" s="314">
        <v>396.05</v>
      </c>
      <c r="F29" s="314"/>
      <c r="G29" s="314">
        <v>590.44644989820915</v>
      </c>
      <c r="H29" s="314">
        <v>333.58556491424247</v>
      </c>
      <c r="I29" s="314">
        <v>275.22231745047623</v>
      </c>
      <c r="K29" s="392"/>
    </row>
    <row r="30" spans="2:11" ht="15" customHeight="1">
      <c r="B30" s="452">
        <v>44562</v>
      </c>
      <c r="C30" s="314">
        <v>421.19</v>
      </c>
      <c r="D30" s="314">
        <v>418.33</v>
      </c>
      <c r="E30" s="314">
        <v>417.33</v>
      </c>
      <c r="F30" s="314"/>
      <c r="G30" s="314">
        <v>558.27043492401322</v>
      </c>
      <c r="H30" s="314">
        <v>315.40702538079842</v>
      </c>
      <c r="I30" s="314">
        <v>266.40188147517387</v>
      </c>
      <c r="K30" s="392"/>
    </row>
    <row r="31" spans="2:11" ht="15" customHeight="1">
      <c r="B31" s="452">
        <v>44593</v>
      </c>
      <c r="C31" s="314">
        <v>431.8</v>
      </c>
      <c r="D31" s="314">
        <v>428.8</v>
      </c>
      <c r="E31" s="314">
        <v>428.6</v>
      </c>
      <c r="F31" s="314"/>
      <c r="G31" s="314">
        <v>546.3050779635397</v>
      </c>
      <c r="H31" s="314">
        <v>308.6469367025648</v>
      </c>
      <c r="I31" s="314">
        <v>274.23891360105068</v>
      </c>
      <c r="K31" s="392"/>
    </row>
    <row r="32" spans="2:11" ht="15" customHeight="1">
      <c r="B32" s="452">
        <v>44621</v>
      </c>
      <c r="C32" s="314">
        <v>420.7</v>
      </c>
      <c r="D32" s="314">
        <v>417.7</v>
      </c>
      <c r="E32" s="314">
        <v>419</v>
      </c>
      <c r="F32" s="314"/>
      <c r="G32" s="314">
        <v>545.80731285261425</v>
      </c>
      <c r="H32" s="314">
        <v>308.36571347605326</v>
      </c>
      <c r="I32" s="314">
        <v>294.40171076440697</v>
      </c>
      <c r="K32" s="392"/>
    </row>
    <row r="33" spans="2:13" ht="15" customHeight="1">
      <c r="B33" s="452">
        <v>44652</v>
      </c>
      <c r="C33" s="314">
        <v>429.4</v>
      </c>
      <c r="D33" s="314">
        <v>426.4</v>
      </c>
      <c r="E33" s="314">
        <v>428.5</v>
      </c>
      <c r="F33" s="314">
        <v>316.96764484574862</v>
      </c>
      <c r="G33" s="314">
        <v>549.72457402147984</v>
      </c>
      <c r="H33" s="314">
        <v>310.57885537936716</v>
      </c>
      <c r="I33" s="314">
        <v>304.41770736448223</v>
      </c>
      <c r="K33" s="392"/>
    </row>
    <row r="34" spans="2:13" ht="15" customHeight="1">
      <c r="B34" s="452">
        <v>44682</v>
      </c>
      <c r="C34" s="314">
        <v>460.14</v>
      </c>
      <c r="D34" s="314">
        <v>457.14</v>
      </c>
      <c r="E34" s="314">
        <v>456.95</v>
      </c>
      <c r="F34" s="314">
        <v>314.3432345565642</v>
      </c>
      <c r="G34" s="314">
        <v>564.81641387732293</v>
      </c>
      <c r="H34" s="314">
        <v>319.10531857475871</v>
      </c>
      <c r="I34" s="314">
        <v>296.43473791218946</v>
      </c>
      <c r="K34" s="682"/>
      <c r="L34" s="246"/>
      <c r="M34" s="246"/>
    </row>
    <row r="35" spans="2:13" ht="15" customHeight="1">
      <c r="B35" s="452">
        <v>44713</v>
      </c>
      <c r="C35" s="314">
        <v>448.77</v>
      </c>
      <c r="D35" s="314">
        <v>445.86</v>
      </c>
      <c r="E35" s="314">
        <v>446.82</v>
      </c>
      <c r="F35" s="314">
        <v>299.76955749598761</v>
      </c>
      <c r="G35" s="314">
        <v>564.44130170328856</v>
      </c>
      <c r="H35" s="314">
        <v>318.89339079281837</v>
      </c>
      <c r="I35" s="314">
        <v>294.29385089158933</v>
      </c>
      <c r="K35" s="682"/>
      <c r="L35" s="246" t="s">
        <v>663</v>
      </c>
      <c r="M35" s="246"/>
    </row>
    <row r="36" spans="2:13" ht="15" customHeight="1">
      <c r="B36" s="452">
        <v>44743</v>
      </c>
      <c r="C36" s="314">
        <v>419.95</v>
      </c>
      <c r="D36" s="314">
        <v>418.48</v>
      </c>
      <c r="E36" s="314">
        <v>417.24</v>
      </c>
      <c r="F36" s="314">
        <v>291.89234165657308</v>
      </c>
      <c r="G36" s="314">
        <v>577.65817942935189</v>
      </c>
      <c r="H36" s="314">
        <v>326.3605533499163</v>
      </c>
      <c r="I36" s="314">
        <v>292.0738630826794</v>
      </c>
      <c r="K36" s="682"/>
      <c r="L36" s="246"/>
      <c r="M36" s="246"/>
    </row>
    <row r="37" spans="2:13" ht="24" customHeight="1">
      <c r="B37" s="792" t="s">
        <v>675</v>
      </c>
      <c r="C37" s="792"/>
      <c r="D37" s="792"/>
      <c r="E37" s="792"/>
      <c r="F37" s="792"/>
      <c r="G37" s="792"/>
      <c r="H37" s="792"/>
      <c r="I37" s="792"/>
    </row>
    <row r="38" spans="2:13" ht="33.4" customHeight="1">
      <c r="B38" s="792"/>
      <c r="C38" s="792"/>
      <c r="D38" s="792"/>
      <c r="E38" s="792"/>
      <c r="F38" s="792"/>
      <c r="G38" s="792"/>
      <c r="H38" s="792"/>
      <c r="I38" s="792"/>
    </row>
    <row r="39" spans="2:13" ht="15" customHeight="1"/>
    <row r="40" spans="2:13" ht="15" customHeight="1"/>
    <row r="41" spans="2:13" ht="15" customHeight="1"/>
    <row r="42" spans="2:13" ht="15" customHeight="1"/>
    <row r="43" spans="2:13" ht="15" customHeight="1"/>
    <row r="44" spans="2:13" ht="15" customHeight="1"/>
    <row r="45" spans="2:13" ht="15" customHeight="1"/>
    <row r="46" spans="2:13" ht="15" customHeight="1"/>
    <row r="47" spans="2:13" ht="15" customHeight="1"/>
    <row r="48" spans="2:13" ht="13.7" customHeight="1"/>
    <row r="49" spans="2:9" ht="13.7" customHeight="1"/>
    <row r="50" spans="2:9" ht="13.7" customHeight="1"/>
    <row r="51" spans="2:9" ht="13.7" customHeight="1"/>
    <row r="52" spans="2:9" ht="13.7" customHeight="1"/>
    <row r="53" spans="2:9" ht="30" hidden="1" customHeight="1"/>
    <row r="54" spans="2:9" ht="11.25" hidden="1" customHeight="1"/>
    <row r="55" spans="2:9" ht="11.25" hidden="1" customHeight="1"/>
    <row r="56" spans="2:9" ht="12" hidden="1" customHeight="1"/>
    <row r="57" spans="2:9" ht="18.95" customHeight="1">
      <c r="B57" s="847" t="s">
        <v>601</v>
      </c>
      <c r="C57" s="847"/>
      <c r="D57" s="847"/>
      <c r="E57" s="847"/>
      <c r="F57" s="847"/>
      <c r="G57" s="847"/>
      <c r="H57" s="847"/>
      <c r="I57" s="847"/>
    </row>
    <row r="58" spans="2:9">
      <c r="B58" s="847"/>
      <c r="C58" s="847"/>
      <c r="D58" s="847"/>
      <c r="E58" s="847"/>
      <c r="F58" s="847"/>
      <c r="G58" s="847"/>
      <c r="H58" s="847"/>
      <c r="I58" s="847"/>
    </row>
  </sheetData>
  <mergeCells count="5">
    <mergeCell ref="B1:I1"/>
    <mergeCell ref="B3:I3"/>
    <mergeCell ref="B4:I4"/>
    <mergeCell ref="B37:I38"/>
    <mergeCell ref="B57:I58"/>
  </mergeCells>
  <printOptions horizontalCentered="1" verticalCentered="1"/>
  <pageMargins left="0.59055118110236227" right="0.59055118110236227" top="0" bottom="0.23622047244094491" header="0" footer="0.23622047244094491"/>
  <pageSetup scale="85"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G1:AF72"/>
  <sheetViews>
    <sheetView zoomScale="90" zoomScaleNormal="90" workbookViewId="0">
      <pane ySplit="1" topLeftCell="A2" activePane="bottomLeft" state="frozen"/>
      <selection pane="bottomLeft" activeCell="P32" sqref="P32"/>
    </sheetView>
  </sheetViews>
  <sheetFormatPr baseColWidth="10" defaultColWidth="10.90625" defaultRowHeight="12.75"/>
  <cols>
    <col min="1" max="1" width="8" style="300" customWidth="1"/>
    <col min="2" max="4" width="10.90625" style="300"/>
    <col min="5" max="5" width="21.36328125" style="300" customWidth="1"/>
    <col min="6" max="6" width="10.90625" style="300"/>
    <col min="7" max="7" width="10.90625" style="300" customWidth="1"/>
    <col min="8" max="8" width="15.08984375" style="300" bestFit="1" customWidth="1"/>
    <col min="9" max="12" width="10.90625" style="300" hidden="1" customWidth="1"/>
    <col min="13" max="14" width="0" style="300" hidden="1" customWidth="1"/>
    <col min="15" max="22" width="10.90625" style="300"/>
    <col min="23" max="32" width="10.90625" style="377"/>
    <col min="33" max="16384" width="10.90625" style="300"/>
  </cols>
  <sheetData>
    <row r="1" spans="7:20">
      <c r="H1" s="300" t="s">
        <v>602</v>
      </c>
      <c r="I1" s="461">
        <v>44378</v>
      </c>
      <c r="J1" s="461">
        <v>44440</v>
      </c>
      <c r="K1" s="461">
        <v>44501</v>
      </c>
      <c r="L1" s="461">
        <v>44562</v>
      </c>
      <c r="M1" s="461">
        <v>44621</v>
      </c>
      <c r="N1" s="461">
        <v>44682</v>
      </c>
      <c r="O1" s="461">
        <v>44743</v>
      </c>
      <c r="P1" s="461">
        <v>44805</v>
      </c>
      <c r="Q1" s="461">
        <v>44866</v>
      </c>
      <c r="R1" s="461">
        <v>44927</v>
      </c>
      <c r="S1" s="461">
        <v>44986</v>
      </c>
      <c r="T1" s="461">
        <v>45047</v>
      </c>
    </row>
    <row r="2" spans="7:20">
      <c r="G2" s="633">
        <v>44340</v>
      </c>
      <c r="H2" s="300" t="s">
        <v>276</v>
      </c>
      <c r="I2" s="634">
        <v>289.90811125416673</v>
      </c>
      <c r="J2" s="634">
        <v>295.4196723046262</v>
      </c>
      <c r="K2" s="634">
        <v>298.39591527187429</v>
      </c>
      <c r="L2" s="634">
        <v>302.80516411224181</v>
      </c>
      <c r="M2" s="634">
        <v>302.80516411224181</v>
      </c>
      <c r="N2" s="634">
        <v>302.80516411224181</v>
      </c>
      <c r="O2" s="634">
        <v>302.80516411224181</v>
      </c>
    </row>
    <row r="3" spans="7:20">
      <c r="G3" s="633">
        <v>44348</v>
      </c>
      <c r="H3" s="300" t="s">
        <v>277</v>
      </c>
      <c r="I3" s="634">
        <v>292.88435422141481</v>
      </c>
      <c r="J3" s="634">
        <v>298.61637771389263</v>
      </c>
      <c r="K3" s="634">
        <v>301.37215823912237</v>
      </c>
      <c r="L3" s="634">
        <v>305.1200197534348</v>
      </c>
      <c r="M3" s="634">
        <v>305.230250974444</v>
      </c>
      <c r="N3" s="634">
        <v>305.230250974444</v>
      </c>
      <c r="O3" s="634">
        <v>305.230250974444</v>
      </c>
    </row>
    <row r="4" spans="7:20">
      <c r="G4" s="633">
        <v>44354</v>
      </c>
      <c r="H4" s="300" t="s">
        <v>278</v>
      </c>
      <c r="I4" s="634">
        <v>292.55366055838726</v>
      </c>
      <c r="J4" s="634">
        <v>298.94707137692023</v>
      </c>
      <c r="K4" s="634">
        <v>302.36423922820507</v>
      </c>
      <c r="L4" s="634">
        <v>306.44279440554504</v>
      </c>
      <c r="M4" s="634">
        <v>306.77348806857265</v>
      </c>
      <c r="N4" s="634">
        <v>306.77348806857265</v>
      </c>
      <c r="O4" s="634">
        <v>306.77348806857265</v>
      </c>
    </row>
    <row r="5" spans="7:20">
      <c r="G5" s="633">
        <v>44361</v>
      </c>
      <c r="H5" s="300" t="s">
        <v>279</v>
      </c>
      <c r="I5" s="635">
        <v>275.6882837439814</v>
      </c>
      <c r="J5" s="635">
        <v>281.86123212049591</v>
      </c>
      <c r="K5" s="635">
        <v>286.93186828691864</v>
      </c>
      <c r="L5" s="635">
        <v>292.00250445334132</v>
      </c>
      <c r="M5" s="635">
        <v>292.44342933737806</v>
      </c>
      <c r="N5" s="635">
        <v>292.44342933737806</v>
      </c>
      <c r="O5" s="635">
        <v>292.44342933737806</v>
      </c>
    </row>
    <row r="6" spans="7:20">
      <c r="G6" s="633">
        <v>44368</v>
      </c>
      <c r="H6" s="300" t="s">
        <v>280</v>
      </c>
      <c r="I6" s="635">
        <v>280.42822624737647</v>
      </c>
      <c r="J6" s="635">
        <v>287.04209950792779</v>
      </c>
      <c r="K6" s="635">
        <v>291.89227323233212</v>
      </c>
      <c r="L6" s="635">
        <v>296.74244695673644</v>
      </c>
      <c r="M6" s="635">
        <v>297.18337184077319</v>
      </c>
      <c r="N6" s="635">
        <v>297.18337184077319</v>
      </c>
      <c r="O6" s="635">
        <v>297.18337184077319</v>
      </c>
    </row>
    <row r="7" spans="7:20">
      <c r="G7" s="633">
        <v>44375</v>
      </c>
      <c r="H7" s="300" t="s">
        <v>281</v>
      </c>
      <c r="I7" s="635">
        <v>290.01834247517593</v>
      </c>
      <c r="J7" s="635">
        <v>296.74244695673644</v>
      </c>
      <c r="K7" s="635">
        <v>302.14377678618666</v>
      </c>
      <c r="L7" s="635">
        <v>306.1121007425175</v>
      </c>
      <c r="M7" s="635">
        <v>307.65533783664614</v>
      </c>
      <c r="N7" s="635">
        <v>307.65533783664614</v>
      </c>
      <c r="O7" s="635">
        <v>307.65533783664614</v>
      </c>
    </row>
    <row r="8" spans="7:20">
      <c r="G8" s="633">
        <v>44383</v>
      </c>
      <c r="H8" s="300" t="s">
        <v>282</v>
      </c>
      <c r="I8" s="635">
        <v>276.01897740700895</v>
      </c>
      <c r="J8" s="635">
        <v>282.63285066756026</v>
      </c>
      <c r="K8" s="635">
        <v>287.37279317095539</v>
      </c>
      <c r="L8" s="635">
        <v>292.55366055838726</v>
      </c>
      <c r="M8" s="635">
        <v>297.84475916682834</v>
      </c>
      <c r="N8" s="635">
        <v>297.84475916682834</v>
      </c>
      <c r="O8" s="635">
        <v>297.84475916682834</v>
      </c>
    </row>
    <row r="9" spans="7:20">
      <c r="G9" s="633">
        <v>44389</v>
      </c>
      <c r="H9" s="300" t="s">
        <v>283</v>
      </c>
      <c r="I9" s="635">
        <v>279.10545159526623</v>
      </c>
      <c r="J9" s="635">
        <v>284.28631898269811</v>
      </c>
      <c r="K9" s="635">
        <v>289.35695514912078</v>
      </c>
      <c r="L9" s="635">
        <v>293.65597276847916</v>
      </c>
      <c r="M9" s="635">
        <v>297.51406550380079</v>
      </c>
      <c r="N9" s="635">
        <v>297.51406550380079</v>
      </c>
      <c r="O9" s="635">
        <v>297.51406550380079</v>
      </c>
    </row>
    <row r="10" spans="7:20">
      <c r="G10" s="633">
        <v>44396</v>
      </c>
      <c r="H10" s="300" t="s">
        <v>284</v>
      </c>
      <c r="I10" s="635"/>
      <c r="J10" s="635">
        <v>287.48302439196459</v>
      </c>
      <c r="K10" s="635">
        <v>292.66389177939647</v>
      </c>
      <c r="L10" s="635">
        <v>295.97082840967215</v>
      </c>
      <c r="M10" s="635">
        <v>299.27776503994778</v>
      </c>
      <c r="N10" s="635">
        <v>299.27776503994778</v>
      </c>
      <c r="O10" s="635">
        <v>299.27776503994778</v>
      </c>
    </row>
    <row r="11" spans="7:20">
      <c r="G11" s="633">
        <v>44403</v>
      </c>
      <c r="H11" s="300" t="s">
        <v>285</v>
      </c>
      <c r="I11" s="635"/>
      <c r="J11" s="635">
        <v>298.61637771389263</v>
      </c>
      <c r="K11" s="635">
        <v>303.24608899627862</v>
      </c>
      <c r="L11" s="635">
        <v>305.78140707948995</v>
      </c>
      <c r="M11" s="635">
        <v>308.09626272068289</v>
      </c>
      <c r="N11" s="635">
        <v>308.09626272068289</v>
      </c>
      <c r="O11" s="635">
        <v>308.09626272068289</v>
      </c>
    </row>
    <row r="12" spans="7:20">
      <c r="G12" s="633">
        <v>44410</v>
      </c>
      <c r="H12" s="300" t="s">
        <v>286</v>
      </c>
      <c r="I12" s="635"/>
      <c r="J12" s="635">
        <v>297.51406550380079</v>
      </c>
      <c r="K12" s="635">
        <v>303.68701388031536</v>
      </c>
      <c r="L12" s="635">
        <v>305.67117585848075</v>
      </c>
      <c r="M12" s="635">
        <v>306.44279440554504</v>
      </c>
      <c r="N12" s="635">
        <v>311.18273690894017</v>
      </c>
      <c r="O12" s="635">
        <v>311.18273690894017</v>
      </c>
    </row>
    <row r="13" spans="7:20">
      <c r="G13" s="633">
        <v>44417</v>
      </c>
      <c r="H13" s="300" t="s">
        <v>287</v>
      </c>
      <c r="J13" s="635">
        <v>295.1992098626078</v>
      </c>
      <c r="K13" s="635">
        <v>301.37215823912237</v>
      </c>
      <c r="L13" s="635">
        <v>303.24608899627862</v>
      </c>
      <c r="M13" s="635">
        <v>304.78932609040726</v>
      </c>
      <c r="N13" s="635">
        <v>308.64741882572883</v>
      </c>
      <c r="O13" s="635">
        <v>308.64741882572883</v>
      </c>
    </row>
    <row r="14" spans="7:20">
      <c r="G14" s="633">
        <v>44424</v>
      </c>
      <c r="H14" s="300" t="s">
        <v>288</v>
      </c>
      <c r="J14" s="635">
        <v>298.72660893490183</v>
      </c>
      <c r="K14" s="635">
        <v>304.67909486939806</v>
      </c>
      <c r="L14" s="635">
        <v>307.21441295260939</v>
      </c>
      <c r="M14" s="635">
        <v>308.20649394169209</v>
      </c>
      <c r="N14" s="635">
        <v>310.41111836187588</v>
      </c>
      <c r="O14" s="635">
        <v>312.61574278205961</v>
      </c>
    </row>
    <row r="15" spans="7:20">
      <c r="G15" s="633">
        <v>44431</v>
      </c>
      <c r="H15" s="300" t="s">
        <v>289</v>
      </c>
      <c r="J15" s="635">
        <v>295.1992098626078</v>
      </c>
      <c r="K15" s="635">
        <v>300.60053969205802</v>
      </c>
      <c r="L15" s="635">
        <v>303.02562655426021</v>
      </c>
      <c r="M15" s="635">
        <v>303.68701388031536</v>
      </c>
      <c r="N15" s="635">
        <v>305.78140707948995</v>
      </c>
      <c r="O15" s="635">
        <v>307.98603149967369</v>
      </c>
    </row>
    <row r="16" spans="7:20">
      <c r="G16" s="633">
        <v>44438</v>
      </c>
      <c r="H16" s="300" t="s">
        <v>290</v>
      </c>
      <c r="J16" s="635">
        <v>290.12857369618513</v>
      </c>
      <c r="K16" s="635">
        <v>296.3015220726997</v>
      </c>
      <c r="L16" s="635">
        <v>299.27776503994778</v>
      </c>
      <c r="M16" s="635">
        <v>301.48238946013157</v>
      </c>
      <c r="N16" s="635">
        <v>303.57678265930616</v>
      </c>
      <c r="O16" s="635">
        <v>305.78140707948995</v>
      </c>
    </row>
    <row r="17" spans="7:15">
      <c r="G17" s="633">
        <v>44446</v>
      </c>
      <c r="H17" s="300" t="s">
        <v>291</v>
      </c>
      <c r="J17" s="635">
        <v>288.80579904407489</v>
      </c>
      <c r="K17" s="635">
        <v>293.98666643150671</v>
      </c>
      <c r="L17" s="635">
        <v>298.39591527187429</v>
      </c>
      <c r="M17" s="635">
        <v>302.36423922820507</v>
      </c>
      <c r="N17" s="635">
        <v>304.56886364838886</v>
      </c>
      <c r="O17" s="635">
        <v>306.77348806857265</v>
      </c>
    </row>
    <row r="18" spans="7:15">
      <c r="G18" s="633">
        <v>44452</v>
      </c>
      <c r="H18" s="300" t="s">
        <v>292</v>
      </c>
      <c r="K18" s="635">
        <v>298.72660893490183</v>
      </c>
      <c r="L18" s="635">
        <v>302.58470167022341</v>
      </c>
      <c r="M18" s="635">
        <v>306.66325684756345</v>
      </c>
      <c r="N18" s="635">
        <v>308.86788126774718</v>
      </c>
      <c r="O18" s="635">
        <v>311.07250568793097</v>
      </c>
    </row>
    <row r="19" spans="7:15">
      <c r="G19" s="633">
        <v>44459</v>
      </c>
      <c r="H19" s="300" t="s">
        <v>293</v>
      </c>
      <c r="K19" s="635">
        <v>302.58470167022341</v>
      </c>
      <c r="L19" s="635">
        <v>306.33256318453584</v>
      </c>
      <c r="M19" s="635">
        <v>310.52134958288508</v>
      </c>
      <c r="N19" s="635">
        <v>312.72597400306881</v>
      </c>
      <c r="O19" s="635">
        <v>314.9305984232526</v>
      </c>
    </row>
    <row r="20" spans="7:15">
      <c r="G20" s="633">
        <v>44466</v>
      </c>
      <c r="H20" s="300" t="s">
        <v>294</v>
      </c>
      <c r="K20" s="635">
        <v>308.53718760471969</v>
      </c>
      <c r="L20" s="635">
        <v>313.16689888710556</v>
      </c>
      <c r="M20" s="635">
        <v>316.0329106333445</v>
      </c>
      <c r="N20" s="635">
        <v>318.12730383251909</v>
      </c>
      <c r="O20" s="635">
        <v>320.33192825270288</v>
      </c>
    </row>
    <row r="21" spans="7:15">
      <c r="G21" s="633">
        <v>44473</v>
      </c>
      <c r="H21" s="300" t="s">
        <v>295</v>
      </c>
      <c r="K21" s="635">
        <v>298.50614649288349</v>
      </c>
      <c r="L21" s="635">
        <v>304.34840120637045</v>
      </c>
      <c r="M21" s="635">
        <v>308.09626272068289</v>
      </c>
      <c r="N21" s="635">
        <v>310.74181202490342</v>
      </c>
      <c r="O21" s="635">
        <v>312.94643644508722</v>
      </c>
    </row>
    <row r="22" spans="7:15">
      <c r="G22" s="633">
        <v>44480</v>
      </c>
      <c r="H22" s="300" t="s">
        <v>296</v>
      </c>
      <c r="K22" s="635">
        <v>303.79724510132456</v>
      </c>
      <c r="L22" s="635">
        <v>309.97019347783913</v>
      </c>
      <c r="M22" s="635">
        <v>313.49759255013316</v>
      </c>
      <c r="N22" s="635">
        <v>316.80452918040885</v>
      </c>
      <c r="O22" s="635">
        <v>319.00915360059258</v>
      </c>
    </row>
    <row r="23" spans="7:15">
      <c r="G23" s="633">
        <v>44487</v>
      </c>
      <c r="H23" s="300" t="s">
        <v>623</v>
      </c>
      <c r="K23" s="635">
        <v>305.34048219545315</v>
      </c>
      <c r="L23" s="635">
        <v>311.18273690894017</v>
      </c>
      <c r="M23" s="635">
        <v>314.7101359812342</v>
      </c>
      <c r="N23" s="635">
        <v>317.1352228434364</v>
      </c>
      <c r="O23" s="635">
        <v>319.33984726362013</v>
      </c>
    </row>
    <row r="24" spans="7:15">
      <c r="G24" s="633">
        <v>44494</v>
      </c>
      <c r="H24" s="300" t="s">
        <v>624</v>
      </c>
      <c r="K24" s="635">
        <v>295.4196723046262</v>
      </c>
      <c r="L24" s="635">
        <v>301.37215823912237</v>
      </c>
      <c r="M24" s="635">
        <v>305.67117585848075</v>
      </c>
      <c r="N24" s="635">
        <v>307.98603149967369</v>
      </c>
      <c r="O24" s="635">
        <v>310.19065591985748</v>
      </c>
    </row>
    <row r="25" spans="7:15">
      <c r="G25" s="633">
        <v>44501</v>
      </c>
      <c r="H25" s="300" t="s">
        <v>625</v>
      </c>
      <c r="K25" s="635">
        <v>291.12065468526782</v>
      </c>
      <c r="L25" s="635">
        <v>297.07314061976399</v>
      </c>
      <c r="M25" s="635">
        <v>301.81308312315912</v>
      </c>
      <c r="N25" s="635">
        <v>304.12793876435211</v>
      </c>
      <c r="O25" s="635">
        <v>306.33256318453584</v>
      </c>
    </row>
    <row r="26" spans="7:15">
      <c r="G26" s="633">
        <v>44508</v>
      </c>
      <c r="H26" s="300" t="s">
        <v>626</v>
      </c>
      <c r="L26" s="635">
        <v>299.71868992398453</v>
      </c>
      <c r="M26" s="635">
        <v>304.45863242737965</v>
      </c>
      <c r="N26" s="635">
        <v>308.20649394169209</v>
      </c>
      <c r="O26" s="635">
        <v>311.29296812994937</v>
      </c>
    </row>
    <row r="27" spans="7:15">
      <c r="G27" s="633">
        <v>44515</v>
      </c>
      <c r="H27" s="300" t="s">
        <v>627</v>
      </c>
      <c r="L27" s="635">
        <v>311.95435545600452</v>
      </c>
      <c r="M27" s="635">
        <v>316.0329106333445</v>
      </c>
      <c r="N27" s="635">
        <v>318.89892237958338</v>
      </c>
      <c r="O27" s="635">
        <v>319.56030970563853</v>
      </c>
    </row>
    <row r="28" spans="7:15">
      <c r="G28" s="633">
        <v>44522</v>
      </c>
      <c r="H28" s="300" t="s">
        <v>628</v>
      </c>
      <c r="L28" s="635">
        <v>320.66262191573043</v>
      </c>
      <c r="M28" s="635">
        <v>325.6230268611439</v>
      </c>
      <c r="N28" s="635">
        <v>328.48903860738284</v>
      </c>
      <c r="O28" s="635">
        <v>329.15042593343793</v>
      </c>
    </row>
    <row r="29" spans="7:15">
      <c r="G29" s="633">
        <v>44529</v>
      </c>
      <c r="H29" s="300" t="s">
        <v>629</v>
      </c>
      <c r="L29" s="635">
        <v>315.15106086527095</v>
      </c>
      <c r="M29" s="635">
        <v>320.44215947371202</v>
      </c>
      <c r="N29" s="635">
        <v>323.52863366196937</v>
      </c>
      <c r="O29" s="635">
        <v>324.85140831407961</v>
      </c>
    </row>
    <row r="30" spans="7:15">
      <c r="G30" s="633">
        <v>44536</v>
      </c>
      <c r="H30" s="300" t="s">
        <v>630</v>
      </c>
      <c r="L30" s="635">
        <v>309.19857493077478</v>
      </c>
      <c r="M30" s="635">
        <v>315.04082964426181</v>
      </c>
      <c r="N30" s="635">
        <v>318.89892237958338</v>
      </c>
      <c r="O30" s="635">
        <v>320.22169703169368</v>
      </c>
    </row>
    <row r="31" spans="7:15">
      <c r="G31" s="633">
        <v>44543</v>
      </c>
      <c r="H31" s="300" t="s">
        <v>631</v>
      </c>
      <c r="L31" s="635">
        <v>303.68701388031536</v>
      </c>
      <c r="M31" s="635">
        <v>309.41903737279318</v>
      </c>
      <c r="N31" s="635">
        <v>313.71805499215151</v>
      </c>
      <c r="O31" s="635">
        <v>315.15106086527095</v>
      </c>
    </row>
    <row r="32" spans="7:15">
      <c r="G32" s="633">
        <v>44550</v>
      </c>
      <c r="H32" s="300" t="s">
        <v>632</v>
      </c>
      <c r="L32" s="635">
        <v>301.15169579710397</v>
      </c>
      <c r="M32" s="635">
        <v>305.8916383004991</v>
      </c>
      <c r="N32" s="635">
        <v>310.19065591985748</v>
      </c>
      <c r="O32" s="635">
        <v>314.37944231820666</v>
      </c>
    </row>
    <row r="33" spans="7:19">
      <c r="G33" s="633">
        <v>44557</v>
      </c>
      <c r="H33" s="300" t="s">
        <v>633</v>
      </c>
      <c r="L33" s="635">
        <v>316.1431418543537</v>
      </c>
      <c r="M33" s="635">
        <v>319.56030970563853</v>
      </c>
      <c r="N33" s="635">
        <v>323.08770877793262</v>
      </c>
      <c r="O33" s="635">
        <v>325.51279564013475</v>
      </c>
    </row>
    <row r="34" spans="7:19">
      <c r="G34" s="633">
        <v>44564</v>
      </c>
      <c r="H34" s="300" t="s">
        <v>634</v>
      </c>
      <c r="L34" s="635">
        <v>318.23753505352829</v>
      </c>
      <c r="M34" s="635">
        <v>322.64678389389582</v>
      </c>
      <c r="N34" s="635">
        <v>325.9537205241715</v>
      </c>
      <c r="O34" s="635">
        <v>327.71742006031849</v>
      </c>
    </row>
    <row r="35" spans="7:19">
      <c r="G35" s="633">
        <v>44571</v>
      </c>
      <c r="H35" s="300" t="s">
        <v>647</v>
      </c>
      <c r="M35" s="635">
        <v>321.43424046279472</v>
      </c>
      <c r="N35" s="635">
        <v>325.40256441912555</v>
      </c>
      <c r="O35" s="635">
        <v>326.72533907123579</v>
      </c>
      <c r="P35" s="635"/>
      <c r="Q35" s="635"/>
      <c r="R35" s="635"/>
    </row>
    <row r="36" spans="7:19">
      <c r="G36" s="633">
        <v>44579</v>
      </c>
      <c r="H36" s="300" t="s">
        <v>648</v>
      </c>
      <c r="M36" s="635">
        <v>320.11146581068448</v>
      </c>
      <c r="N36" s="635">
        <v>324.41048343004286</v>
      </c>
      <c r="O36" s="635">
        <v>326.9458015132542</v>
      </c>
      <c r="P36" s="635">
        <v>314.7101359812342</v>
      </c>
      <c r="Q36" s="635">
        <v>314.7101359812342</v>
      </c>
      <c r="R36" s="635">
        <v>318.12730383251909</v>
      </c>
    </row>
    <row r="37" spans="7:19">
      <c r="G37" s="633">
        <v>44585</v>
      </c>
      <c r="H37" s="300" t="s">
        <v>649</v>
      </c>
      <c r="M37" s="635">
        <v>330.25273814352988</v>
      </c>
      <c r="N37" s="635">
        <v>334.33129332086986</v>
      </c>
      <c r="O37" s="635">
        <v>336.53591774105365</v>
      </c>
      <c r="P37" s="635">
        <v>318.78869115857424</v>
      </c>
      <c r="Q37" s="635">
        <v>318.78869115857424</v>
      </c>
      <c r="R37" s="635">
        <v>322.20585900985907</v>
      </c>
    </row>
    <row r="38" spans="7:19">
      <c r="G38" s="633">
        <v>44592</v>
      </c>
      <c r="H38" s="300" t="s">
        <v>650</v>
      </c>
      <c r="M38" s="635">
        <v>332.01643767967687</v>
      </c>
      <c r="N38" s="635">
        <v>336.756380183072</v>
      </c>
      <c r="O38" s="635">
        <v>338.96100460325579</v>
      </c>
      <c r="P38" s="635">
        <v>317.68637894848234</v>
      </c>
      <c r="Q38" s="635">
        <v>321.10354679976717</v>
      </c>
      <c r="R38" s="635">
        <v>324.52071465105206</v>
      </c>
    </row>
    <row r="39" spans="7:19">
      <c r="G39" s="633">
        <v>44599</v>
      </c>
      <c r="H39" s="300" t="s">
        <v>651</v>
      </c>
      <c r="M39" s="635">
        <v>340.61447291839363</v>
      </c>
      <c r="N39" s="635">
        <v>346.12603396885305</v>
      </c>
      <c r="O39" s="635">
        <v>348.99204571509193</v>
      </c>
      <c r="P39" s="635">
        <v>326.17418296618985</v>
      </c>
      <c r="Q39" s="635">
        <v>329.59135081747473</v>
      </c>
      <c r="R39" s="635">
        <v>333.00851866875956</v>
      </c>
    </row>
    <row r="40" spans="7:19">
      <c r="G40" s="633">
        <v>44606</v>
      </c>
      <c r="H40" s="300" t="s">
        <v>653</v>
      </c>
      <c r="M40" s="635">
        <v>331.79597523765852</v>
      </c>
      <c r="N40" s="635">
        <v>337.41776750912715</v>
      </c>
      <c r="O40" s="635">
        <v>340.28377925536603</v>
      </c>
      <c r="P40" s="635">
        <v>322.53655267288667</v>
      </c>
      <c r="Q40" s="635">
        <v>325.9537205241715</v>
      </c>
      <c r="R40" s="635">
        <v>326.50487662921745</v>
      </c>
    </row>
    <row r="41" spans="7:19">
      <c r="G41" s="633">
        <v>44613</v>
      </c>
      <c r="H41" s="300" t="s">
        <v>654</v>
      </c>
      <c r="M41" s="635">
        <v>333.33921233178717</v>
      </c>
      <c r="N41" s="635">
        <v>339.62239192931094</v>
      </c>
      <c r="O41" s="635">
        <v>342.70886611756822</v>
      </c>
      <c r="P41" s="635">
        <v>328.48903860738284</v>
      </c>
      <c r="Q41" s="635">
        <v>331.90620645866767</v>
      </c>
      <c r="R41" s="635">
        <v>332.45736256371362</v>
      </c>
    </row>
    <row r="42" spans="7:19">
      <c r="G42" s="633">
        <v>44620</v>
      </c>
      <c r="H42" s="300" t="s">
        <v>655</v>
      </c>
      <c r="M42" s="635">
        <v>338.74054216123739</v>
      </c>
      <c r="N42" s="635">
        <v>345.7953403058255</v>
      </c>
      <c r="O42" s="635">
        <v>349.87389548316548</v>
      </c>
      <c r="P42" s="635">
        <v>334.33129332086986</v>
      </c>
      <c r="Q42" s="635">
        <v>337.74846117215469</v>
      </c>
      <c r="R42" s="635">
        <v>338.29961727720064</v>
      </c>
    </row>
    <row r="43" spans="7:19" ht="14.25">
      <c r="G43" s="633">
        <v>44627</v>
      </c>
      <c r="H43" s="636" t="s">
        <v>677</v>
      </c>
      <c r="M43" s="635"/>
      <c r="N43" s="635">
        <v>358.25146827986384</v>
      </c>
      <c r="O43" s="635">
        <v>362.33002345720377</v>
      </c>
      <c r="P43" s="635">
        <v>341.93724757050387</v>
      </c>
      <c r="Q43" s="635">
        <v>345.02372175876116</v>
      </c>
      <c r="R43" s="635">
        <v>348.77158327307359</v>
      </c>
    </row>
    <row r="44" spans="7:19" ht="14.25">
      <c r="G44" s="633">
        <v>44634</v>
      </c>
      <c r="H44" s="636" t="s">
        <v>678</v>
      </c>
      <c r="N44" s="635">
        <v>354.94453164958821</v>
      </c>
      <c r="O44" s="635">
        <v>360.45609270004763</v>
      </c>
      <c r="P44" s="635">
        <v>347.77950228399089</v>
      </c>
      <c r="Q44" s="635">
        <v>350.53528280922063</v>
      </c>
      <c r="R44" s="635">
        <v>354.28314432353301</v>
      </c>
      <c r="S44" s="635"/>
    </row>
    <row r="45" spans="7:19" ht="14.25">
      <c r="G45" s="633">
        <v>44641</v>
      </c>
      <c r="H45" s="636" t="s">
        <v>679</v>
      </c>
      <c r="N45" s="635">
        <v>351.19667013527572</v>
      </c>
      <c r="O45" s="635">
        <v>357.03892484876275</v>
      </c>
      <c r="P45" s="635">
        <v>349.54320182013794</v>
      </c>
      <c r="Q45" s="635">
        <v>351.19667013527572</v>
      </c>
      <c r="R45" s="635">
        <v>355.4956877546341</v>
      </c>
      <c r="S45" s="635">
        <v>356.26730630169845</v>
      </c>
    </row>
    <row r="46" spans="7:19" ht="14.25">
      <c r="G46" s="633">
        <v>44648</v>
      </c>
      <c r="H46" s="636" t="s">
        <v>680</v>
      </c>
      <c r="N46" s="635">
        <v>351.85805746133087</v>
      </c>
      <c r="O46" s="635">
        <v>357.47984973279949</v>
      </c>
      <c r="P46" s="635">
        <v>351.63759501931253</v>
      </c>
      <c r="Q46" s="635">
        <v>353.40129455545951</v>
      </c>
      <c r="R46" s="635">
        <v>357.7003121748179</v>
      </c>
      <c r="S46" s="635">
        <v>358.47193072188225</v>
      </c>
    </row>
    <row r="47" spans="7:19" ht="14.25">
      <c r="G47" s="633">
        <v>44655</v>
      </c>
      <c r="H47" s="636" t="s">
        <v>681</v>
      </c>
      <c r="N47" s="635">
        <v>351.96828868234007</v>
      </c>
      <c r="O47" s="635">
        <v>358.25146827986384</v>
      </c>
      <c r="P47" s="635">
        <v>353.51152577646872</v>
      </c>
      <c r="Q47" s="635">
        <v>354.94453164958821</v>
      </c>
      <c r="R47" s="635">
        <v>356.26730630169845</v>
      </c>
      <c r="S47" s="635">
        <v>357.03892484876275</v>
      </c>
    </row>
    <row r="48" spans="7:19" ht="14.25">
      <c r="G48" s="633">
        <v>44662</v>
      </c>
      <c r="H48" s="636" t="s">
        <v>682</v>
      </c>
      <c r="N48" s="635">
        <v>344.47256565371521</v>
      </c>
      <c r="O48" s="635">
        <v>351.52736379830333</v>
      </c>
      <c r="P48" s="635">
        <v>351.30690135628492</v>
      </c>
      <c r="Q48" s="635">
        <v>353.62175699747786</v>
      </c>
      <c r="R48" s="635">
        <v>355.38545653362496</v>
      </c>
      <c r="S48" s="635">
        <v>356.15707508068925</v>
      </c>
    </row>
    <row r="49" spans="7:21" ht="14.25">
      <c r="G49" s="633">
        <v>44669</v>
      </c>
      <c r="H49" s="636" t="s">
        <v>683</v>
      </c>
      <c r="N49" s="635">
        <v>364.86534154041516</v>
      </c>
      <c r="O49" s="635">
        <v>372.14060212702162</v>
      </c>
      <c r="P49" s="635">
        <v>369.27459038078268</v>
      </c>
      <c r="Q49" s="635">
        <v>371.47921480096653</v>
      </c>
      <c r="R49" s="635">
        <v>373.68383922115027</v>
      </c>
      <c r="S49" s="635">
        <v>374.45545776821456</v>
      </c>
    </row>
    <row r="50" spans="7:21" ht="14.25">
      <c r="G50" s="633">
        <v>44676</v>
      </c>
      <c r="H50" s="636" t="s">
        <v>684</v>
      </c>
      <c r="N50" s="635">
        <v>359.35378048995574</v>
      </c>
      <c r="O50" s="635">
        <v>367.4006596236265</v>
      </c>
      <c r="P50" s="635">
        <v>371.36898357995727</v>
      </c>
      <c r="Q50" s="635">
        <v>372.14060212702162</v>
      </c>
      <c r="R50" s="635">
        <v>374.12476410518701</v>
      </c>
      <c r="S50" s="635">
        <v>376.3293885253708</v>
      </c>
    </row>
    <row r="51" spans="7:21">
      <c r="G51" s="633">
        <v>44683</v>
      </c>
      <c r="H51" s="629" t="s">
        <v>705</v>
      </c>
      <c r="N51" s="635">
        <v>369.83</v>
      </c>
      <c r="O51" s="635">
        <v>378.42</v>
      </c>
      <c r="P51" s="635">
        <v>379.42</v>
      </c>
      <c r="Q51" s="635">
        <v>380.74</v>
      </c>
      <c r="R51" s="635">
        <v>382.06</v>
      </c>
      <c r="S51" s="635">
        <v>384.27</v>
      </c>
    </row>
    <row r="52" spans="7:21">
      <c r="G52" s="633">
        <v>44690</v>
      </c>
      <c r="H52" s="300" t="s">
        <v>706</v>
      </c>
      <c r="N52" s="635">
        <v>363.65279810931412</v>
      </c>
      <c r="O52" s="635">
        <v>371.47921480096653</v>
      </c>
      <c r="P52" s="635">
        <v>374.45545776821456</v>
      </c>
      <c r="Q52" s="635">
        <v>376.43961974637995</v>
      </c>
      <c r="R52" s="635">
        <v>377.87262561949944</v>
      </c>
      <c r="S52" s="635">
        <v>380.07725003968329</v>
      </c>
    </row>
    <row r="53" spans="7:21">
      <c r="G53" s="633">
        <v>44697</v>
      </c>
      <c r="H53" s="300" t="s">
        <v>707</v>
      </c>
      <c r="N53" s="635">
        <v>392.97430289775832</v>
      </c>
      <c r="O53" s="635">
        <v>393.63569022381347</v>
      </c>
      <c r="P53" s="635">
        <v>394.73800243390536</v>
      </c>
      <c r="Q53" s="635">
        <v>395.28915853895126</v>
      </c>
      <c r="R53" s="635">
        <v>396.9426268540891</v>
      </c>
      <c r="S53" s="635">
        <v>402.45418790454852</v>
      </c>
      <c r="T53" s="635"/>
    </row>
    <row r="54" spans="7:21">
      <c r="G54" s="657">
        <v>44704</v>
      </c>
      <c r="O54" s="635">
        <v>380.73863736573833</v>
      </c>
      <c r="P54" s="635">
        <v>386.2501984161978</v>
      </c>
      <c r="Q54" s="635">
        <v>387.79343551032645</v>
      </c>
      <c r="R54" s="635">
        <v>389.99805993051024</v>
      </c>
      <c r="S54" s="635">
        <v>393.30499656078587</v>
      </c>
      <c r="T54" s="635">
        <v>398.81655761124534</v>
      </c>
    </row>
    <row r="55" spans="7:21">
      <c r="G55" s="657">
        <v>44712</v>
      </c>
      <c r="O55" s="635">
        <v>386.80135452124375</v>
      </c>
      <c r="P55" s="635">
        <v>392.64360923473072</v>
      </c>
      <c r="Q55" s="635">
        <v>394.07661510785022</v>
      </c>
      <c r="R55" s="635">
        <v>396.28123952803401</v>
      </c>
      <c r="S55" s="635">
        <v>398.3756327272086</v>
      </c>
      <c r="T55" s="635">
        <v>403.88719377766802</v>
      </c>
    </row>
    <row r="56" spans="7:21">
      <c r="G56" s="657">
        <v>44718</v>
      </c>
      <c r="O56" s="635">
        <v>379.85678759766483</v>
      </c>
      <c r="P56" s="635">
        <v>386.36042963720701</v>
      </c>
      <c r="Q56" s="635">
        <v>388.12412917335399</v>
      </c>
      <c r="R56" s="635">
        <v>388.23436039436319</v>
      </c>
      <c r="S56" s="635">
        <v>390.43898481454698</v>
      </c>
      <c r="T56" s="635">
        <v>395.95054586500646</v>
      </c>
    </row>
    <row r="57" spans="7:21">
      <c r="G57" s="657">
        <v>44725</v>
      </c>
      <c r="O57" s="635">
        <v>361.12</v>
      </c>
      <c r="P57" s="635">
        <v>368.61</v>
      </c>
      <c r="Q57" s="635">
        <v>372.58</v>
      </c>
      <c r="R57" s="635">
        <v>376</v>
      </c>
      <c r="S57" s="635">
        <v>381.18</v>
      </c>
      <c r="T57" s="635">
        <v>386.69</v>
      </c>
    </row>
    <row r="58" spans="7:21">
      <c r="G58" s="657">
        <v>44733</v>
      </c>
      <c r="O58" s="635">
        <v>355.4956877546341</v>
      </c>
      <c r="P58" s="635">
        <v>363.87326055133241</v>
      </c>
      <c r="Q58" s="635">
        <v>368.28250939170005</v>
      </c>
      <c r="R58" s="635">
        <v>370.92805869592053</v>
      </c>
      <c r="S58" s="635">
        <v>373.24291433711352</v>
      </c>
      <c r="T58" s="635">
        <v>378.75447538757294</v>
      </c>
    </row>
    <row r="59" spans="7:21">
      <c r="G59" s="657">
        <v>44739</v>
      </c>
      <c r="O59" s="635">
        <v>354.50360676555147</v>
      </c>
      <c r="P59" s="635">
        <v>362.55048589922222</v>
      </c>
      <c r="Q59" s="635">
        <v>367.84158450766324</v>
      </c>
      <c r="R59" s="635">
        <v>370.26667136986543</v>
      </c>
      <c r="S59" s="635">
        <v>372.14060212702162</v>
      </c>
      <c r="T59" s="635">
        <v>377.5419319564719</v>
      </c>
    </row>
    <row r="60" spans="7:21">
      <c r="G60" s="657">
        <v>44747</v>
      </c>
      <c r="O60" s="635">
        <v>348.99204571509193</v>
      </c>
      <c r="P60" s="635">
        <v>355.1649940916065</v>
      </c>
      <c r="Q60" s="635">
        <v>360.56632392105678</v>
      </c>
      <c r="R60" s="635">
        <v>363.21187322527737</v>
      </c>
      <c r="S60" s="635">
        <v>365.41649764546111</v>
      </c>
      <c r="T60" s="635">
        <v>370.70759625390218</v>
      </c>
    </row>
    <row r="61" spans="7:21">
      <c r="G61" s="657">
        <v>44753</v>
      </c>
      <c r="O61" s="635">
        <v>359.46401171096488</v>
      </c>
      <c r="P61" s="635">
        <v>364.53464787738761</v>
      </c>
      <c r="Q61" s="635">
        <v>369.93597770683789</v>
      </c>
      <c r="R61" s="635">
        <v>373.02245189509517</v>
      </c>
      <c r="S61" s="635">
        <v>375.44753875729731</v>
      </c>
      <c r="T61" s="635">
        <v>380.73863736573833</v>
      </c>
    </row>
    <row r="62" spans="7:21">
      <c r="G62" s="657">
        <v>44760</v>
      </c>
      <c r="O62" s="635"/>
      <c r="P62" s="635">
        <v>376.3293885253708</v>
      </c>
      <c r="Q62" s="635">
        <v>381.84094957583022</v>
      </c>
      <c r="R62" s="635">
        <v>384.92742376408756</v>
      </c>
      <c r="S62" s="635">
        <v>386.69112330023455</v>
      </c>
      <c r="T62" s="635">
        <v>390.99014091959293</v>
      </c>
    </row>
    <row r="63" spans="7:21">
      <c r="G63" s="657">
        <v>44767</v>
      </c>
      <c r="P63" s="635">
        <v>373.24291433711352</v>
      </c>
      <c r="Q63" s="635">
        <v>378.75447538757294</v>
      </c>
      <c r="R63" s="635">
        <v>381.17956224977507</v>
      </c>
      <c r="S63" s="635">
        <v>383.49441789096807</v>
      </c>
      <c r="T63" s="635">
        <v>387.79343551032645</v>
      </c>
      <c r="U63" s="635"/>
    </row>
    <row r="64" spans="7:21">
      <c r="G64" s="657">
        <v>44774</v>
      </c>
      <c r="P64" s="635">
        <v>367.29042840261729</v>
      </c>
      <c r="Q64" s="635">
        <v>374.12476410518701</v>
      </c>
      <c r="R64" s="635">
        <v>377.10100707243515</v>
      </c>
      <c r="S64" s="635">
        <v>379.41586271362809</v>
      </c>
      <c r="T64" s="635">
        <v>383.71488033298647</v>
      </c>
      <c r="U64" s="635"/>
    </row>
    <row r="65" spans="7:21">
      <c r="G65" s="657">
        <v>44781</v>
      </c>
      <c r="P65" s="635">
        <v>379.08516905060054</v>
      </c>
      <c r="Q65" s="635">
        <v>384.37626765904156</v>
      </c>
      <c r="R65" s="635">
        <v>387.90366673133559</v>
      </c>
      <c r="S65" s="635">
        <v>389.11621016243674</v>
      </c>
      <c r="T65" s="635">
        <v>393.41522778179507</v>
      </c>
      <c r="U65" s="635"/>
    </row>
    <row r="66" spans="7:21">
      <c r="G66" s="657">
        <v>44788</v>
      </c>
      <c r="P66" s="635">
        <v>376.43961974637995</v>
      </c>
      <c r="Q66" s="635">
        <v>382.72279934390372</v>
      </c>
      <c r="R66" s="635">
        <v>386.1399671951886</v>
      </c>
      <c r="S66" s="635">
        <v>387.3525106262897</v>
      </c>
      <c r="T66" s="635">
        <v>391.65152824564808</v>
      </c>
      <c r="U66" s="635"/>
    </row>
    <row r="67" spans="7:21">
      <c r="G67" s="657">
        <v>44795</v>
      </c>
      <c r="P67" s="635">
        <v>377.5419319564719</v>
      </c>
      <c r="Q67" s="635">
        <v>384.04557399601407</v>
      </c>
      <c r="R67" s="635">
        <v>388.01389795234485</v>
      </c>
      <c r="S67" s="635">
        <v>390.43898481454698</v>
      </c>
      <c r="T67" s="635">
        <v>394.73800243390536</v>
      </c>
      <c r="U67" s="635"/>
    </row>
    <row r="68" spans="7:21">
      <c r="P68" s="635"/>
      <c r="Q68" s="635"/>
      <c r="R68" s="635"/>
      <c r="S68" s="635"/>
      <c r="T68" s="635"/>
      <c r="U68" s="635"/>
    </row>
    <row r="69" spans="7:21">
      <c r="P69" s="635"/>
      <c r="Q69" s="635"/>
      <c r="R69" s="635"/>
      <c r="S69" s="635"/>
      <c r="T69" s="635"/>
      <c r="U69" s="635"/>
    </row>
    <row r="70" spans="7:21">
      <c r="P70" s="635"/>
      <c r="Q70" s="635"/>
      <c r="R70" s="635"/>
      <c r="S70" s="635"/>
      <c r="T70" s="635"/>
      <c r="U70" s="635"/>
    </row>
    <row r="71" spans="7:21">
      <c r="P71" s="635"/>
      <c r="Q71" s="635"/>
      <c r="R71" s="635"/>
      <c r="S71" s="635"/>
      <c r="T71" s="635"/>
      <c r="U71" s="635"/>
    </row>
    <row r="72" spans="7:21">
      <c r="P72" s="635"/>
      <c r="Q72" s="635"/>
      <c r="R72" s="635"/>
      <c r="S72" s="635"/>
      <c r="T72" s="635"/>
      <c r="U72" s="635"/>
    </row>
  </sheetData>
  <phoneticPr fontId="47" type="noConversion"/>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J40"/>
  <sheetViews>
    <sheetView zoomScaleNormal="100" workbookViewId="0">
      <selection activeCell="L17" sqref="L17"/>
    </sheetView>
  </sheetViews>
  <sheetFormatPr baseColWidth="10" defaultColWidth="10.90625" defaultRowHeight="18"/>
  <cols>
    <col min="1" max="1" width="1.453125" customWidth="1"/>
    <col min="2" max="8" width="8.7265625" customWidth="1"/>
  </cols>
  <sheetData>
    <row r="1" spans="2:10">
      <c r="B1" s="767" t="s">
        <v>603</v>
      </c>
      <c r="C1" s="767"/>
      <c r="D1" s="767"/>
      <c r="E1" s="767"/>
      <c r="F1" s="767"/>
      <c r="G1" s="767"/>
      <c r="H1" s="767"/>
    </row>
    <row r="2" spans="2:10">
      <c r="B2" s="17"/>
      <c r="C2" s="17"/>
      <c r="D2" s="17"/>
      <c r="E2" s="17"/>
      <c r="F2" s="17"/>
      <c r="G2" s="17"/>
      <c r="H2" s="17"/>
    </row>
    <row r="3" spans="2:10" ht="35.25" customHeight="1">
      <c r="B3" s="858" t="s">
        <v>485</v>
      </c>
      <c r="C3" s="858"/>
      <c r="D3" s="858"/>
      <c r="E3" s="858"/>
      <c r="F3" s="858"/>
      <c r="G3" s="858"/>
      <c r="H3" s="858"/>
    </row>
    <row r="4" spans="2:10" ht="18" customHeight="1">
      <c r="B4" s="791" t="s">
        <v>652</v>
      </c>
      <c r="C4" s="791"/>
      <c r="D4" s="791"/>
      <c r="E4" s="791"/>
      <c r="F4" s="791"/>
      <c r="G4" s="791"/>
      <c r="H4" s="791"/>
    </row>
    <row r="5" spans="2:10" ht="18" customHeight="1">
      <c r="B5" s="791" t="s">
        <v>604</v>
      </c>
      <c r="C5" s="791"/>
      <c r="D5" s="791"/>
      <c r="E5" s="791"/>
      <c r="F5" s="791"/>
      <c r="G5" s="791"/>
      <c r="H5" s="791"/>
    </row>
    <row r="6" spans="2:10" ht="60.75" customHeight="1">
      <c r="B6" s="453" t="s">
        <v>605</v>
      </c>
      <c r="C6" s="454" t="s">
        <v>606</v>
      </c>
      <c r="D6" s="454" t="s">
        <v>607</v>
      </c>
      <c r="E6" s="454" t="s">
        <v>608</v>
      </c>
      <c r="F6" s="454" t="s">
        <v>609</v>
      </c>
      <c r="G6" s="454" t="s">
        <v>610</v>
      </c>
      <c r="H6" s="454" t="s">
        <v>611</v>
      </c>
    </row>
    <row r="7" spans="2:10" ht="15.75" customHeight="1">
      <c r="B7" s="452">
        <v>43831</v>
      </c>
      <c r="C7" s="267">
        <v>790</v>
      </c>
      <c r="D7" s="267">
        <v>540</v>
      </c>
      <c r="E7" s="267">
        <v>1350</v>
      </c>
      <c r="F7" s="267">
        <v>1099</v>
      </c>
      <c r="G7" s="267">
        <v>1020</v>
      </c>
      <c r="H7" s="267">
        <v>891</v>
      </c>
      <c r="I7" s="282"/>
      <c r="J7" s="282"/>
    </row>
    <row r="8" spans="2:10" ht="15.75" customHeight="1">
      <c r="B8" s="452">
        <v>43862</v>
      </c>
      <c r="C8" s="267">
        <v>829</v>
      </c>
      <c r="D8" s="267">
        <v>540</v>
      </c>
      <c r="E8" s="267">
        <v>1350</v>
      </c>
      <c r="F8" s="267">
        <v>1190</v>
      </c>
      <c r="G8" s="267">
        <v>1027</v>
      </c>
      <c r="H8" s="267">
        <v>886</v>
      </c>
      <c r="I8" s="282"/>
      <c r="J8" s="282"/>
    </row>
    <row r="9" spans="2:10" ht="15.75" customHeight="1">
      <c r="B9" s="452">
        <v>43891</v>
      </c>
      <c r="C9" s="267">
        <v>890</v>
      </c>
      <c r="D9" s="267">
        <v>575</v>
      </c>
      <c r="E9" s="267">
        <v>1450</v>
      </c>
      <c r="F9" s="267">
        <v>1190</v>
      </c>
      <c r="G9" s="267">
        <v>1046</v>
      </c>
      <c r="H9" s="267">
        <v>912</v>
      </c>
      <c r="I9" s="282"/>
      <c r="J9" s="282"/>
    </row>
    <row r="10" spans="2:10" ht="15.75" customHeight="1">
      <c r="B10" s="452">
        <v>43922</v>
      </c>
      <c r="C10" s="267">
        <v>910</v>
      </c>
      <c r="D10" s="267">
        <v>575</v>
      </c>
      <c r="E10" s="267">
        <v>1450</v>
      </c>
      <c r="F10" s="267">
        <v>1229</v>
      </c>
      <c r="G10" s="267">
        <v>1056</v>
      </c>
      <c r="H10" s="267">
        <v>913</v>
      </c>
      <c r="I10" s="282"/>
      <c r="J10" s="282"/>
    </row>
    <row r="11" spans="2:10" ht="15.75" customHeight="1">
      <c r="B11" s="452">
        <v>43952</v>
      </c>
      <c r="C11" s="267">
        <v>910</v>
      </c>
      <c r="D11" s="267">
        <v>790</v>
      </c>
      <c r="E11" s="267">
        <v>1595</v>
      </c>
      <c r="F11" s="267">
        <v>1190</v>
      </c>
      <c r="G11" s="267">
        <v>1091</v>
      </c>
      <c r="H11" s="267">
        <v>927</v>
      </c>
      <c r="I11" s="282"/>
      <c r="J11" s="282"/>
    </row>
    <row r="12" spans="2:10" ht="15.75" customHeight="1">
      <c r="B12" s="452">
        <v>43983</v>
      </c>
      <c r="C12" s="267">
        <v>910</v>
      </c>
      <c r="D12" s="267">
        <v>799</v>
      </c>
      <c r="E12" s="267">
        <v>1595</v>
      </c>
      <c r="F12" s="267">
        <v>1190</v>
      </c>
      <c r="G12" s="267">
        <v>1072</v>
      </c>
      <c r="H12" s="267">
        <v>914</v>
      </c>
      <c r="I12" s="282"/>
      <c r="J12" s="282"/>
    </row>
    <row r="13" spans="2:10" ht="15.75" customHeight="1">
      <c r="B13" s="452">
        <v>44013</v>
      </c>
      <c r="C13" s="267">
        <v>910</v>
      </c>
      <c r="D13" s="267">
        <v>799</v>
      </c>
      <c r="E13" s="267">
        <v>1595</v>
      </c>
      <c r="F13" s="267">
        <v>1190</v>
      </c>
      <c r="G13" s="267">
        <v>1050</v>
      </c>
      <c r="H13" s="267">
        <v>906</v>
      </c>
      <c r="I13" s="282"/>
      <c r="J13" s="282"/>
    </row>
    <row r="14" spans="2:10" ht="15.75" customHeight="1">
      <c r="B14" s="452">
        <v>44044</v>
      </c>
      <c r="C14" s="267">
        <v>910</v>
      </c>
      <c r="D14" s="267">
        <v>799</v>
      </c>
      <c r="E14" s="267">
        <v>1169</v>
      </c>
      <c r="F14" s="267">
        <v>1079</v>
      </c>
      <c r="G14" s="267">
        <v>1041</v>
      </c>
      <c r="H14" s="267">
        <v>895</v>
      </c>
      <c r="I14" s="282"/>
      <c r="J14" s="282"/>
    </row>
    <row r="15" spans="2:10" ht="15.75" customHeight="1">
      <c r="B15" s="452">
        <v>44075</v>
      </c>
      <c r="C15" s="267">
        <v>910</v>
      </c>
      <c r="D15" s="267">
        <v>699</v>
      </c>
      <c r="E15" s="267">
        <v>1249</v>
      </c>
      <c r="F15" s="267">
        <v>1079</v>
      </c>
      <c r="G15" s="267">
        <v>1051</v>
      </c>
      <c r="H15" s="267">
        <v>901</v>
      </c>
      <c r="I15" s="282"/>
      <c r="J15" s="282"/>
    </row>
    <row r="16" spans="2:10" ht="15.75" customHeight="1">
      <c r="B16" s="452">
        <v>44105</v>
      </c>
      <c r="C16" s="267">
        <v>850</v>
      </c>
      <c r="D16" s="267">
        <v>560</v>
      </c>
      <c r="E16" s="267">
        <v>1249</v>
      </c>
      <c r="F16" s="267">
        <v>1150</v>
      </c>
      <c r="G16" s="267">
        <v>1158</v>
      </c>
      <c r="H16" s="267">
        <v>910</v>
      </c>
      <c r="I16" s="282"/>
      <c r="J16" s="282"/>
    </row>
    <row r="17" spans="2:10" ht="15.75" customHeight="1">
      <c r="B17" s="452">
        <v>44136</v>
      </c>
      <c r="C17" s="267">
        <v>910</v>
      </c>
      <c r="D17" s="267">
        <v>779</v>
      </c>
      <c r="E17" s="267">
        <v>1339</v>
      </c>
      <c r="F17" s="267">
        <v>1150</v>
      </c>
      <c r="G17" s="267">
        <v>1069</v>
      </c>
      <c r="H17" s="267">
        <v>898</v>
      </c>
      <c r="I17" s="282"/>
      <c r="J17" s="282"/>
    </row>
    <row r="18" spans="2:10" ht="15.75" customHeight="1">
      <c r="B18" s="452">
        <v>44166</v>
      </c>
      <c r="C18" s="267">
        <v>910</v>
      </c>
      <c r="D18" s="267">
        <v>699</v>
      </c>
      <c r="E18" s="267">
        <v>1399</v>
      </c>
      <c r="F18" s="267">
        <v>1060</v>
      </c>
      <c r="G18" s="267">
        <v>1063</v>
      </c>
      <c r="H18" s="267">
        <v>896</v>
      </c>
      <c r="I18" s="282"/>
      <c r="J18" s="282"/>
    </row>
    <row r="19" spans="2:10" ht="15.75" customHeight="1">
      <c r="B19" s="452">
        <v>44197</v>
      </c>
      <c r="C19" s="267">
        <v>910</v>
      </c>
      <c r="D19" s="267">
        <v>699</v>
      </c>
      <c r="E19" s="267">
        <v>1139</v>
      </c>
      <c r="F19" s="267">
        <v>1090</v>
      </c>
      <c r="G19" s="267">
        <v>1062</v>
      </c>
      <c r="H19" s="267">
        <v>901</v>
      </c>
      <c r="I19" s="282"/>
      <c r="J19" s="282"/>
    </row>
    <row r="20" spans="2:10" ht="15.75" customHeight="1">
      <c r="B20" s="452">
        <v>44228</v>
      </c>
      <c r="C20" s="267">
        <v>989</v>
      </c>
      <c r="D20" s="267">
        <v>799</v>
      </c>
      <c r="E20" s="267">
        <v>1399</v>
      </c>
      <c r="F20" s="267">
        <v>1039</v>
      </c>
      <c r="G20" s="267">
        <v>1072</v>
      </c>
      <c r="H20" s="267">
        <v>900</v>
      </c>
      <c r="I20" s="282"/>
      <c r="J20" s="282"/>
    </row>
    <row r="21" spans="2:10" ht="15.75" customHeight="1">
      <c r="B21" s="452">
        <v>44256</v>
      </c>
      <c r="C21" s="267">
        <v>989</v>
      </c>
      <c r="D21" s="267">
        <v>790</v>
      </c>
      <c r="E21" s="267">
        <v>1399</v>
      </c>
      <c r="F21" s="267">
        <v>1090</v>
      </c>
      <c r="G21" s="267">
        <v>1070</v>
      </c>
      <c r="H21" s="267">
        <v>911</v>
      </c>
      <c r="I21" s="282"/>
      <c r="J21" s="282"/>
    </row>
    <row r="22" spans="2:10" ht="15.75" customHeight="1">
      <c r="B22" s="452">
        <v>44287</v>
      </c>
      <c r="C22" s="267">
        <v>910</v>
      </c>
      <c r="D22" s="267">
        <v>799</v>
      </c>
      <c r="E22" s="267">
        <v>1399</v>
      </c>
      <c r="F22" s="267">
        <v>1039</v>
      </c>
      <c r="G22" s="267">
        <v>1088</v>
      </c>
      <c r="H22" s="267">
        <v>920</v>
      </c>
      <c r="I22" s="282"/>
      <c r="J22" s="282"/>
    </row>
    <row r="23" spans="2:10" ht="15.75" customHeight="1">
      <c r="B23" s="452">
        <v>44317</v>
      </c>
      <c r="C23" s="267">
        <v>950</v>
      </c>
      <c r="D23" s="267">
        <v>849</v>
      </c>
      <c r="E23" s="267">
        <v>1399</v>
      </c>
      <c r="F23" s="267">
        <v>1039</v>
      </c>
      <c r="G23" s="267">
        <v>1081</v>
      </c>
      <c r="H23" s="267">
        <v>918</v>
      </c>
      <c r="I23" s="282"/>
      <c r="J23" s="282"/>
    </row>
    <row r="24" spans="2:10" ht="15.75" customHeight="1">
      <c r="B24" s="452">
        <v>44348</v>
      </c>
      <c r="C24" s="267">
        <v>950</v>
      </c>
      <c r="D24" s="267">
        <v>849</v>
      </c>
      <c r="E24" s="267">
        <v>1320</v>
      </c>
      <c r="F24" s="267">
        <v>1050</v>
      </c>
      <c r="G24" s="267">
        <v>1057</v>
      </c>
      <c r="H24" s="267">
        <v>911</v>
      </c>
      <c r="I24" s="282"/>
      <c r="J24" s="282"/>
    </row>
    <row r="25" spans="2:10" ht="15.75" customHeight="1">
      <c r="B25" s="452">
        <v>44378</v>
      </c>
      <c r="C25" s="483">
        <v>910</v>
      </c>
      <c r="D25" s="483">
        <v>820</v>
      </c>
      <c r="E25" s="483">
        <v>1320</v>
      </c>
      <c r="F25" s="483">
        <v>1070</v>
      </c>
      <c r="G25" s="483">
        <v>1082</v>
      </c>
      <c r="H25" s="483">
        <v>916</v>
      </c>
      <c r="I25" s="282"/>
      <c r="J25" s="282"/>
    </row>
    <row r="26" spans="2:10" ht="15.75" customHeight="1">
      <c r="B26" s="452">
        <v>44409</v>
      </c>
      <c r="C26" s="483">
        <v>910</v>
      </c>
      <c r="D26" s="483">
        <v>800</v>
      </c>
      <c r="E26" s="483">
        <v>1320</v>
      </c>
      <c r="F26" s="483">
        <v>1110</v>
      </c>
      <c r="G26" s="483">
        <v>1108</v>
      </c>
      <c r="H26" s="483">
        <v>911</v>
      </c>
      <c r="I26" s="282"/>
      <c r="J26" s="282"/>
    </row>
    <row r="27" spans="2:10" ht="15.75" customHeight="1">
      <c r="B27" s="452">
        <v>44440</v>
      </c>
      <c r="C27" s="483">
        <v>850</v>
      </c>
      <c r="D27" s="483">
        <v>790</v>
      </c>
      <c r="E27" s="483">
        <v>1399</v>
      </c>
      <c r="F27" s="483">
        <v>1090</v>
      </c>
      <c r="G27" s="483">
        <v>1130</v>
      </c>
      <c r="H27" s="483">
        <v>913</v>
      </c>
      <c r="I27" s="282"/>
      <c r="J27" s="282"/>
    </row>
    <row r="28" spans="2:10" ht="15.75" customHeight="1">
      <c r="B28" s="452">
        <v>44470</v>
      </c>
      <c r="C28" s="483">
        <v>850</v>
      </c>
      <c r="D28" s="483">
        <v>790</v>
      </c>
      <c r="E28" s="483">
        <v>1399</v>
      </c>
      <c r="F28" s="483">
        <v>1289</v>
      </c>
      <c r="G28" s="483">
        <v>1139</v>
      </c>
      <c r="H28" s="483">
        <v>916</v>
      </c>
      <c r="I28" s="282"/>
      <c r="J28" s="282"/>
    </row>
    <row r="29" spans="2:10" ht="15.75" customHeight="1">
      <c r="B29" s="452">
        <v>44501</v>
      </c>
      <c r="C29" s="483">
        <v>799</v>
      </c>
      <c r="D29" s="483">
        <v>810</v>
      </c>
      <c r="E29" s="483">
        <v>1459</v>
      </c>
      <c r="F29" s="483">
        <v>1090</v>
      </c>
      <c r="G29" s="483">
        <v>1158</v>
      </c>
      <c r="H29" s="483">
        <v>922</v>
      </c>
      <c r="I29" s="282"/>
      <c r="J29" s="282"/>
    </row>
    <row r="30" spans="2:10" ht="15.75" customHeight="1">
      <c r="B30" s="452">
        <v>44531</v>
      </c>
      <c r="C30" s="483">
        <v>850</v>
      </c>
      <c r="D30" s="483">
        <v>850</v>
      </c>
      <c r="E30" s="483">
        <v>1399</v>
      </c>
      <c r="F30" s="483">
        <v>1359</v>
      </c>
      <c r="G30" s="483">
        <v>1184</v>
      </c>
      <c r="H30" s="483">
        <v>929</v>
      </c>
      <c r="I30" s="282"/>
      <c r="J30" s="282"/>
    </row>
    <row r="31" spans="2:10" ht="15.75" customHeight="1">
      <c r="B31" s="452">
        <v>44562</v>
      </c>
      <c r="C31" s="483">
        <v>980</v>
      </c>
      <c r="D31" s="483">
        <v>830</v>
      </c>
      <c r="E31" s="483">
        <v>1439</v>
      </c>
      <c r="F31" s="483">
        <v>1199</v>
      </c>
      <c r="G31" s="483">
        <v>1195</v>
      </c>
      <c r="H31" s="483">
        <v>901</v>
      </c>
      <c r="I31" s="282"/>
      <c r="J31" s="282"/>
    </row>
    <row r="32" spans="2:10" ht="15.75" customHeight="1">
      <c r="B32" s="452">
        <v>44593</v>
      </c>
      <c r="C32" s="483">
        <v>830</v>
      </c>
      <c r="D32" s="483">
        <v>750</v>
      </c>
      <c r="E32" s="483">
        <v>1399</v>
      </c>
      <c r="F32" s="483">
        <v>1290</v>
      </c>
      <c r="G32" s="483">
        <v>1158</v>
      </c>
      <c r="H32" s="483">
        <v>922</v>
      </c>
      <c r="I32" s="282"/>
      <c r="J32" s="282"/>
    </row>
    <row r="33" spans="2:10" ht="15.75" customHeight="1">
      <c r="B33" s="452">
        <v>44621</v>
      </c>
      <c r="C33" s="483">
        <v>980</v>
      </c>
      <c r="D33" s="483">
        <v>780</v>
      </c>
      <c r="E33" s="483">
        <v>1499</v>
      </c>
      <c r="F33" s="483">
        <v>1280</v>
      </c>
      <c r="G33" s="483">
        <v>1224</v>
      </c>
      <c r="H33" s="483">
        <v>951</v>
      </c>
      <c r="I33" s="282" t="s">
        <v>663</v>
      </c>
      <c r="J33" s="282"/>
    </row>
    <row r="34" spans="2:10" ht="15.75" customHeight="1">
      <c r="B34" s="452">
        <v>44652</v>
      </c>
      <c r="C34" s="483">
        <v>780</v>
      </c>
      <c r="D34" s="483">
        <v>780</v>
      </c>
      <c r="E34" s="483">
        <v>1650</v>
      </c>
      <c r="F34" s="483">
        <v>1090</v>
      </c>
      <c r="G34" s="483">
        <v>1341</v>
      </c>
      <c r="H34" s="483">
        <v>951</v>
      </c>
      <c r="I34" s="282"/>
      <c r="J34" s="282"/>
    </row>
    <row r="35" spans="2:10" ht="15.75" customHeight="1">
      <c r="B35" s="452">
        <v>44682</v>
      </c>
      <c r="C35" s="483">
        <v>1000</v>
      </c>
      <c r="D35" s="483">
        <v>820</v>
      </c>
      <c r="E35" s="483">
        <v>1590</v>
      </c>
      <c r="F35" s="483">
        <v>1349</v>
      </c>
      <c r="G35" s="483">
        <v>1353</v>
      </c>
      <c r="H35" s="483">
        <v>992</v>
      </c>
      <c r="I35" s="282"/>
      <c r="J35" s="282"/>
    </row>
    <row r="36" spans="2:10" ht="15.75" customHeight="1">
      <c r="B36" s="452">
        <v>44713</v>
      </c>
      <c r="C36" s="483">
        <v>1000</v>
      </c>
      <c r="D36" s="483">
        <v>820</v>
      </c>
      <c r="E36" s="483">
        <v>1599</v>
      </c>
      <c r="F36" s="483">
        <v>1650</v>
      </c>
      <c r="G36" s="483">
        <v>1360</v>
      </c>
      <c r="H36" s="483">
        <v>1020</v>
      </c>
      <c r="I36" s="282"/>
      <c r="J36" s="282"/>
    </row>
    <row r="37" spans="2:10" ht="15.75" customHeight="1">
      <c r="B37" s="452">
        <v>44743</v>
      </c>
      <c r="C37" s="483">
        <v>1059</v>
      </c>
      <c r="D37" s="483">
        <v>850</v>
      </c>
      <c r="E37" s="483">
        <v>1569</v>
      </c>
      <c r="F37" s="483">
        <v>1270</v>
      </c>
      <c r="G37" s="483">
        <v>1393</v>
      </c>
      <c r="H37" s="483">
        <v>1000</v>
      </c>
      <c r="I37" s="282"/>
      <c r="J37" s="282"/>
    </row>
    <row r="38" spans="2:10">
      <c r="B38" s="1010" t="s">
        <v>612</v>
      </c>
      <c r="C38" s="1010"/>
      <c r="D38" s="1010"/>
      <c r="E38" s="1010"/>
      <c r="F38" s="1010"/>
      <c r="G38" s="1010"/>
      <c r="H38" s="1010"/>
    </row>
    <row r="40" spans="2:10">
      <c r="C40" s="11"/>
      <c r="D40" s="11"/>
      <c r="E40" s="11"/>
      <c r="F40" s="11"/>
      <c r="G40" s="11"/>
      <c r="H40" s="11"/>
    </row>
  </sheetData>
  <mergeCells count="5">
    <mergeCell ref="B38:H38"/>
    <mergeCell ref="B1:H1"/>
    <mergeCell ref="B3:H3"/>
    <mergeCell ref="B4:H4"/>
    <mergeCell ref="B5:H5"/>
  </mergeCells>
  <pageMargins left="0.70866141732283472" right="0.70866141732283472" top="0.74803149606299213" bottom="0.74803149606299213" header="0.31496062992125984" footer="0.31496062992125984"/>
  <pageSetup scale="88"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H1:AE1"/>
  <sheetViews>
    <sheetView zoomScale="70" zoomScaleNormal="70" workbookViewId="0">
      <selection activeCell="K28" sqref="K28"/>
    </sheetView>
  </sheetViews>
  <sheetFormatPr baseColWidth="10" defaultColWidth="10.90625" defaultRowHeight="18"/>
  <cols>
    <col min="1" max="1" width="5.81640625" customWidth="1"/>
    <col min="2" max="2" width="12.453125" customWidth="1"/>
    <col min="8" max="31" width="10.90625" style="658"/>
  </cols>
  <sheetData/>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DCF85-AD27-4CD0-94F6-4C6F18820B7C}">
  <sheetPr>
    <pageSetUpPr fitToPage="1"/>
  </sheetPr>
  <dimension ref="A1:AS328"/>
  <sheetViews>
    <sheetView zoomScale="70" zoomScaleNormal="70" workbookViewId="0">
      <pane ySplit="1" topLeftCell="A2" activePane="bottomLeft" state="frozen"/>
      <selection pane="bottomLeft" activeCell="I28" sqref="I28"/>
    </sheetView>
  </sheetViews>
  <sheetFormatPr baseColWidth="10" defaultColWidth="10.90625" defaultRowHeight="14.25"/>
  <cols>
    <col min="1" max="10" width="12.90625" style="717" customWidth="1"/>
    <col min="11" max="11" width="10.90625" style="718"/>
    <col min="12" max="12" width="10.90625" style="719"/>
    <col min="13" max="13" width="9.81640625" style="719" bestFit="1" customWidth="1"/>
    <col min="14" max="14" width="10.90625" style="719"/>
    <col min="15" max="26" width="10.90625" style="616"/>
    <col min="27" max="45" width="10.90625" style="660"/>
    <col min="46" max="263" width="10.90625" style="616"/>
    <col min="264" max="264" width="8.6328125" style="616" bestFit="1" customWidth="1"/>
    <col min="265" max="519" width="10.90625" style="616"/>
    <col min="520" max="520" width="8.6328125" style="616" bestFit="1" customWidth="1"/>
    <col min="521" max="775" width="10.90625" style="616"/>
    <col min="776" max="776" width="8.6328125" style="616" bestFit="1" customWidth="1"/>
    <col min="777" max="1031" width="10.90625" style="616"/>
    <col min="1032" max="1032" width="8.6328125" style="616" bestFit="1" customWidth="1"/>
    <col min="1033" max="1287" width="10.90625" style="616"/>
    <col min="1288" max="1288" width="8.6328125" style="616" bestFit="1" customWidth="1"/>
    <col min="1289" max="1543" width="10.90625" style="616"/>
    <col min="1544" max="1544" width="8.6328125" style="616" bestFit="1" customWidth="1"/>
    <col min="1545" max="1799" width="10.90625" style="616"/>
    <col min="1800" max="1800" width="8.6328125" style="616" bestFit="1" customWidth="1"/>
    <col min="1801" max="2055" width="10.90625" style="616"/>
    <col min="2056" max="2056" width="8.6328125" style="616" bestFit="1" customWidth="1"/>
    <col min="2057" max="2311" width="10.90625" style="616"/>
    <col min="2312" max="2312" width="8.6328125" style="616" bestFit="1" customWidth="1"/>
    <col min="2313" max="2567" width="10.90625" style="616"/>
    <col min="2568" max="2568" width="8.6328125" style="616" bestFit="1" customWidth="1"/>
    <col min="2569" max="2823" width="10.90625" style="616"/>
    <col min="2824" max="2824" width="8.6328125" style="616" bestFit="1" customWidth="1"/>
    <col min="2825" max="3079" width="10.90625" style="616"/>
    <col min="3080" max="3080" width="8.6328125" style="616" bestFit="1" customWidth="1"/>
    <col min="3081" max="3335" width="10.90625" style="616"/>
    <col min="3336" max="3336" width="8.6328125" style="616" bestFit="1" customWidth="1"/>
    <col min="3337" max="3591" width="10.90625" style="616"/>
    <col min="3592" max="3592" width="8.6328125" style="616" bestFit="1" customWidth="1"/>
    <col min="3593" max="3847" width="10.90625" style="616"/>
    <col min="3848" max="3848" width="8.6328125" style="616" bestFit="1" customWidth="1"/>
    <col min="3849" max="4103" width="10.90625" style="616"/>
    <col min="4104" max="4104" width="8.6328125" style="616" bestFit="1" customWidth="1"/>
    <col min="4105" max="4359" width="10.90625" style="616"/>
    <col min="4360" max="4360" width="8.6328125" style="616" bestFit="1" customWidth="1"/>
    <col min="4361" max="4615" width="10.90625" style="616"/>
    <col min="4616" max="4616" width="8.6328125" style="616" bestFit="1" customWidth="1"/>
    <col min="4617" max="4871" width="10.90625" style="616"/>
    <col min="4872" max="4872" width="8.6328125" style="616" bestFit="1" customWidth="1"/>
    <col min="4873" max="5127" width="10.90625" style="616"/>
    <col min="5128" max="5128" width="8.6328125" style="616" bestFit="1" customWidth="1"/>
    <col min="5129" max="5383" width="10.90625" style="616"/>
    <col min="5384" max="5384" width="8.6328125" style="616" bestFit="1" customWidth="1"/>
    <col min="5385" max="5639" width="10.90625" style="616"/>
    <col min="5640" max="5640" width="8.6328125" style="616" bestFit="1" customWidth="1"/>
    <col min="5641" max="5895" width="10.90625" style="616"/>
    <col min="5896" max="5896" width="8.6328125" style="616" bestFit="1" customWidth="1"/>
    <col min="5897" max="6151" width="10.90625" style="616"/>
    <col min="6152" max="6152" width="8.6328125" style="616" bestFit="1" customWidth="1"/>
    <col min="6153" max="6407" width="10.90625" style="616"/>
    <col min="6408" max="6408" width="8.6328125" style="616" bestFit="1" customWidth="1"/>
    <col min="6409" max="6663" width="10.90625" style="616"/>
    <col min="6664" max="6664" width="8.6328125" style="616" bestFit="1" customWidth="1"/>
    <col min="6665" max="6919" width="10.90625" style="616"/>
    <col min="6920" max="6920" width="8.6328125" style="616" bestFit="1" customWidth="1"/>
    <col min="6921" max="7175" width="10.90625" style="616"/>
    <col min="7176" max="7176" width="8.6328125" style="616" bestFit="1" customWidth="1"/>
    <col min="7177" max="7431" width="10.90625" style="616"/>
    <col min="7432" max="7432" width="8.6328125" style="616" bestFit="1" customWidth="1"/>
    <col min="7433" max="7687" width="10.90625" style="616"/>
    <col min="7688" max="7688" width="8.6328125" style="616" bestFit="1" customWidth="1"/>
    <col min="7689" max="7943" width="10.90625" style="616"/>
    <col min="7944" max="7944" width="8.6328125" style="616" bestFit="1" customWidth="1"/>
    <col min="7945" max="8199" width="10.90625" style="616"/>
    <col min="8200" max="8200" width="8.6328125" style="616" bestFit="1" customWidth="1"/>
    <col min="8201" max="8455" width="10.90625" style="616"/>
    <col min="8456" max="8456" width="8.6328125" style="616" bestFit="1" customWidth="1"/>
    <col min="8457" max="8711" width="10.90625" style="616"/>
    <col min="8712" max="8712" width="8.6328125" style="616" bestFit="1" customWidth="1"/>
    <col min="8713" max="8967" width="10.90625" style="616"/>
    <col min="8968" max="8968" width="8.6328125" style="616" bestFit="1" customWidth="1"/>
    <col min="8969" max="9223" width="10.90625" style="616"/>
    <col min="9224" max="9224" width="8.6328125" style="616" bestFit="1" customWidth="1"/>
    <col min="9225" max="9479" width="10.90625" style="616"/>
    <col min="9480" max="9480" width="8.6328125" style="616" bestFit="1" customWidth="1"/>
    <col min="9481" max="9735" width="10.90625" style="616"/>
    <col min="9736" max="9736" width="8.6328125" style="616" bestFit="1" customWidth="1"/>
    <col min="9737" max="9991" width="10.90625" style="616"/>
    <col min="9992" max="9992" width="8.6328125" style="616" bestFit="1" customWidth="1"/>
    <col min="9993" max="10247" width="10.90625" style="616"/>
    <col min="10248" max="10248" width="8.6328125" style="616" bestFit="1" customWidth="1"/>
    <col min="10249" max="10503" width="10.90625" style="616"/>
    <col min="10504" max="10504" width="8.6328125" style="616" bestFit="1" customWidth="1"/>
    <col min="10505" max="10759" width="10.90625" style="616"/>
    <col min="10760" max="10760" width="8.6328125" style="616" bestFit="1" customWidth="1"/>
    <col min="10761" max="11015" width="10.90625" style="616"/>
    <col min="11016" max="11016" width="8.6328125" style="616" bestFit="1" customWidth="1"/>
    <col min="11017" max="11271" width="10.90625" style="616"/>
    <col min="11272" max="11272" width="8.6328125" style="616" bestFit="1" customWidth="1"/>
    <col min="11273" max="11527" width="10.90625" style="616"/>
    <col min="11528" max="11528" width="8.6328125" style="616" bestFit="1" customWidth="1"/>
    <col min="11529" max="11783" width="10.90625" style="616"/>
    <col min="11784" max="11784" width="8.6328125" style="616" bestFit="1" customWidth="1"/>
    <col min="11785" max="12039" width="10.90625" style="616"/>
    <col min="12040" max="12040" width="8.6328125" style="616" bestFit="1" customWidth="1"/>
    <col min="12041" max="12295" width="10.90625" style="616"/>
    <col min="12296" max="12296" width="8.6328125" style="616" bestFit="1" customWidth="1"/>
    <col min="12297" max="12551" width="10.90625" style="616"/>
    <col min="12552" max="12552" width="8.6328125" style="616" bestFit="1" customWidth="1"/>
    <col min="12553" max="12807" width="10.90625" style="616"/>
    <col min="12808" max="12808" width="8.6328125" style="616" bestFit="1" customWidth="1"/>
    <col min="12809" max="13063" width="10.90625" style="616"/>
    <col min="13064" max="13064" width="8.6328125" style="616" bestFit="1" customWidth="1"/>
    <col min="13065" max="13319" width="10.90625" style="616"/>
    <col min="13320" max="13320" width="8.6328125" style="616" bestFit="1" customWidth="1"/>
    <col min="13321" max="13575" width="10.90625" style="616"/>
    <col min="13576" max="13576" width="8.6328125" style="616" bestFit="1" customWidth="1"/>
    <col min="13577" max="13831" width="10.90625" style="616"/>
    <col min="13832" max="13832" width="8.6328125" style="616" bestFit="1" customWidth="1"/>
    <col min="13833" max="14087" width="10.90625" style="616"/>
    <col min="14088" max="14088" width="8.6328125" style="616" bestFit="1" customWidth="1"/>
    <col min="14089" max="14343" width="10.90625" style="616"/>
    <col min="14344" max="14344" width="8.6328125" style="616" bestFit="1" customWidth="1"/>
    <col min="14345" max="14599" width="10.90625" style="616"/>
    <col min="14600" max="14600" width="8.6328125" style="616" bestFit="1" customWidth="1"/>
    <col min="14601" max="14855" width="10.90625" style="616"/>
    <col min="14856" max="14856" width="8.6328125" style="616" bestFit="1" customWidth="1"/>
    <col min="14857" max="15111" width="10.90625" style="616"/>
    <col min="15112" max="15112" width="8.6328125" style="616" bestFit="1" customWidth="1"/>
    <col min="15113" max="15367" width="10.90625" style="616"/>
    <col min="15368" max="15368" width="8.6328125" style="616" bestFit="1" customWidth="1"/>
    <col min="15369" max="15623" width="10.90625" style="616"/>
    <col min="15624" max="15624" width="8.6328125" style="616" bestFit="1" customWidth="1"/>
    <col min="15625" max="15879" width="10.90625" style="616"/>
    <col min="15880" max="15880" width="8.6328125" style="616" bestFit="1" customWidth="1"/>
    <col min="15881" max="16135" width="10.90625" style="616"/>
    <col min="16136" max="16136" width="8.6328125" style="616" bestFit="1" customWidth="1"/>
    <col min="16137" max="16381" width="10.90625" style="616"/>
    <col min="16382" max="16384" width="10.90625" style="616" customWidth="1"/>
  </cols>
  <sheetData>
    <row r="1" spans="1:45" s="615" customFormat="1" ht="39.4" customHeight="1">
      <c r="A1" s="708" t="s">
        <v>198</v>
      </c>
      <c r="B1" s="708" t="s">
        <v>181</v>
      </c>
      <c r="C1" s="708" t="s">
        <v>613</v>
      </c>
      <c r="D1" s="708" t="s">
        <v>614</v>
      </c>
      <c r="E1" s="708"/>
      <c r="F1" s="708" t="s">
        <v>615</v>
      </c>
      <c r="G1" s="708" t="s">
        <v>616</v>
      </c>
      <c r="H1" s="708"/>
      <c r="I1" s="709" t="s">
        <v>617</v>
      </c>
      <c r="J1" s="709" t="s">
        <v>618</v>
      </c>
      <c r="K1" s="709" t="s">
        <v>619</v>
      </c>
      <c r="L1" s="709" t="s">
        <v>620</v>
      </c>
      <c r="M1" s="709" t="s">
        <v>621</v>
      </c>
      <c r="N1" s="709" t="s">
        <v>622</v>
      </c>
      <c r="O1" s="710" t="s">
        <v>676</v>
      </c>
      <c r="P1" s="709" t="s">
        <v>620</v>
      </c>
      <c r="Q1" s="709" t="s">
        <v>621</v>
      </c>
      <c r="R1" s="709" t="s">
        <v>622</v>
      </c>
      <c r="AA1" s="659"/>
      <c r="AB1" s="659"/>
      <c r="AC1" s="659"/>
      <c r="AD1" s="659"/>
      <c r="AE1" s="659"/>
      <c r="AF1" s="659"/>
      <c r="AG1" s="659"/>
      <c r="AH1" s="659"/>
      <c r="AI1" s="659"/>
      <c r="AJ1" s="659"/>
      <c r="AK1" s="659"/>
      <c r="AL1" s="659"/>
      <c r="AM1" s="659"/>
      <c r="AN1" s="659"/>
      <c r="AO1" s="659"/>
      <c r="AP1" s="659"/>
      <c r="AQ1" s="659"/>
      <c r="AR1" s="659"/>
      <c r="AS1" s="659"/>
    </row>
    <row r="2" spans="1:45" ht="18">
      <c r="A2" s="711">
        <v>43101</v>
      </c>
      <c r="B2" s="712">
        <v>2018</v>
      </c>
      <c r="C2" s="712">
        <v>526.76401313995609</v>
      </c>
      <c r="D2" s="712">
        <v>605.53</v>
      </c>
      <c r="E2" s="712"/>
      <c r="F2" s="712">
        <v>318971.41287663759</v>
      </c>
      <c r="G2" s="712">
        <v>17101</v>
      </c>
      <c r="H2" s="712"/>
      <c r="I2" s="713">
        <v>1075</v>
      </c>
      <c r="J2" s="713">
        <v>848</v>
      </c>
      <c r="K2" s="713">
        <v>100</v>
      </c>
      <c r="L2" s="713">
        <v>100</v>
      </c>
      <c r="M2" s="713">
        <v>100</v>
      </c>
      <c r="N2" s="713">
        <v>100</v>
      </c>
      <c r="O2" s="713">
        <v>100</v>
      </c>
      <c r="P2" s="713">
        <v>100</v>
      </c>
      <c r="Q2" s="713">
        <v>100</v>
      </c>
      <c r="R2" s="713">
        <v>100</v>
      </c>
      <c r="T2" s="616" t="s">
        <v>663</v>
      </c>
    </row>
    <row r="3" spans="1:45" ht="18">
      <c r="A3" s="711">
        <v>43132</v>
      </c>
      <c r="B3" s="712">
        <v>2018</v>
      </c>
      <c r="C3" s="712">
        <v>495.56544584585271</v>
      </c>
      <c r="D3" s="712">
        <v>596.84</v>
      </c>
      <c r="E3" s="712"/>
      <c r="F3" s="712">
        <v>295773.28069863876</v>
      </c>
      <c r="G3" s="712">
        <v>16788.949628236933</v>
      </c>
      <c r="H3" s="712"/>
      <c r="I3" s="713">
        <v>1058</v>
      </c>
      <c r="J3" s="713">
        <v>841</v>
      </c>
      <c r="K3" s="714">
        <f t="shared" ref="K3:K41" si="0">((F3-F2)/F2)+K2</f>
        <v>99.927272065014265</v>
      </c>
      <c r="L3" s="714">
        <f t="shared" ref="L3:L41" si="1">((G3-G2)/G2)+L2</f>
        <v>99.98175250735261</v>
      </c>
      <c r="M3" s="714">
        <f t="shared" ref="M3:N18" si="2">((I3-I2)/I2)+M2</f>
        <v>99.984186046511624</v>
      </c>
      <c r="N3" s="714">
        <f t="shared" si="2"/>
        <v>99.991745283018872</v>
      </c>
      <c r="O3" s="715">
        <f>$O$2+(F3/$F$2-1)*100</f>
        <v>92.727206501426906</v>
      </c>
      <c r="P3" s="715">
        <f>$P$2+(G3/$G$2-1)*100</f>
        <v>98.175250735260704</v>
      </c>
      <c r="Q3" s="715">
        <f>$Q$2+(I3/$I$2-1)*100</f>
        <v>98.418604651162795</v>
      </c>
      <c r="R3" s="715">
        <f>$R$2+(J3/$J$2-1)*100</f>
        <v>99.174528301886795</v>
      </c>
    </row>
    <row r="4" spans="1:45" ht="18">
      <c r="A4" s="711">
        <v>43160</v>
      </c>
      <c r="B4" s="712">
        <v>2018</v>
      </c>
      <c r="C4" s="712">
        <v>514.13077812871245</v>
      </c>
      <c r="D4" s="712">
        <v>603.45000000000005</v>
      </c>
      <c r="E4" s="712"/>
      <c r="F4" s="712">
        <v>310252.21806177153</v>
      </c>
      <c r="G4" s="712">
        <v>16809.814461659975</v>
      </c>
      <c r="H4" s="712"/>
      <c r="I4" s="713">
        <v>1055</v>
      </c>
      <c r="J4" s="713">
        <v>869</v>
      </c>
      <c r="K4" s="714">
        <f t="shared" si="0"/>
        <v>99.976224889045341</v>
      </c>
      <c r="L4" s="714">
        <f t="shared" si="1"/>
        <v>99.982995279168904</v>
      </c>
      <c r="M4" s="714">
        <f t="shared" si="2"/>
        <v>99.981350507759259</v>
      </c>
      <c r="N4" s="714">
        <f t="shared" si="2"/>
        <v>100.02503898099746</v>
      </c>
      <c r="O4" s="715">
        <f t="shared" ref="O4:O51" si="3">$O$2+(F4/$F$2-1)*100</f>
        <v>97.266465124183966</v>
      </c>
      <c r="P4" s="715">
        <f t="shared" ref="P4:P52" si="4">$P$2+(G4/$G$2-1)*100</f>
        <v>98.297260169931434</v>
      </c>
      <c r="Q4" s="715">
        <f t="shared" ref="Q4:Q52" si="5">$Q$2+(I4/$I$2-1)*100</f>
        <v>98.139534883720927</v>
      </c>
      <c r="R4" s="715">
        <f t="shared" ref="R4:R52" si="6">$R$2+(J4/$J$2-1)*100</f>
        <v>102.47641509433963</v>
      </c>
    </row>
    <row r="5" spans="1:45" ht="18">
      <c r="A5" s="711">
        <v>43191</v>
      </c>
      <c r="B5" s="712">
        <v>2018</v>
      </c>
      <c r="C5" s="712">
        <v>489.637153560461</v>
      </c>
      <c r="D5" s="712">
        <v>600.54999999999995</v>
      </c>
      <c r="E5" s="712"/>
      <c r="F5" s="712">
        <v>294051.59257073485</v>
      </c>
      <c r="G5" s="712">
        <v>16425.033333333333</v>
      </c>
      <c r="H5" s="712"/>
      <c r="I5" s="713">
        <v>1039</v>
      </c>
      <c r="J5" s="713">
        <v>857</v>
      </c>
      <c r="K5" s="714">
        <f t="shared" si="0"/>
        <v>99.924007291400926</v>
      </c>
      <c r="L5" s="714">
        <f t="shared" si="1"/>
        <v>99.960105012937575</v>
      </c>
      <c r="M5" s="714">
        <f t="shared" si="2"/>
        <v>99.966184630982013</v>
      </c>
      <c r="N5" s="714">
        <f t="shared" si="2"/>
        <v>100.01123000516317</v>
      </c>
      <c r="O5" s="715">
        <f t="shared" si="3"/>
        <v>92.187443984034871</v>
      </c>
      <c r="P5" s="715">
        <f t="shared" si="4"/>
        <v>96.047209714831482</v>
      </c>
      <c r="Q5" s="715">
        <f t="shared" si="5"/>
        <v>96.651162790697668</v>
      </c>
      <c r="R5" s="715">
        <f t="shared" si="6"/>
        <v>101.06132075471699</v>
      </c>
    </row>
    <row r="6" spans="1:45" ht="18">
      <c r="A6" s="711">
        <v>43221</v>
      </c>
      <c r="B6" s="712">
        <v>2018</v>
      </c>
      <c r="C6" s="712">
        <v>472.71516704684882</v>
      </c>
      <c r="D6" s="712">
        <v>626.12</v>
      </c>
      <c r="E6" s="712"/>
      <c r="F6" s="712">
        <v>295976.42039137299</v>
      </c>
      <c r="G6" s="712">
        <v>16962.290322580644</v>
      </c>
      <c r="H6" s="712"/>
      <c r="I6" s="713">
        <v>1043</v>
      </c>
      <c r="J6" s="713">
        <v>855</v>
      </c>
      <c r="K6" s="714">
        <f t="shared" si="0"/>
        <v>99.930553176100304</v>
      </c>
      <c r="L6" s="714">
        <f t="shared" si="1"/>
        <v>99.992814656707793</v>
      </c>
      <c r="M6" s="714">
        <f t="shared" si="2"/>
        <v>99.970034486612434</v>
      </c>
      <c r="N6" s="714">
        <f t="shared" si="2"/>
        <v>100.00889628287612</v>
      </c>
      <c r="O6" s="715">
        <f t="shared" si="3"/>
        <v>92.790892363085234</v>
      </c>
      <c r="P6" s="715">
        <f t="shared" si="4"/>
        <v>99.188879729727176</v>
      </c>
      <c r="Q6" s="715">
        <f t="shared" si="5"/>
        <v>97.023255813953497</v>
      </c>
      <c r="R6" s="715">
        <f t="shared" si="6"/>
        <v>100.8254716981132</v>
      </c>
    </row>
    <row r="7" spans="1:45" ht="18">
      <c r="A7" s="711">
        <v>43252</v>
      </c>
      <c r="B7" s="712">
        <v>2018</v>
      </c>
      <c r="C7" s="712">
        <v>486.61890554471432</v>
      </c>
      <c r="D7" s="712">
        <v>636</v>
      </c>
      <c r="E7" s="712"/>
      <c r="F7" s="712">
        <v>309489.62392643833</v>
      </c>
      <c r="G7" s="712">
        <v>17243.266666666666</v>
      </c>
      <c r="H7" s="712"/>
      <c r="I7" s="713">
        <v>1031</v>
      </c>
      <c r="J7" s="713">
        <v>858</v>
      </c>
      <c r="K7" s="714">
        <f t="shared" si="0"/>
        <v>99.976209527769115</v>
      </c>
      <c r="L7" s="714">
        <f t="shared" si="1"/>
        <v>100.00937942117902</v>
      </c>
      <c r="M7" s="714">
        <f t="shared" si="2"/>
        <v>99.958529213362198</v>
      </c>
      <c r="N7" s="714">
        <f t="shared" si="2"/>
        <v>100.01240505480595</v>
      </c>
      <c r="O7" s="715">
        <f t="shared" si="3"/>
        <v>97.027385976477348</v>
      </c>
      <c r="P7" s="715">
        <f t="shared" si="4"/>
        <v>100.8319201606144</v>
      </c>
      <c r="Q7" s="715">
        <f t="shared" si="5"/>
        <v>95.906976744186039</v>
      </c>
      <c r="R7" s="715">
        <f t="shared" si="6"/>
        <v>101.17924528301887</v>
      </c>
    </row>
    <row r="8" spans="1:45" ht="18">
      <c r="A8" s="711">
        <v>43282</v>
      </c>
      <c r="B8" s="712">
        <v>2018</v>
      </c>
      <c r="C8" s="712">
        <v>484.64459706534194</v>
      </c>
      <c r="D8" s="712">
        <v>652.41999999999996</v>
      </c>
      <c r="E8" s="712"/>
      <c r="F8" s="712">
        <v>316191.82801737037</v>
      </c>
      <c r="G8" s="712">
        <v>17764.774193548386</v>
      </c>
      <c r="H8" s="712"/>
      <c r="I8" s="713">
        <v>1056</v>
      </c>
      <c r="J8" s="713">
        <v>849</v>
      </c>
      <c r="K8" s="714">
        <f t="shared" si="0"/>
        <v>99.997865194301326</v>
      </c>
      <c r="L8" s="714">
        <f t="shared" si="1"/>
        <v>100.03962354701451</v>
      </c>
      <c r="M8" s="714">
        <f t="shared" si="2"/>
        <v>99.982777515981013</v>
      </c>
      <c r="N8" s="714">
        <f t="shared" si="2"/>
        <v>100.00191554431645</v>
      </c>
      <c r="O8" s="715">
        <f t="shared" si="3"/>
        <v>99.128578691676609</v>
      </c>
      <c r="P8" s="715">
        <f t="shared" si="4"/>
        <v>103.88149344218694</v>
      </c>
      <c r="Q8" s="715">
        <f t="shared" si="5"/>
        <v>98.232558139534888</v>
      </c>
      <c r="R8" s="715">
        <f t="shared" si="6"/>
        <v>100.11792452830188</v>
      </c>
    </row>
    <row r="9" spans="1:45" ht="18">
      <c r="A9" s="711">
        <v>43313</v>
      </c>
      <c r="B9" s="712">
        <v>2018</v>
      </c>
      <c r="C9" s="712">
        <v>482.57519317917985</v>
      </c>
      <c r="D9" s="712">
        <v>656.25</v>
      </c>
      <c r="E9" s="712"/>
      <c r="F9" s="712">
        <v>316689.97052383679</v>
      </c>
      <c r="G9" s="712">
        <v>17689.774193548386</v>
      </c>
      <c r="H9" s="712"/>
      <c r="I9" s="713">
        <v>1059</v>
      </c>
      <c r="J9" s="713">
        <v>849</v>
      </c>
      <c r="K9" s="714">
        <f t="shared" si="0"/>
        <v>99.999440638263906</v>
      </c>
      <c r="L9" s="714">
        <f t="shared" si="1"/>
        <v>100.03540170894425</v>
      </c>
      <c r="M9" s="714">
        <f t="shared" si="2"/>
        <v>99.98561842507192</v>
      </c>
      <c r="N9" s="714">
        <f t="shared" si="2"/>
        <v>100.00191554431645</v>
      </c>
      <c r="O9" s="715">
        <f t="shared" si="3"/>
        <v>99.284750212495325</v>
      </c>
      <c r="P9" s="715">
        <f t="shared" si="4"/>
        <v>103.44292259837661</v>
      </c>
      <c r="Q9" s="715">
        <f t="shared" si="5"/>
        <v>98.511627906976742</v>
      </c>
      <c r="R9" s="715">
        <f t="shared" si="6"/>
        <v>100.11792452830188</v>
      </c>
    </row>
    <row r="10" spans="1:45" ht="18">
      <c r="A10" s="711">
        <v>43344</v>
      </c>
      <c r="B10" s="712">
        <v>2018</v>
      </c>
      <c r="C10" s="712">
        <v>548.20325955495946</v>
      </c>
      <c r="D10" s="712">
        <v>680.91</v>
      </c>
      <c r="E10" s="712"/>
      <c r="F10" s="712">
        <v>373277.08146356745</v>
      </c>
      <c r="G10" s="712">
        <v>18374</v>
      </c>
      <c r="H10" s="712"/>
      <c r="I10" s="713">
        <v>1022</v>
      </c>
      <c r="J10" s="713">
        <v>855</v>
      </c>
      <c r="K10" s="714">
        <f t="shared" si="0"/>
        <v>100.17812362859078</v>
      </c>
      <c r="L10" s="714">
        <f t="shared" si="1"/>
        <v>100.07408088025335</v>
      </c>
      <c r="M10" s="714">
        <f t="shared" si="2"/>
        <v>99.950679803731035</v>
      </c>
      <c r="N10" s="714">
        <f t="shared" si="2"/>
        <v>100.00898268212563</v>
      </c>
      <c r="O10" s="715">
        <f t="shared" si="3"/>
        <v>117.02524627432133</v>
      </c>
      <c r="P10" s="715">
        <f t="shared" si="4"/>
        <v>107.44400912227354</v>
      </c>
      <c r="Q10" s="715">
        <f t="shared" si="5"/>
        <v>95.069767441860463</v>
      </c>
      <c r="R10" s="715">
        <f t="shared" si="6"/>
        <v>100.8254716981132</v>
      </c>
    </row>
    <row r="11" spans="1:45" ht="18">
      <c r="A11" s="711">
        <v>43374</v>
      </c>
      <c r="B11" s="712">
        <v>2018</v>
      </c>
      <c r="C11" s="712">
        <v>489.31342370973459</v>
      </c>
      <c r="D11" s="712">
        <v>676.84</v>
      </c>
      <c r="E11" s="712"/>
      <c r="F11" s="712">
        <v>331186.8977036968</v>
      </c>
      <c r="G11" s="712">
        <v>18376.483870967742</v>
      </c>
      <c r="H11" s="712"/>
      <c r="I11" s="713">
        <v>1034</v>
      </c>
      <c r="J11" s="713">
        <v>838</v>
      </c>
      <c r="K11" s="714">
        <f t="shared" si="0"/>
        <v>100.06536507509256</v>
      </c>
      <c r="L11" s="714">
        <f t="shared" si="1"/>
        <v>100.07421606426161</v>
      </c>
      <c r="M11" s="714">
        <f t="shared" si="2"/>
        <v>99.962421486705594</v>
      </c>
      <c r="N11" s="714">
        <f t="shared" si="2"/>
        <v>99.989099641189966</v>
      </c>
      <c r="O11" s="715">
        <f t="shared" si="3"/>
        <v>103.82964878165541</v>
      </c>
      <c r="P11" s="715">
        <f t="shared" si="4"/>
        <v>107.45853383409008</v>
      </c>
      <c r="Q11" s="715">
        <f t="shared" si="5"/>
        <v>96.186046511627907</v>
      </c>
      <c r="R11" s="715">
        <f t="shared" si="6"/>
        <v>98.820754716981128</v>
      </c>
    </row>
    <row r="12" spans="1:45" ht="18">
      <c r="A12" s="711">
        <v>43405</v>
      </c>
      <c r="B12" s="712">
        <v>2018</v>
      </c>
      <c r="C12" s="712">
        <v>483.01113818721484</v>
      </c>
      <c r="D12" s="712">
        <v>677.61</v>
      </c>
      <c r="E12" s="712"/>
      <c r="F12" s="712">
        <v>327293.17734703864</v>
      </c>
      <c r="G12" s="712">
        <v>18183.233333333334</v>
      </c>
      <c r="H12" s="712"/>
      <c r="I12" s="713">
        <v>1048</v>
      </c>
      <c r="J12" s="713">
        <v>848</v>
      </c>
      <c r="K12" s="714">
        <f t="shared" si="0"/>
        <v>100.05360820794698</v>
      </c>
      <c r="L12" s="714">
        <f t="shared" si="1"/>
        <v>100.06369987743331</v>
      </c>
      <c r="M12" s="714">
        <f t="shared" si="2"/>
        <v>99.975961138543113</v>
      </c>
      <c r="N12" s="714">
        <f t="shared" si="2"/>
        <v>100.00103281541431</v>
      </c>
      <c r="O12" s="715">
        <f t="shared" si="3"/>
        <v>102.60893739515757</v>
      </c>
      <c r="P12" s="715">
        <f t="shared" si="4"/>
        <v>106.32847981599515</v>
      </c>
      <c r="Q12" s="715">
        <f t="shared" si="5"/>
        <v>97.488372093023258</v>
      </c>
      <c r="R12" s="715">
        <f t="shared" si="6"/>
        <v>100</v>
      </c>
    </row>
    <row r="13" spans="1:45" ht="18">
      <c r="A13" s="711">
        <v>43435</v>
      </c>
      <c r="B13" s="712">
        <v>2018</v>
      </c>
      <c r="C13" s="712">
        <v>497.34466978273326</v>
      </c>
      <c r="D13" s="712">
        <v>681.99</v>
      </c>
      <c r="E13" s="712"/>
      <c r="F13" s="712">
        <v>339184.09134512627</v>
      </c>
      <c r="G13" s="712">
        <v>18058.129032258064</v>
      </c>
      <c r="H13" s="712"/>
      <c r="I13" s="713">
        <v>1024</v>
      </c>
      <c r="J13" s="713">
        <v>860</v>
      </c>
      <c r="K13" s="714">
        <f t="shared" si="0"/>
        <v>100.08993928607843</v>
      </c>
      <c r="L13" s="714">
        <f t="shared" si="1"/>
        <v>100.05681967638316</v>
      </c>
      <c r="M13" s="714">
        <f t="shared" si="2"/>
        <v>99.953060375184336</v>
      </c>
      <c r="N13" s="714">
        <f t="shared" si="2"/>
        <v>100.01518375881054</v>
      </c>
      <c r="O13" s="715">
        <f t="shared" si="3"/>
        <v>106.33683071664667</v>
      </c>
      <c r="P13" s="715">
        <f t="shared" si="4"/>
        <v>105.59691849750345</v>
      </c>
      <c r="Q13" s="715">
        <f t="shared" si="5"/>
        <v>95.255813953488371</v>
      </c>
      <c r="R13" s="715">
        <f t="shared" si="6"/>
        <v>101.41509433962264</v>
      </c>
    </row>
    <row r="14" spans="1:45" ht="18">
      <c r="A14" s="711">
        <v>43466</v>
      </c>
      <c r="B14" s="712">
        <v>2019</v>
      </c>
      <c r="C14" s="712">
        <v>482.22886004072933</v>
      </c>
      <c r="D14" s="712">
        <v>677.06</v>
      </c>
      <c r="E14" s="712"/>
      <c r="F14" s="712">
        <v>326497.87197917618</v>
      </c>
      <c r="G14" s="712">
        <v>17418.774193548386</v>
      </c>
      <c r="H14" s="712"/>
      <c r="I14" s="713">
        <v>1030</v>
      </c>
      <c r="J14" s="713">
        <v>870</v>
      </c>
      <c r="K14" s="714">
        <f t="shared" si="0"/>
        <v>100.05253712103101</v>
      </c>
      <c r="L14" s="714">
        <f t="shared" si="1"/>
        <v>100.02141430091112</v>
      </c>
      <c r="M14" s="714">
        <f t="shared" si="2"/>
        <v>99.958919750184336</v>
      </c>
      <c r="N14" s="714">
        <f t="shared" si="2"/>
        <v>100.02681166578728</v>
      </c>
      <c r="O14" s="715">
        <f t="shared" si="3"/>
        <v>102.35960302356295</v>
      </c>
      <c r="P14" s="715">
        <f t="shared" si="4"/>
        <v>101.85821994940873</v>
      </c>
      <c r="Q14" s="715">
        <f t="shared" si="5"/>
        <v>95.813953488372093</v>
      </c>
      <c r="R14" s="715">
        <f t="shared" si="6"/>
        <v>102.59433962264151</v>
      </c>
    </row>
    <row r="15" spans="1:45" ht="18">
      <c r="A15" s="711">
        <v>43497</v>
      </c>
      <c r="B15" s="712">
        <v>2019</v>
      </c>
      <c r="C15" s="712">
        <v>477.87947560177287</v>
      </c>
      <c r="D15" s="712">
        <v>656.3</v>
      </c>
      <c r="E15" s="712"/>
      <c r="F15" s="712">
        <v>313632.29983744351</v>
      </c>
      <c r="G15" s="712">
        <v>16800.678571428572</v>
      </c>
      <c r="H15" s="712"/>
      <c r="I15" s="713">
        <v>1039</v>
      </c>
      <c r="J15" s="713">
        <v>852</v>
      </c>
      <c r="K15" s="714">
        <f t="shared" si="0"/>
        <v>100.0131323553468</v>
      </c>
      <c r="L15" s="714">
        <f t="shared" si="1"/>
        <v>99.985929850900348</v>
      </c>
      <c r="M15" s="714">
        <f t="shared" si="2"/>
        <v>99.967657614262009</v>
      </c>
      <c r="N15" s="714">
        <f t="shared" si="2"/>
        <v>100.00612201061486</v>
      </c>
      <c r="O15" s="715">
        <f t="shared" si="3"/>
        <v>98.32614685089068</v>
      </c>
      <c r="P15" s="715">
        <f t="shared" si="4"/>
        <v>98.243837035428172</v>
      </c>
      <c r="Q15" s="715">
        <f t="shared" si="5"/>
        <v>96.651162790697668</v>
      </c>
      <c r="R15" s="715">
        <f t="shared" si="6"/>
        <v>100.47169811320755</v>
      </c>
    </row>
    <row r="16" spans="1:45" ht="18">
      <c r="A16" s="711">
        <v>43525</v>
      </c>
      <c r="B16" s="712">
        <v>2019</v>
      </c>
      <c r="C16" s="712">
        <v>467.57669299463851</v>
      </c>
      <c r="D16" s="712">
        <v>667.68</v>
      </c>
      <c r="E16" s="712"/>
      <c r="F16" s="712">
        <v>312191.60637866019</v>
      </c>
      <c r="G16" s="712">
        <v>17042.727272727272</v>
      </c>
      <c r="H16" s="712"/>
      <c r="I16" s="713">
        <v>1029</v>
      </c>
      <c r="J16" s="713">
        <v>860</v>
      </c>
      <c r="K16" s="714">
        <f t="shared" si="0"/>
        <v>100.00853878045183</v>
      </c>
      <c r="L16" s="714">
        <f t="shared" si="1"/>
        <v>100.00033692977335</v>
      </c>
      <c r="M16" s="714">
        <f t="shared" si="2"/>
        <v>99.958032975185972</v>
      </c>
      <c r="N16" s="714">
        <f t="shared" si="2"/>
        <v>100.01551168197636</v>
      </c>
      <c r="O16" s="715">
        <f t="shared" si="3"/>
        <v>97.874478331197821</v>
      </c>
      <c r="P16" s="715">
        <f t="shared" si="4"/>
        <v>99.659243744384966</v>
      </c>
      <c r="Q16" s="715">
        <f t="shared" si="5"/>
        <v>95.720930232558146</v>
      </c>
      <c r="R16" s="715">
        <f t="shared" si="6"/>
        <v>101.41509433962264</v>
      </c>
    </row>
    <row r="17" spans="1:18" ht="18">
      <c r="A17" s="711">
        <v>43556</v>
      </c>
      <c r="B17" s="712">
        <v>2019</v>
      </c>
      <c r="C17" s="712">
        <v>468.09882119599968</v>
      </c>
      <c r="D17" s="712">
        <v>667.4</v>
      </c>
      <c r="E17" s="712"/>
      <c r="F17" s="712">
        <v>312409.15326621017</v>
      </c>
      <c r="G17" s="712">
        <v>17138.81818181818</v>
      </c>
      <c r="H17" s="712"/>
      <c r="I17" s="713">
        <v>1000</v>
      </c>
      <c r="J17" s="713">
        <v>852</v>
      </c>
      <c r="K17" s="714">
        <f t="shared" si="0"/>
        <v>100.00923561817298</v>
      </c>
      <c r="L17" s="714">
        <f t="shared" si="1"/>
        <v>100.00597516522436</v>
      </c>
      <c r="M17" s="714">
        <f t="shared" si="2"/>
        <v>99.929850273533887</v>
      </c>
      <c r="N17" s="714">
        <f t="shared" si="2"/>
        <v>100.00620935639496</v>
      </c>
      <c r="O17" s="715">
        <f t="shared" si="3"/>
        <v>97.942680959636533</v>
      </c>
      <c r="P17" s="715">
        <f t="shared" si="4"/>
        <v>100.22114602548496</v>
      </c>
      <c r="Q17" s="715">
        <f t="shared" si="5"/>
        <v>93.023255813953483</v>
      </c>
      <c r="R17" s="715">
        <f t="shared" si="6"/>
        <v>100.47169811320755</v>
      </c>
    </row>
    <row r="18" spans="1:18" ht="18">
      <c r="A18" s="711">
        <v>43586</v>
      </c>
      <c r="B18" s="712">
        <v>2019</v>
      </c>
      <c r="C18" s="712">
        <v>473.81868707171242</v>
      </c>
      <c r="D18" s="712">
        <v>693.56</v>
      </c>
      <c r="E18" s="712"/>
      <c r="F18" s="712">
        <v>328621.68860545685</v>
      </c>
      <c r="G18" s="712">
        <v>17727.961538461539</v>
      </c>
      <c r="H18" s="712"/>
      <c r="I18" s="713">
        <v>1003</v>
      </c>
      <c r="J18" s="713">
        <v>852</v>
      </c>
      <c r="K18" s="714">
        <f t="shared" si="0"/>
        <v>100.06113081768856</v>
      </c>
      <c r="L18" s="714">
        <f t="shared" si="1"/>
        <v>100.04034995993852</v>
      </c>
      <c r="M18" s="714">
        <f t="shared" si="2"/>
        <v>99.932850273533887</v>
      </c>
      <c r="N18" s="714">
        <f t="shared" si="2"/>
        <v>100.00620935639496</v>
      </c>
      <c r="O18" s="715">
        <f t="shared" si="3"/>
        <v>103.02543592912869</v>
      </c>
      <c r="P18" s="715">
        <f t="shared" si="4"/>
        <v>103.66622734612912</v>
      </c>
      <c r="Q18" s="715">
        <f t="shared" si="5"/>
        <v>93.302325581395351</v>
      </c>
      <c r="R18" s="715">
        <f t="shared" si="6"/>
        <v>100.47169811320755</v>
      </c>
    </row>
    <row r="19" spans="1:18" ht="18">
      <c r="A19" s="711">
        <v>43617</v>
      </c>
      <c r="B19" s="712">
        <v>2019</v>
      </c>
      <c r="C19" s="712">
        <v>475.61044269523131</v>
      </c>
      <c r="D19" s="712">
        <v>692.41</v>
      </c>
      <c r="E19" s="712"/>
      <c r="F19" s="712">
        <v>329317.4266266051</v>
      </c>
      <c r="G19" s="712">
        <v>17624.2</v>
      </c>
      <c r="H19" s="712"/>
      <c r="I19" s="713">
        <v>997</v>
      </c>
      <c r="J19" s="713">
        <v>854</v>
      </c>
      <c r="K19" s="714">
        <f t="shared" si="0"/>
        <v>100.06324795738223</v>
      </c>
      <c r="L19" s="714">
        <f t="shared" si="1"/>
        <v>100.03449697237217</v>
      </c>
      <c r="M19" s="714">
        <f t="shared" ref="M19:N19" si="7">((I19-I18)/I18)+M18</f>
        <v>99.926868219695407</v>
      </c>
      <c r="N19" s="714">
        <f t="shared" si="7"/>
        <v>100.00855677423533</v>
      </c>
      <c r="O19" s="715">
        <f t="shared" si="3"/>
        <v>103.24355516899215</v>
      </c>
      <c r="P19" s="715">
        <f t="shared" si="4"/>
        <v>103.05947020642068</v>
      </c>
      <c r="Q19" s="715">
        <f t="shared" si="5"/>
        <v>92.744186046511629</v>
      </c>
      <c r="R19" s="715">
        <f t="shared" si="6"/>
        <v>100.70754716981132</v>
      </c>
    </row>
    <row r="20" spans="1:18" ht="18">
      <c r="A20" s="711">
        <v>43647</v>
      </c>
      <c r="B20" s="712">
        <v>2019</v>
      </c>
      <c r="C20" s="712">
        <v>475.55786177351911</v>
      </c>
      <c r="D20" s="712">
        <v>686.06</v>
      </c>
      <c r="E20" s="712"/>
      <c r="F20" s="712">
        <v>326261.22664834047</v>
      </c>
      <c r="G20" s="712">
        <v>17395.354838709678</v>
      </c>
      <c r="H20" s="712"/>
      <c r="I20" s="713">
        <v>1020</v>
      </c>
      <c r="J20" s="713">
        <v>858</v>
      </c>
      <c r="K20" s="714">
        <f t="shared" si="0"/>
        <v>100.053967549693</v>
      </c>
      <c r="L20" s="714">
        <f t="shared" si="1"/>
        <v>100.02151226036877</v>
      </c>
      <c r="M20" s="714">
        <f t="shared" ref="M20:N35" si="8">((I20-I19)/I19)+M19</f>
        <v>99.949937427318275</v>
      </c>
      <c r="N20" s="714">
        <f t="shared" si="8"/>
        <v>100.01324061498474</v>
      </c>
      <c r="O20" s="715">
        <f t="shared" si="3"/>
        <v>102.2854128857379</v>
      </c>
      <c r="P20" s="715">
        <f t="shared" si="4"/>
        <v>101.72127266656732</v>
      </c>
      <c r="Q20" s="715">
        <f t="shared" si="5"/>
        <v>94.883720930232556</v>
      </c>
      <c r="R20" s="715">
        <f t="shared" si="6"/>
        <v>101.17924528301887</v>
      </c>
    </row>
    <row r="21" spans="1:18" ht="18">
      <c r="A21" s="711">
        <v>43678</v>
      </c>
      <c r="B21" s="712">
        <v>2019</v>
      </c>
      <c r="C21" s="712">
        <v>457.63729113509004</v>
      </c>
      <c r="D21" s="712">
        <v>713.7</v>
      </c>
      <c r="E21" s="712"/>
      <c r="F21" s="712">
        <v>326615.73468311375</v>
      </c>
      <c r="G21" s="712">
        <v>17811.387096774193</v>
      </c>
      <c r="H21" s="712"/>
      <c r="I21" s="713">
        <v>1019</v>
      </c>
      <c r="J21" s="713">
        <v>850</v>
      </c>
      <c r="K21" s="714">
        <f t="shared" si="0"/>
        <v>100.05505412696856</v>
      </c>
      <c r="L21" s="714">
        <f t="shared" si="1"/>
        <v>100.04542854502763</v>
      </c>
      <c r="M21" s="714">
        <f t="shared" si="8"/>
        <v>99.948957035161413</v>
      </c>
      <c r="N21" s="714">
        <f t="shared" si="8"/>
        <v>100.00391660566073</v>
      </c>
      <c r="O21" s="715">
        <f t="shared" si="3"/>
        <v>102.39655389100109</v>
      </c>
      <c r="P21" s="715">
        <f t="shared" si="4"/>
        <v>104.15406757952279</v>
      </c>
      <c r="Q21" s="715">
        <f t="shared" si="5"/>
        <v>94.790697674418595</v>
      </c>
      <c r="R21" s="715">
        <f t="shared" si="6"/>
        <v>100.23584905660377</v>
      </c>
    </row>
    <row r="22" spans="1:18" ht="18">
      <c r="A22" s="711">
        <v>43709</v>
      </c>
      <c r="B22" s="712">
        <v>2019</v>
      </c>
      <c r="C22" s="712">
        <v>450.86018289965739</v>
      </c>
      <c r="D22" s="712">
        <v>718.44</v>
      </c>
      <c r="E22" s="712"/>
      <c r="F22" s="712">
        <v>323915.98980242986</v>
      </c>
      <c r="G22" s="712">
        <v>17833.400000000001</v>
      </c>
      <c r="H22" s="712"/>
      <c r="I22" s="713">
        <v>1036</v>
      </c>
      <c r="J22" s="713">
        <v>860</v>
      </c>
      <c r="K22" s="714">
        <f t="shared" si="0"/>
        <v>100.04678831306555</v>
      </c>
      <c r="L22" s="714">
        <f t="shared" si="1"/>
        <v>100.04666443435541</v>
      </c>
      <c r="M22" s="714">
        <f t="shared" si="8"/>
        <v>99.965640057732557</v>
      </c>
      <c r="N22" s="714">
        <f t="shared" si="8"/>
        <v>100.01568131154309</v>
      </c>
      <c r="O22" s="715">
        <f t="shared" si="3"/>
        <v>101.55016303222904</v>
      </c>
      <c r="P22" s="715">
        <f t="shared" si="4"/>
        <v>104.28279048008888</v>
      </c>
      <c r="Q22" s="715">
        <f t="shared" si="5"/>
        <v>96.372093023255815</v>
      </c>
      <c r="R22" s="715">
        <f t="shared" si="6"/>
        <v>101.41509433962264</v>
      </c>
    </row>
    <row r="23" spans="1:18" ht="18">
      <c r="A23" s="711">
        <v>43739</v>
      </c>
      <c r="B23" s="712">
        <v>2019</v>
      </c>
      <c r="C23" s="712">
        <v>475.89310072347382</v>
      </c>
      <c r="D23" s="712">
        <v>721.03</v>
      </c>
      <c r="E23" s="712"/>
      <c r="F23" s="712">
        <v>343133.20241464634</v>
      </c>
      <c r="G23" s="712">
        <v>18352.806451612902</v>
      </c>
      <c r="H23" s="712"/>
      <c r="I23" s="713">
        <v>1016</v>
      </c>
      <c r="J23" s="713">
        <v>844</v>
      </c>
      <c r="K23" s="714">
        <f t="shared" si="0"/>
        <v>100.10611608081156</v>
      </c>
      <c r="L23" s="714">
        <f t="shared" si="1"/>
        <v>100.07578992089263</v>
      </c>
      <c r="M23" s="714">
        <f t="shared" si="8"/>
        <v>99.946335038427534</v>
      </c>
      <c r="N23" s="714">
        <f t="shared" si="8"/>
        <v>99.997076660380301</v>
      </c>
      <c r="O23" s="715">
        <f t="shared" si="3"/>
        <v>107.57490751917425</v>
      </c>
      <c r="P23" s="715">
        <f t="shared" si="4"/>
        <v>107.3200774902807</v>
      </c>
      <c r="Q23" s="715">
        <f t="shared" si="5"/>
        <v>94.511627906976742</v>
      </c>
      <c r="R23" s="715">
        <f t="shared" si="6"/>
        <v>99.528301886792448</v>
      </c>
    </row>
    <row r="24" spans="1:18" ht="18">
      <c r="A24" s="711">
        <v>43770</v>
      </c>
      <c r="B24" s="712">
        <v>2019</v>
      </c>
      <c r="C24" s="712">
        <v>489.04519227923464</v>
      </c>
      <c r="D24" s="712">
        <v>776.53</v>
      </c>
      <c r="E24" s="712"/>
      <c r="F24" s="712">
        <v>379758.26316059404</v>
      </c>
      <c r="G24" s="712">
        <v>20124.133333333335</v>
      </c>
      <c r="H24" s="712"/>
      <c r="I24" s="713">
        <v>1018</v>
      </c>
      <c r="J24" s="713">
        <v>860</v>
      </c>
      <c r="K24" s="714">
        <f t="shared" si="0"/>
        <v>100.21285323270538</v>
      </c>
      <c r="L24" s="714">
        <f t="shared" si="1"/>
        <v>100.17230523512485</v>
      </c>
      <c r="M24" s="714">
        <f t="shared" si="8"/>
        <v>99.948303542364542</v>
      </c>
      <c r="N24" s="714">
        <f t="shared" si="8"/>
        <v>100.01603400635186</v>
      </c>
      <c r="O24" s="715">
        <f>$O$2+(F24/$F$2-1)*100</f>
        <v>119.05714676301284</v>
      </c>
      <c r="P24" s="715">
        <f t="shared" si="4"/>
        <v>117.67810849268074</v>
      </c>
      <c r="Q24" s="715">
        <f t="shared" si="5"/>
        <v>94.697674418604649</v>
      </c>
      <c r="R24" s="715">
        <f t="shared" si="6"/>
        <v>101.41509433962264</v>
      </c>
    </row>
    <row r="25" spans="1:18" ht="18">
      <c r="A25" s="711">
        <v>43800</v>
      </c>
      <c r="B25" s="712">
        <v>2019</v>
      </c>
      <c r="C25" s="712">
        <v>478.82288509528576</v>
      </c>
      <c r="D25" s="712">
        <v>770.39</v>
      </c>
      <c r="E25" s="712"/>
      <c r="F25" s="712">
        <v>368880.36244855716</v>
      </c>
      <c r="G25" s="712">
        <v>20699.129032258064</v>
      </c>
      <c r="H25" s="712"/>
      <c r="I25" s="713">
        <v>1012</v>
      </c>
      <c r="J25" s="713">
        <v>887</v>
      </c>
      <c r="K25" s="714">
        <f t="shared" si="0"/>
        <v>100.1842089561556</v>
      </c>
      <c r="L25" s="714">
        <f t="shared" si="1"/>
        <v>100.20087768042724</v>
      </c>
      <c r="M25" s="714">
        <f t="shared" si="8"/>
        <v>99.942409632737821</v>
      </c>
      <c r="N25" s="714">
        <f t="shared" si="8"/>
        <v>100.04742935518907</v>
      </c>
      <c r="O25" s="715">
        <f t="shared" si="3"/>
        <v>115.64684092590514</v>
      </c>
      <c r="P25" s="715">
        <f t="shared" si="4"/>
        <v>121.04045981087694</v>
      </c>
      <c r="Q25" s="715">
        <f t="shared" si="5"/>
        <v>94.139534883720927</v>
      </c>
      <c r="R25" s="715">
        <f t="shared" si="6"/>
        <v>104.59905660377358</v>
      </c>
    </row>
    <row r="26" spans="1:18" ht="18">
      <c r="A26" s="711">
        <v>43831</v>
      </c>
      <c r="B26" s="712">
        <v>2020</v>
      </c>
      <c r="C26" s="712">
        <v>485.83611795904483</v>
      </c>
      <c r="D26" s="712">
        <v>772.65</v>
      </c>
      <c r="E26" s="712"/>
      <c r="F26" s="712">
        <v>375381.276541056</v>
      </c>
      <c r="G26" s="712">
        <v>20834.903225806451</v>
      </c>
      <c r="H26" s="712"/>
      <c r="I26" s="713">
        <v>1020</v>
      </c>
      <c r="J26" s="713">
        <v>891</v>
      </c>
      <c r="K26" s="714">
        <f t="shared" si="0"/>
        <v>100.20183232338867</v>
      </c>
      <c r="L26" s="714">
        <f t="shared" si="1"/>
        <v>100.20743709620443</v>
      </c>
      <c r="M26" s="714">
        <f t="shared" si="8"/>
        <v>99.950314771077743</v>
      </c>
      <c r="N26" s="714">
        <f t="shared" si="8"/>
        <v>100.05193893805266</v>
      </c>
      <c r="O26" s="715">
        <f t="shared" si="3"/>
        <v>117.68492767288677</v>
      </c>
      <c r="P26" s="715">
        <f t="shared" si="4"/>
        <v>121.83441451263931</v>
      </c>
      <c r="Q26" s="715">
        <f t="shared" si="5"/>
        <v>94.883720930232556</v>
      </c>
      <c r="R26" s="715">
        <f t="shared" si="6"/>
        <v>105.07075471698113</v>
      </c>
    </row>
    <row r="27" spans="1:18" ht="18">
      <c r="A27" s="711">
        <v>43862</v>
      </c>
      <c r="B27" s="712">
        <v>2020</v>
      </c>
      <c r="C27" s="712">
        <v>487.76342375700193</v>
      </c>
      <c r="D27" s="712">
        <v>796.38</v>
      </c>
      <c r="E27" s="712"/>
      <c r="F27" s="712">
        <v>388445.03541160119</v>
      </c>
      <c r="G27" s="712">
        <v>21530.862068965518</v>
      </c>
      <c r="H27" s="712"/>
      <c r="I27" s="713">
        <v>1027</v>
      </c>
      <c r="J27" s="713">
        <v>886</v>
      </c>
      <c r="K27" s="714">
        <f t="shared" si="0"/>
        <v>100.23663362991871</v>
      </c>
      <c r="L27" s="714">
        <f t="shared" si="1"/>
        <v>100.24084060356016</v>
      </c>
      <c r="M27" s="714">
        <f t="shared" si="8"/>
        <v>99.957177516175776</v>
      </c>
      <c r="N27" s="714">
        <f t="shared" si="8"/>
        <v>100.04632726577432</v>
      </c>
      <c r="O27" s="715">
        <f t="shared" si="3"/>
        <v>121.78051691479719</v>
      </c>
      <c r="P27" s="715">
        <f t="shared" si="4"/>
        <v>125.90411127399285</v>
      </c>
      <c r="Q27" s="715">
        <f t="shared" si="5"/>
        <v>95.534883720930225</v>
      </c>
      <c r="R27" s="715">
        <f t="shared" si="6"/>
        <v>104.48113207547169</v>
      </c>
    </row>
    <row r="28" spans="1:18" ht="18">
      <c r="A28" s="711">
        <v>43891</v>
      </c>
      <c r="B28" s="712">
        <v>2020</v>
      </c>
      <c r="C28" s="712">
        <v>494.50513305175457</v>
      </c>
      <c r="D28" s="712">
        <v>839.97</v>
      </c>
      <c r="E28" s="712"/>
      <c r="F28" s="712">
        <v>415369.47660948231</v>
      </c>
      <c r="G28" s="712">
        <v>22503.741935483871</v>
      </c>
      <c r="H28" s="712"/>
      <c r="I28" s="713">
        <v>1046</v>
      </c>
      <c r="J28" s="713">
        <v>912</v>
      </c>
      <c r="K28" s="714">
        <f t="shared" si="0"/>
        <v>100.30594701725381</v>
      </c>
      <c r="L28" s="714">
        <f t="shared" si="1"/>
        <v>100.28602596880016</v>
      </c>
      <c r="M28" s="714">
        <f t="shared" si="8"/>
        <v>99.975678003030694</v>
      </c>
      <c r="N28" s="714">
        <f t="shared" si="8"/>
        <v>100.07567263823482</v>
      </c>
      <c r="O28" s="715">
        <f t="shared" si="3"/>
        <v>130.22153705358124</v>
      </c>
      <c r="P28" s="715">
        <f t="shared" si="4"/>
        <v>131.59313452712632</v>
      </c>
      <c r="Q28" s="715">
        <f t="shared" si="5"/>
        <v>97.302325581395337</v>
      </c>
      <c r="R28" s="715">
        <f t="shared" si="6"/>
        <v>107.54716981132076</v>
      </c>
    </row>
    <row r="29" spans="1:18" ht="18">
      <c r="A29" s="711">
        <v>43922</v>
      </c>
      <c r="B29" s="712">
        <v>2020</v>
      </c>
      <c r="C29" s="712">
        <v>485.93022164445802</v>
      </c>
      <c r="D29" s="712">
        <v>853.38</v>
      </c>
      <c r="E29" s="712"/>
      <c r="F29" s="712">
        <v>414683.13254694757</v>
      </c>
      <c r="G29" s="712">
        <v>23391.4</v>
      </c>
      <c r="H29" s="712"/>
      <c r="I29" s="713">
        <v>1056</v>
      </c>
      <c r="J29" s="713">
        <v>913</v>
      </c>
      <c r="K29" s="714">
        <f t="shared" si="0"/>
        <v>100.30429464725269</v>
      </c>
      <c r="L29" s="714">
        <f t="shared" si="1"/>
        <v>100.32547087832059</v>
      </c>
      <c r="M29" s="714">
        <f t="shared" si="8"/>
        <v>99.985238232476206</v>
      </c>
      <c r="N29" s="714">
        <f t="shared" si="8"/>
        <v>100.07676912946289</v>
      </c>
      <c r="O29" s="715">
        <f t="shared" si="3"/>
        <v>130.00636289225284</v>
      </c>
      <c r="P29" s="715">
        <f t="shared" si="4"/>
        <v>136.78381381205776</v>
      </c>
      <c r="Q29" s="715">
        <f t="shared" si="5"/>
        <v>98.232558139534888</v>
      </c>
      <c r="R29" s="715">
        <f>$R$2+(J29/$J$2-1)*100</f>
        <v>107.66509433962264</v>
      </c>
    </row>
    <row r="30" spans="1:18" ht="18">
      <c r="A30" s="711">
        <v>43952</v>
      </c>
      <c r="B30" s="712">
        <v>2020</v>
      </c>
      <c r="C30" s="712">
        <v>488.60434020492249</v>
      </c>
      <c r="D30" s="712">
        <v>821.81</v>
      </c>
      <c r="E30" s="712"/>
      <c r="F30" s="712">
        <v>401539.93282380735</v>
      </c>
      <c r="G30" s="712">
        <v>23366.354838709678</v>
      </c>
      <c r="H30" s="712"/>
      <c r="I30" s="713">
        <v>1091</v>
      </c>
      <c r="J30" s="713">
        <v>927</v>
      </c>
      <c r="K30" s="714">
        <f t="shared" si="0"/>
        <v>100.27260008653492</v>
      </c>
      <c r="L30" s="714">
        <f t="shared" si="1"/>
        <v>100.32440017877758</v>
      </c>
      <c r="M30" s="714">
        <f t="shared" si="8"/>
        <v>100.01838217187014</v>
      </c>
      <c r="N30" s="714">
        <f t="shared" si="8"/>
        <v>100.09210319298973</v>
      </c>
      <c r="O30" s="715">
        <f t="shared" si="3"/>
        <v>125.88586832986917</v>
      </c>
      <c r="P30" s="715">
        <f t="shared" si="4"/>
        <v>136.63735944511828</v>
      </c>
      <c r="Q30" s="715">
        <f t="shared" si="5"/>
        <v>101.48837209302326</v>
      </c>
      <c r="R30" s="715">
        <f t="shared" si="6"/>
        <v>109.31603773584905</v>
      </c>
    </row>
    <row r="31" spans="1:18" ht="18">
      <c r="A31" s="711">
        <v>43983</v>
      </c>
      <c r="B31" s="712">
        <v>2020</v>
      </c>
      <c r="C31" s="712">
        <v>506.83333341292433</v>
      </c>
      <c r="D31" s="712">
        <v>792.72</v>
      </c>
      <c r="E31" s="712"/>
      <c r="F31" s="712">
        <v>401776.92006309336</v>
      </c>
      <c r="G31" s="712">
        <v>22901.533333333333</v>
      </c>
      <c r="H31" s="712"/>
      <c r="I31" s="713">
        <v>1072</v>
      </c>
      <c r="J31" s="713">
        <v>914</v>
      </c>
      <c r="K31" s="714">
        <f t="shared" si="0"/>
        <v>100.27319028247787</v>
      </c>
      <c r="L31" s="714">
        <f t="shared" si="1"/>
        <v>100.30450740951234</v>
      </c>
      <c r="M31" s="714">
        <f t="shared" si="8"/>
        <v>100.00096695647143</v>
      </c>
      <c r="N31" s="714">
        <f t="shared" si="8"/>
        <v>100.07807946051939</v>
      </c>
      <c r="O31" s="715">
        <f t="shared" si="3"/>
        <v>125.9601656586325</v>
      </c>
      <c r="P31" s="715">
        <f t="shared" si="4"/>
        <v>133.91926398066389</v>
      </c>
      <c r="Q31" s="715">
        <f t="shared" si="5"/>
        <v>99.720930232558132</v>
      </c>
      <c r="R31" s="715">
        <f t="shared" si="6"/>
        <v>107.78301886792451</v>
      </c>
    </row>
    <row r="32" spans="1:18" ht="18">
      <c r="A32" s="711">
        <v>44013</v>
      </c>
      <c r="B32" s="712">
        <v>2020</v>
      </c>
      <c r="C32" s="712">
        <v>534.75582564397189</v>
      </c>
      <c r="D32" s="712">
        <v>784.73</v>
      </c>
      <c r="E32" s="712"/>
      <c r="F32" s="712">
        <v>419638.93905759405</v>
      </c>
      <c r="G32" s="712">
        <v>23378.064516129034</v>
      </c>
      <c r="H32" s="712"/>
      <c r="I32" s="713">
        <v>1050</v>
      </c>
      <c r="J32" s="713">
        <v>906</v>
      </c>
      <c r="K32" s="714">
        <f t="shared" si="0"/>
        <v>100.31764783616636</v>
      </c>
      <c r="L32" s="714">
        <f t="shared" si="1"/>
        <v>100.32531523822232</v>
      </c>
      <c r="M32" s="714">
        <f t="shared" si="8"/>
        <v>99.980444568411727</v>
      </c>
      <c r="N32" s="714">
        <f t="shared" si="8"/>
        <v>100.06932672528963</v>
      </c>
      <c r="O32" s="715">
        <f t="shared" si="3"/>
        <v>131.56004648601211</v>
      </c>
      <c r="P32" s="715">
        <f t="shared" si="4"/>
        <v>136.705833086539</v>
      </c>
      <c r="Q32" s="715">
        <f t="shared" si="5"/>
        <v>97.674418604651152</v>
      </c>
      <c r="R32" s="715">
        <f t="shared" si="6"/>
        <v>106.83962264150944</v>
      </c>
    </row>
    <row r="33" spans="1:18" ht="18">
      <c r="A33" s="711">
        <v>44044</v>
      </c>
      <c r="B33" s="712">
        <v>2020</v>
      </c>
      <c r="C33" s="712">
        <v>546.97583411464359</v>
      </c>
      <c r="D33" s="712">
        <v>784.66</v>
      </c>
      <c r="E33" s="712"/>
      <c r="F33" s="712">
        <v>429190.05799639621</v>
      </c>
      <c r="G33" s="712">
        <v>25388.387096774193</v>
      </c>
      <c r="H33" s="712"/>
      <c r="I33" s="713">
        <v>1041</v>
      </c>
      <c r="J33" s="713">
        <v>895</v>
      </c>
      <c r="K33" s="714">
        <f t="shared" si="0"/>
        <v>100.34040816188887</v>
      </c>
      <c r="L33" s="714">
        <f t="shared" si="1"/>
        <v>100.41130706955028</v>
      </c>
      <c r="M33" s="714">
        <f t="shared" si="8"/>
        <v>99.971873139840298</v>
      </c>
      <c r="N33" s="714">
        <f t="shared" si="8"/>
        <v>100.05718544493642</v>
      </c>
      <c r="O33" s="715">
        <f t="shared" si="3"/>
        <v>134.55439599610321</v>
      </c>
      <c r="P33" s="715">
        <f t="shared" si="4"/>
        <v>148.46141802686506</v>
      </c>
      <c r="Q33" s="715">
        <f t="shared" si="5"/>
        <v>96.837209302325576</v>
      </c>
      <c r="R33" s="715">
        <f t="shared" si="6"/>
        <v>105.54245283018868</v>
      </c>
    </row>
    <row r="34" spans="1:18" ht="18">
      <c r="A34" s="711">
        <v>44075</v>
      </c>
      <c r="B34" s="712">
        <v>2020</v>
      </c>
      <c r="C34" s="712">
        <v>547.30008592686488</v>
      </c>
      <c r="D34" s="712">
        <v>773.4</v>
      </c>
      <c r="E34" s="712"/>
      <c r="F34" s="712">
        <v>423281.88645583729</v>
      </c>
      <c r="G34" s="712">
        <v>30916.533333333333</v>
      </c>
      <c r="H34" s="712"/>
      <c r="I34" s="713">
        <v>1055</v>
      </c>
      <c r="J34" s="713">
        <v>900</v>
      </c>
      <c r="K34" s="714">
        <f t="shared" si="0"/>
        <v>100.32664229888603</v>
      </c>
      <c r="L34" s="714">
        <f t="shared" si="1"/>
        <v>100.62905017451742</v>
      </c>
      <c r="M34" s="714">
        <f t="shared" si="8"/>
        <v>99.985321746948841</v>
      </c>
      <c r="N34" s="714">
        <f t="shared" si="8"/>
        <v>100.0627720371152</v>
      </c>
      <c r="O34" s="715">
        <f t="shared" si="3"/>
        <v>132.70213861439109</v>
      </c>
      <c r="P34" s="715">
        <f t="shared" si="4"/>
        <v>180.78786815585832</v>
      </c>
      <c r="Q34" s="715">
        <f t="shared" si="5"/>
        <v>98.139534883720927</v>
      </c>
      <c r="R34" s="715">
        <f t="shared" si="6"/>
        <v>106.13207547169812</v>
      </c>
    </row>
    <row r="35" spans="1:18" ht="18">
      <c r="A35" s="711">
        <v>44105</v>
      </c>
      <c r="B35" s="712">
        <v>2020</v>
      </c>
      <c r="C35" s="712">
        <v>611.45540506874011</v>
      </c>
      <c r="D35" s="712">
        <v>778.27</v>
      </c>
      <c r="E35" s="712"/>
      <c r="F35" s="712">
        <v>475877.39810284832</v>
      </c>
      <c r="G35" s="712">
        <v>31507.741935483871</v>
      </c>
      <c r="H35" s="712"/>
      <c r="I35" s="713">
        <v>1158</v>
      </c>
      <c r="J35" s="713">
        <v>910</v>
      </c>
      <c r="K35" s="714">
        <f t="shared" si="0"/>
        <v>100.45089876562831</v>
      </c>
      <c r="L35" s="714">
        <f t="shared" si="1"/>
        <v>100.64817290719175</v>
      </c>
      <c r="M35" s="714">
        <f t="shared" si="8"/>
        <v>100.08295207870239</v>
      </c>
      <c r="N35" s="714">
        <f t="shared" si="8"/>
        <v>100.0738831482263</v>
      </c>
      <c r="O35" s="715">
        <f t="shared" si="3"/>
        <v>149.19123748776013</v>
      </c>
      <c r="P35" s="715">
        <f t="shared" si="4"/>
        <v>184.24502622936598</v>
      </c>
      <c r="Q35" s="715">
        <f t="shared" si="5"/>
        <v>107.72093023255813</v>
      </c>
      <c r="R35" s="715">
        <f t="shared" si="6"/>
        <v>107.31132075471699</v>
      </c>
    </row>
    <row r="36" spans="1:18" ht="18">
      <c r="A36" s="711">
        <v>44136</v>
      </c>
      <c r="B36" s="712">
        <v>2020</v>
      </c>
      <c r="C36" s="712">
        <v>657.03983530257608</v>
      </c>
      <c r="D36" s="712">
        <v>763.72</v>
      </c>
      <c r="E36" s="712"/>
      <c r="F36" s="712">
        <v>501794.46301728341</v>
      </c>
      <c r="G36" s="712">
        <v>29467.733333333334</v>
      </c>
      <c r="H36" s="712"/>
      <c r="I36" s="713">
        <v>1069</v>
      </c>
      <c r="J36" s="713">
        <v>898</v>
      </c>
      <c r="K36" s="714">
        <f t="shared" si="0"/>
        <v>100.50536040851733</v>
      </c>
      <c r="L36" s="714">
        <f t="shared" si="1"/>
        <v>100.58342664240617</v>
      </c>
      <c r="M36" s="714">
        <f t="shared" ref="M36:N40" si="9">((I36-I35)/I35)+M35</f>
        <v>100.00609542930688</v>
      </c>
      <c r="N36" s="714">
        <f t="shared" si="9"/>
        <v>100.06069633503948</v>
      </c>
      <c r="O36" s="715">
        <f t="shared" si="3"/>
        <v>157.31643738599007</v>
      </c>
      <c r="P36" s="715">
        <f t="shared" si="4"/>
        <v>172.31584897569343</v>
      </c>
      <c r="Q36" s="715">
        <f t="shared" si="5"/>
        <v>99.441860465116278</v>
      </c>
      <c r="R36" s="715">
        <f t="shared" si="6"/>
        <v>105.89622641509433</v>
      </c>
    </row>
    <row r="37" spans="1:18" ht="18">
      <c r="A37" s="711">
        <v>44166</v>
      </c>
      <c r="B37" s="712">
        <v>2020</v>
      </c>
      <c r="C37" s="712">
        <v>522.55345354356325</v>
      </c>
      <c r="D37" s="712">
        <v>734.73</v>
      </c>
      <c r="E37" s="712"/>
      <c r="F37" s="712">
        <v>383935.69892206223</v>
      </c>
      <c r="G37" s="712">
        <v>27967.451612903227</v>
      </c>
      <c r="H37" s="712"/>
      <c r="I37" s="713">
        <v>1063</v>
      </c>
      <c r="J37" s="713">
        <v>896</v>
      </c>
      <c r="K37" s="714">
        <f t="shared" si="0"/>
        <v>100.2704858278244</v>
      </c>
      <c r="L37" s="714">
        <f t="shared" si="1"/>
        <v>100.532513947376</v>
      </c>
      <c r="M37" s="714">
        <f t="shared" si="9"/>
        <v>100.00048270713663</v>
      </c>
      <c r="N37" s="714">
        <f t="shared" si="9"/>
        <v>100.05846916354727</v>
      </c>
      <c r="O37" s="715">
        <f t="shared" si="3"/>
        <v>120.36680511884921</v>
      </c>
      <c r="P37" s="715">
        <f t="shared" si="4"/>
        <v>163.54278470793068</v>
      </c>
      <c r="Q37" s="715">
        <f t="shared" si="5"/>
        <v>98.883720930232556</v>
      </c>
      <c r="R37" s="715">
        <f t="shared" si="6"/>
        <v>105.66037735849056</v>
      </c>
    </row>
    <row r="38" spans="1:18" ht="18">
      <c r="A38" s="711">
        <v>44197</v>
      </c>
      <c r="B38" s="712">
        <v>2021</v>
      </c>
      <c r="C38" s="712">
        <v>524.3046206835927</v>
      </c>
      <c r="D38" s="712">
        <v>723.56</v>
      </c>
      <c r="E38" s="712"/>
      <c r="F38" s="712">
        <f t="shared" ref="F38:F40" si="10">C38*D38</f>
        <v>379365.85134182032</v>
      </c>
      <c r="G38" s="712">
        <v>25659.741935483871</v>
      </c>
      <c r="H38" s="712"/>
      <c r="I38" s="713">
        <v>1062</v>
      </c>
      <c r="J38" s="713">
        <v>901</v>
      </c>
      <c r="K38" s="714">
        <f t="shared" si="0"/>
        <v>100.25858318997886</v>
      </c>
      <c r="L38" s="714">
        <f t="shared" si="1"/>
        <v>100.44999982669886</v>
      </c>
      <c r="M38" s="714">
        <f t="shared" si="9"/>
        <v>99.999541973364288</v>
      </c>
      <c r="N38" s="714">
        <f t="shared" si="9"/>
        <v>100.06404952069013</v>
      </c>
      <c r="O38" s="715">
        <f t="shared" si="3"/>
        <v>118.93412262889538</v>
      </c>
      <c r="P38" s="715">
        <f t="shared" si="4"/>
        <v>150.0481956346639</v>
      </c>
      <c r="Q38" s="715">
        <f t="shared" si="5"/>
        <v>98.79069767441861</v>
      </c>
      <c r="R38" s="715">
        <f t="shared" si="6"/>
        <v>106.25</v>
      </c>
    </row>
    <row r="39" spans="1:18" ht="18">
      <c r="A39" s="711">
        <v>44228</v>
      </c>
      <c r="B39" s="712">
        <v>2021</v>
      </c>
      <c r="C39" s="712">
        <v>570.13865280248558</v>
      </c>
      <c r="D39" s="712">
        <v>722.63</v>
      </c>
      <c r="E39" s="712"/>
      <c r="F39" s="712">
        <f t="shared" si="10"/>
        <v>411999.29467466014</v>
      </c>
      <c r="G39" s="712">
        <v>25049.666666666668</v>
      </c>
      <c r="H39" s="712"/>
      <c r="I39" s="713">
        <v>1072</v>
      </c>
      <c r="J39" s="713">
        <v>900</v>
      </c>
      <c r="K39" s="714">
        <f t="shared" si="0"/>
        <v>100.34460422539208</v>
      </c>
      <c r="L39" s="714">
        <f t="shared" si="1"/>
        <v>100.4262242458551</v>
      </c>
      <c r="M39" s="714">
        <f t="shared" si="9"/>
        <v>100.00895816922116</v>
      </c>
      <c r="N39" s="714">
        <f t="shared" si="9"/>
        <v>100.0629396427767</v>
      </c>
      <c r="O39" s="715">
        <f t="shared" si="3"/>
        <v>129.16495900339544</v>
      </c>
      <c r="P39" s="715">
        <f t="shared" si="4"/>
        <v>146.4807126288911</v>
      </c>
      <c r="Q39" s="715">
        <f t="shared" si="5"/>
        <v>99.720930232558132</v>
      </c>
      <c r="R39" s="715">
        <f t="shared" si="6"/>
        <v>106.13207547169812</v>
      </c>
    </row>
    <row r="40" spans="1:18" ht="18">
      <c r="A40" s="711">
        <v>44256</v>
      </c>
      <c r="B40" s="712">
        <v>2021</v>
      </c>
      <c r="C40" s="712">
        <v>575.27615541876776</v>
      </c>
      <c r="D40" s="712">
        <v>726.37</v>
      </c>
      <c r="E40" s="716">
        <f t="shared" ref="E40:E51" si="11">D40/D39-1</f>
        <v>5.1755393493211344E-3</v>
      </c>
      <c r="F40" s="712">
        <f t="shared" si="10"/>
        <v>417863.34101153031</v>
      </c>
      <c r="G40" s="712">
        <f>'57'!I20*'61'!D40/10</f>
        <v>23509.458333333332</v>
      </c>
      <c r="H40" s="716">
        <f t="shared" ref="H40:H51" si="12">G40/G39-1</f>
        <v>-6.1486180787502231E-2</v>
      </c>
      <c r="I40" s="713">
        <v>1070</v>
      </c>
      <c r="J40" s="713">
        <v>911</v>
      </c>
      <c r="K40" s="714">
        <f t="shared" si="0"/>
        <v>100.35883737193545</v>
      </c>
      <c r="L40" s="714">
        <f t="shared" si="1"/>
        <v>100.3647380650676</v>
      </c>
      <c r="M40" s="714">
        <f t="shared" si="9"/>
        <v>100.00709249757936</v>
      </c>
      <c r="N40" s="714">
        <f t="shared" si="9"/>
        <v>100.07516186499892</v>
      </c>
      <c r="O40" s="715">
        <f t="shared" si="3"/>
        <v>131.00338279315935</v>
      </c>
      <c r="P40" s="715">
        <f t="shared" si="4"/>
        <v>137.47417305030893</v>
      </c>
      <c r="Q40" s="715">
        <f t="shared" si="5"/>
        <v>99.534883720930239</v>
      </c>
      <c r="R40" s="715">
        <f t="shared" si="6"/>
        <v>107.42924528301887</v>
      </c>
    </row>
    <row r="41" spans="1:18" ht="18">
      <c r="A41" s="711">
        <v>44287</v>
      </c>
      <c r="B41" s="712">
        <v>2021</v>
      </c>
      <c r="C41" s="712">
        <f>'57'!G21</f>
        <v>595.9091176226982</v>
      </c>
      <c r="D41" s="712">
        <v>707.85</v>
      </c>
      <c r="E41" s="716">
        <f t="shared" si="11"/>
        <v>-2.5496647713974974E-2</v>
      </c>
      <c r="F41" s="712">
        <f t="shared" ref="F41:F46" si="13">C41*D41</f>
        <v>421814.26890922693</v>
      </c>
      <c r="G41" s="712">
        <f>'57'!I21*'61'!D41/10</f>
        <v>22921.120000000003</v>
      </c>
      <c r="H41" s="716">
        <f t="shared" si="12"/>
        <v>-2.5025601398018682E-2</v>
      </c>
      <c r="I41" s="713">
        <f>'59'!G22</f>
        <v>1088</v>
      </c>
      <c r="J41" s="713">
        <f>'59'!H22</f>
        <v>920</v>
      </c>
      <c r="K41" s="714">
        <f t="shared" si="0"/>
        <v>100.36829244374944</v>
      </c>
      <c r="L41" s="714">
        <f t="shared" si="1"/>
        <v>100.33971246366958</v>
      </c>
      <c r="M41" s="714">
        <f t="shared" ref="M41" si="14">((I41-I40)/I40)+M40</f>
        <v>100.0239149274859</v>
      </c>
      <c r="N41" s="714">
        <f t="shared" ref="N41" si="15">((J41-J40)/J40)+N40</f>
        <v>100.08504111856642</v>
      </c>
      <c r="O41" s="715">
        <f t="shared" si="3"/>
        <v>132.24202918534391</v>
      </c>
      <c r="P41" s="715">
        <f t="shared" si="4"/>
        <v>134.03379919302967</v>
      </c>
      <c r="Q41" s="715">
        <f t="shared" si="5"/>
        <v>101.20930232558139</v>
      </c>
      <c r="R41" s="715">
        <f t="shared" si="6"/>
        <v>108.49056603773586</v>
      </c>
    </row>
    <row r="42" spans="1:18" ht="18">
      <c r="A42" s="711">
        <v>44317</v>
      </c>
      <c r="B42" s="712">
        <v>2021</v>
      </c>
      <c r="C42" s="712">
        <f>'57'!G22</f>
        <v>550.41993363719439</v>
      </c>
      <c r="D42" s="712">
        <v>712.26</v>
      </c>
      <c r="E42" s="716">
        <f t="shared" si="11"/>
        <v>6.2301335028607241E-3</v>
      </c>
      <c r="F42" s="712">
        <f t="shared" si="13"/>
        <v>392042.10193242808</v>
      </c>
      <c r="G42" s="712">
        <f>'57'!I22*'61'!D42/10</f>
        <v>22360.935483870962</v>
      </c>
      <c r="H42" s="716">
        <f t="shared" si="12"/>
        <v>-2.4439665955635737E-2</v>
      </c>
      <c r="I42" s="713">
        <f>'59'!G23</f>
        <v>1081</v>
      </c>
      <c r="J42" s="713">
        <f>'59'!H23</f>
        <v>918</v>
      </c>
      <c r="K42" s="714">
        <f t="shared" ref="K42" si="16">((F42-F41)/F41)+K41</f>
        <v>100.29771122075338</v>
      </c>
      <c r="L42" s="714">
        <f t="shared" ref="L42" si="17">((G42-G41)/G41)+L41</f>
        <v>100.31527279771394</v>
      </c>
      <c r="M42" s="714">
        <f t="shared" ref="M42" si="18">((I42-I41)/I41)+M41</f>
        <v>100.0174811039565</v>
      </c>
      <c r="N42" s="714">
        <f t="shared" ref="N42" si="19">((J42-J41)/J41)+N41</f>
        <v>100.08286720552294</v>
      </c>
      <c r="O42" s="715">
        <f t="shared" si="3"/>
        <v>122.90822503396272</v>
      </c>
      <c r="P42" s="715">
        <f t="shared" si="4"/>
        <v>130.75805791398727</v>
      </c>
      <c r="Q42" s="715">
        <f t="shared" si="5"/>
        <v>100.55813953488372</v>
      </c>
      <c r="R42" s="715">
        <f t="shared" si="6"/>
        <v>108.25471698113208</v>
      </c>
    </row>
    <row r="43" spans="1:18" ht="18">
      <c r="A43" s="711">
        <v>44348</v>
      </c>
      <c r="B43" s="712">
        <v>2021</v>
      </c>
      <c r="C43" s="712">
        <f>'57'!G23</f>
        <v>628.28779953260755</v>
      </c>
      <c r="D43" s="712">
        <v>726.54</v>
      </c>
      <c r="E43" s="716">
        <f t="shared" si="11"/>
        <v>2.0048858562884408E-2</v>
      </c>
      <c r="F43" s="712">
        <f t="shared" si="13"/>
        <v>456476.21787242068</v>
      </c>
      <c r="G43" s="712">
        <f>'57'!I23*'61'!D43/10</f>
        <v>22596.766666666666</v>
      </c>
      <c r="H43" s="716">
        <f t="shared" si="12"/>
        <v>1.054657051203467E-2</v>
      </c>
      <c r="I43" s="713">
        <f>'59'!G24</f>
        <v>1057</v>
      </c>
      <c r="J43" s="713">
        <f>'59'!H24</f>
        <v>911</v>
      </c>
      <c r="K43" s="714">
        <f>((F43-F42)/F42)+K42</f>
        <v>100.46206631328653</v>
      </c>
      <c r="L43" s="714">
        <f>((G43-G42)/G42)+L42</f>
        <v>100.32581936822598</v>
      </c>
      <c r="M43" s="714">
        <f t="shared" ref="M43:N44" si="20">((I43-I42)/I42)+M42</f>
        <v>99.995279438831616</v>
      </c>
      <c r="N43" s="714">
        <f t="shared" si="20"/>
        <v>100.07524193319179</v>
      </c>
      <c r="O43" s="715">
        <f t="shared" si="3"/>
        <v>143.10881773250418</v>
      </c>
      <c r="P43" s="715">
        <f t="shared" si="4"/>
        <v>132.13710699179384</v>
      </c>
      <c r="Q43" s="715">
        <f t="shared" si="5"/>
        <v>98.325581395348834</v>
      </c>
      <c r="R43" s="715">
        <f t="shared" si="6"/>
        <v>107.42924528301887</v>
      </c>
    </row>
    <row r="44" spans="1:18" ht="18">
      <c r="A44" s="711">
        <v>44378</v>
      </c>
      <c r="B44" s="712">
        <v>2021</v>
      </c>
      <c r="C44" s="712">
        <f>'57'!G24</f>
        <v>590.01634891700269</v>
      </c>
      <c r="D44" s="712">
        <v>750.44</v>
      </c>
      <c r="E44" s="716">
        <f t="shared" si="11"/>
        <v>3.2895642359677568E-2</v>
      </c>
      <c r="F44" s="712">
        <f t="shared" si="13"/>
        <v>442771.86888127553</v>
      </c>
      <c r="G44" s="712">
        <f>'57'!I24*'61'!D44/10</f>
        <v>23008.870967741936</v>
      </c>
      <c r="H44" s="716">
        <f t="shared" si="12"/>
        <v>1.8237312760465807E-2</v>
      </c>
      <c r="I44" s="713">
        <f>'59'!G25</f>
        <v>1082</v>
      </c>
      <c r="J44" s="713">
        <f>'59'!H25</f>
        <v>916</v>
      </c>
      <c r="K44" s="714">
        <f>((F44-F43)/F43)+K43</f>
        <v>100.43204426952043</v>
      </c>
      <c r="L44" s="714">
        <f>((G44-G43)/G43)+L43</f>
        <v>100.34405668098644</v>
      </c>
      <c r="M44" s="714">
        <f t="shared" si="20"/>
        <v>100.01893128367551</v>
      </c>
      <c r="N44" s="714">
        <f t="shared" si="20"/>
        <v>100.08073040739596</v>
      </c>
      <c r="O44" s="715">
        <f t="shared" si="3"/>
        <v>138.81239854322553</v>
      </c>
      <c r="P44" s="715">
        <f t="shared" si="4"/>
        <v>134.54693273926631</v>
      </c>
      <c r="Q44" s="715">
        <f t="shared" si="5"/>
        <v>100.65116279069768</v>
      </c>
      <c r="R44" s="715">
        <f t="shared" si="6"/>
        <v>108.01886792452831</v>
      </c>
    </row>
    <row r="45" spans="1:18" ht="18">
      <c r="A45" s="711">
        <v>44409</v>
      </c>
      <c r="B45" s="712">
        <v>2021</v>
      </c>
      <c r="C45" s="712">
        <f>'57'!G25</f>
        <v>602.79229418600823</v>
      </c>
      <c r="D45" s="712">
        <v>779.83</v>
      </c>
      <c r="E45" s="716">
        <f t="shared" si="11"/>
        <v>3.9163690634827608E-2</v>
      </c>
      <c r="F45" s="712">
        <f t="shared" si="13"/>
        <v>470075.51477507484</v>
      </c>
      <c r="G45" s="712">
        <f>'57'!I25*'61'!D45/10</f>
        <v>23772.137931034482</v>
      </c>
      <c r="H45" s="716">
        <f t="shared" si="12"/>
        <v>3.317272561363982E-2</v>
      </c>
      <c r="I45" s="713">
        <f>'59'!G26</f>
        <v>1108</v>
      </c>
      <c r="J45" s="713">
        <f>'59'!H26</f>
        <v>911</v>
      </c>
      <c r="K45" s="714">
        <f t="shared" ref="K45" si="21">((F45-F44)/F44)+K44</f>
        <v>100.49370953737673</v>
      </c>
      <c r="L45" s="714">
        <f t="shared" ref="L45" si="22">((G45-G44)/G44)+L44</f>
        <v>100.37722940660008</v>
      </c>
      <c r="M45" s="714">
        <f t="shared" ref="M45" si="23">((I45-I44)/I44)+M44</f>
        <v>100.04296085853689</v>
      </c>
      <c r="N45" s="714">
        <f t="shared" ref="N45" si="24">((J45-J44)/J44)+N44</f>
        <v>100.07527189211211</v>
      </c>
      <c r="O45" s="715">
        <f t="shared" si="3"/>
        <v>147.37230228116925</v>
      </c>
      <c r="P45" s="715">
        <f t="shared" si="4"/>
        <v>139.01022122118286</v>
      </c>
      <c r="Q45" s="715">
        <f t="shared" si="5"/>
        <v>103.06976744186048</v>
      </c>
      <c r="R45" s="715">
        <f t="shared" si="6"/>
        <v>107.42924528301887</v>
      </c>
    </row>
    <row r="46" spans="1:18" ht="18">
      <c r="A46" s="711">
        <v>44440</v>
      </c>
      <c r="B46" s="712">
        <v>2022</v>
      </c>
      <c r="C46" s="712">
        <f>'57'!G26</f>
        <v>588.77641975476865</v>
      </c>
      <c r="D46" s="712">
        <v>783.63</v>
      </c>
      <c r="E46" s="716">
        <f t="shared" si="11"/>
        <v>4.8728569047098436E-3</v>
      </c>
      <c r="F46" s="712">
        <f t="shared" si="13"/>
        <v>461382.86581242934</v>
      </c>
      <c r="G46" s="712">
        <f>'57'!I26*'61'!D46/10</f>
        <v>23537.566666666666</v>
      </c>
      <c r="H46" s="716">
        <f t="shared" si="12"/>
        <v>-9.8674870997439434E-3</v>
      </c>
      <c r="I46" s="713">
        <f>'59'!G27</f>
        <v>1130</v>
      </c>
      <c r="J46" s="713">
        <f>'59'!H27</f>
        <v>913</v>
      </c>
      <c r="K46" s="714">
        <f t="shared" ref="K46" si="25">((F46-F45)/F45)+K45</f>
        <v>100.47521751069289</v>
      </c>
      <c r="L46" s="714">
        <f t="shared" ref="L46" si="26">((G46-G45)/G45)+L45</f>
        <v>100.36736191950034</v>
      </c>
      <c r="M46" s="714">
        <f t="shared" ref="M46" si="27">((I46-I45)/I45)+M45</f>
        <v>100.06281645420475</v>
      </c>
      <c r="N46" s="714">
        <f t="shared" ref="N46" si="28">((J46-J45)/J45)+N45</f>
        <v>100.07746728179379</v>
      </c>
      <c r="O46" s="715">
        <f t="shared" si="3"/>
        <v>144.6470897349254</v>
      </c>
      <c r="P46" s="715">
        <f t="shared" si="4"/>
        <v>137.63853965655028</v>
      </c>
      <c r="Q46" s="715">
        <f t="shared" si="5"/>
        <v>105.11627906976744</v>
      </c>
      <c r="R46" s="715">
        <f t="shared" si="6"/>
        <v>107.66509433962264</v>
      </c>
    </row>
    <row r="47" spans="1:18" ht="18">
      <c r="A47" s="711">
        <v>44470</v>
      </c>
      <c r="B47" s="712">
        <v>2022</v>
      </c>
      <c r="C47" s="712">
        <f>'57'!G27</f>
        <v>565.97413856195249</v>
      </c>
      <c r="D47" s="712">
        <v>813.95</v>
      </c>
      <c r="E47" s="716">
        <f t="shared" si="11"/>
        <v>3.8691729515204942E-2</v>
      </c>
      <c r="F47" s="712">
        <f t="shared" ref="F47" si="29">C47*D47</f>
        <v>460674.65008250123</v>
      </c>
      <c r="G47" s="712">
        <f>'57'!I27*'61'!D47/10</f>
        <v>24002.258064516129</v>
      </c>
      <c r="H47" s="716">
        <f t="shared" si="12"/>
        <v>1.974254197259695E-2</v>
      </c>
      <c r="I47" s="713">
        <f>'59'!G28</f>
        <v>1139</v>
      </c>
      <c r="J47" s="713">
        <f>'59'!H28</f>
        <v>916</v>
      </c>
      <c r="K47" s="714">
        <f t="shared" ref="K47" si="30">((F47-F46)/F46)+K46</f>
        <v>100.47368252579768</v>
      </c>
      <c r="L47" s="714">
        <f t="shared" ref="L47" si="31">((G47-G46)/G46)+L46</f>
        <v>100.38710446147293</v>
      </c>
      <c r="M47" s="714">
        <f t="shared" ref="M47" si="32">((I47-I46)/I46)+M46</f>
        <v>100.07078105597466</v>
      </c>
      <c r="N47" s="714">
        <f t="shared" ref="N47" si="33">((J47-J46)/J46)+N46</f>
        <v>100.08075315254953</v>
      </c>
      <c r="O47" s="715">
        <f t="shared" si="3"/>
        <v>144.42505863704702</v>
      </c>
      <c r="P47" s="715">
        <f t="shared" si="4"/>
        <v>140.35587430276667</v>
      </c>
      <c r="Q47" s="715">
        <f t="shared" si="5"/>
        <v>105.95348837209302</v>
      </c>
      <c r="R47" s="715">
        <f t="shared" si="6"/>
        <v>108.01886792452831</v>
      </c>
    </row>
    <row r="48" spans="1:18" ht="18">
      <c r="A48" s="711">
        <v>44501</v>
      </c>
      <c r="B48" s="712">
        <v>2022</v>
      </c>
      <c r="C48" s="712">
        <f>'57'!G28</f>
        <v>601.55447686894615</v>
      </c>
      <c r="D48" s="712">
        <v>836.69</v>
      </c>
      <c r="E48" s="716">
        <f t="shared" si="11"/>
        <v>2.7937834019288621E-2</v>
      </c>
      <c r="F48" s="712">
        <f t="shared" ref="F48" si="34">C48*D48</f>
        <v>503314.61525147856</v>
      </c>
      <c r="G48" s="712">
        <f>'57'!I28*'61'!D48/10</f>
        <v>22974.800000000003</v>
      </c>
      <c r="H48" s="716">
        <f t="shared" si="12"/>
        <v>-4.280672517370665E-2</v>
      </c>
      <c r="I48" s="713">
        <f>'59'!G29</f>
        <v>1158</v>
      </c>
      <c r="J48" s="713">
        <f>'59'!H29</f>
        <v>922</v>
      </c>
      <c r="K48" s="714">
        <f t="shared" ref="K48" si="35">((F48-F47)/F47)+K47</f>
        <v>100.56624235117845</v>
      </c>
      <c r="L48" s="714">
        <f t="shared" ref="L48" si="36">((G48-G47)/G47)+L47</f>
        <v>100.34429773629923</v>
      </c>
      <c r="M48" s="714">
        <f t="shared" ref="M48" si="37">((I48-I47)/I47)+M47</f>
        <v>100.08746235536009</v>
      </c>
      <c r="N48" s="714">
        <f t="shared" ref="N48" si="38">((J48-J47)/J47)+N47</f>
        <v>100.08730337089014</v>
      </c>
      <c r="O48" s="715">
        <f t="shared" si="3"/>
        <v>157.79301684509758</v>
      </c>
      <c r="P48" s="715">
        <f t="shared" si="4"/>
        <v>134.34769896497284</v>
      </c>
      <c r="Q48" s="715">
        <f t="shared" si="5"/>
        <v>107.72093023255813</v>
      </c>
      <c r="R48" s="715">
        <f t="shared" si="6"/>
        <v>108.72641509433963</v>
      </c>
    </row>
    <row r="49" spans="1:18" ht="18">
      <c r="A49" s="711">
        <v>44531</v>
      </c>
      <c r="B49" s="712">
        <v>2022</v>
      </c>
      <c r="C49" s="712">
        <f>'57'!G29</f>
        <v>590.44644989820915</v>
      </c>
      <c r="D49" s="712">
        <v>849.12</v>
      </c>
      <c r="E49" s="716">
        <f t="shared" si="11"/>
        <v>1.4856159389977197E-2</v>
      </c>
      <c r="F49" s="712">
        <f t="shared" ref="F49" si="39">C49*D49</f>
        <v>501359.88953756733</v>
      </c>
      <c r="G49" s="712">
        <f>'57'!I29*'61'!D49/10</f>
        <v>23369.677419354837</v>
      </c>
      <c r="H49" s="716">
        <f t="shared" si="12"/>
        <v>1.7187414878685914E-2</v>
      </c>
      <c r="I49" s="713">
        <f>'59'!G30</f>
        <v>1184</v>
      </c>
      <c r="J49" s="713">
        <f>'59'!H30</f>
        <v>929</v>
      </c>
      <c r="K49" s="714">
        <f t="shared" ref="K49" si="40">((F49-F48)/F48)+K48</f>
        <v>100.56235864572925</v>
      </c>
      <c r="L49" s="714">
        <f t="shared" ref="L49" si="41">((G49-G48)/G48)+L48</f>
        <v>100.36148515117792</v>
      </c>
      <c r="M49" s="714">
        <f t="shared" ref="M49" si="42">((I49-I48)/I48)+M48</f>
        <v>100.10991485967787</v>
      </c>
      <c r="N49" s="714">
        <f>((J49-J48)/J48)+N48</f>
        <v>100.09489556177951</v>
      </c>
      <c r="O49" s="715">
        <f t="shared" si="3"/>
        <v>157.18019524573151</v>
      </c>
      <c r="P49" s="715">
        <f t="shared" si="4"/>
        <v>136.65678860508061</v>
      </c>
      <c r="Q49" s="715">
        <f t="shared" si="5"/>
        <v>110.13953488372093</v>
      </c>
      <c r="R49" s="715">
        <f t="shared" si="6"/>
        <v>109.55188679245282</v>
      </c>
    </row>
    <row r="50" spans="1:18" ht="18">
      <c r="A50" s="711">
        <v>44562</v>
      </c>
      <c r="B50" s="712">
        <v>2022</v>
      </c>
      <c r="C50" s="712">
        <f>'57'!G30</f>
        <v>558.27043492401322</v>
      </c>
      <c r="D50" s="712">
        <v>822.05</v>
      </c>
      <c r="E50" s="716">
        <f t="shared" si="11"/>
        <v>-3.1880064066327596E-2</v>
      </c>
      <c r="F50" s="712">
        <f t="shared" ref="F50" si="43">C50*D50</f>
        <v>458926.21102928504</v>
      </c>
      <c r="G50" s="712">
        <f>'57'!I30*'61'!D50/10</f>
        <v>21899.566666666666</v>
      </c>
      <c r="H50" s="716">
        <f t="shared" si="12"/>
        <v>-6.2906762738223376E-2</v>
      </c>
      <c r="I50" s="713">
        <f>'59'!G31</f>
        <v>1195</v>
      </c>
      <c r="J50" s="713">
        <f>'59'!H31</f>
        <v>901</v>
      </c>
      <c r="K50" s="714">
        <f t="shared" ref="K50" si="44">((F50-F49)/F49)+K49</f>
        <v>100.47772148309659</v>
      </c>
      <c r="L50" s="714">
        <f t="shared" ref="L50" si="45">((G50-G49)/G49)+L49</f>
        <v>100.29857838843969</v>
      </c>
      <c r="M50" s="714">
        <f t="shared" ref="M50" si="46">((I50-I49)/I49)+M49</f>
        <v>100.11920540021842</v>
      </c>
      <c r="N50" s="714">
        <f t="shared" ref="N50" si="47">((J50-J49)/J49)+N49</f>
        <v>100.06475562636508</v>
      </c>
      <c r="O50" s="715">
        <f t="shared" si="3"/>
        <v>143.87690949808567</v>
      </c>
      <c r="P50" s="715">
        <f t="shared" si="4"/>
        <v>128.06015242773327</v>
      </c>
      <c r="Q50" s="715">
        <f t="shared" si="5"/>
        <v>111.16279069767442</v>
      </c>
      <c r="R50" s="715">
        <f t="shared" si="6"/>
        <v>106.25</v>
      </c>
    </row>
    <row r="51" spans="1:18" ht="18">
      <c r="A51" s="711">
        <v>44593</v>
      </c>
      <c r="B51" s="712">
        <v>2022</v>
      </c>
      <c r="C51" s="712">
        <f>'57'!G31</f>
        <v>546.3050779635397</v>
      </c>
      <c r="D51" s="712">
        <v>807.07</v>
      </c>
      <c r="E51" s="716">
        <f t="shared" si="11"/>
        <v>-1.8222735843318461E-2</v>
      </c>
      <c r="F51" s="712">
        <f>C51*D51</f>
        <v>440906.43927203404</v>
      </c>
      <c r="G51" s="712">
        <f>'57'!I31*'61'!D51/10</f>
        <v>22133</v>
      </c>
      <c r="H51" s="716">
        <f t="shared" si="12"/>
        <v>1.0659267230554104E-2</v>
      </c>
      <c r="I51" s="713">
        <f>'59'!G32</f>
        <v>1158</v>
      </c>
      <c r="J51" s="713">
        <f>'59'!H32</f>
        <v>922</v>
      </c>
      <c r="K51" s="714">
        <f>((F51-F50)/F50)+K50</f>
        <v>100.4384564088337</v>
      </c>
      <c r="L51" s="714">
        <f>((G51-G50)/G50)+L50</f>
        <v>100.30923765567024</v>
      </c>
      <c r="M51" s="714">
        <f t="shared" ref="M51" si="48">((I51-I50)/I50)+M50</f>
        <v>100.08824305712218</v>
      </c>
      <c r="N51" s="714">
        <f t="shared" ref="N51" si="49">((J51-J50)/J50)+N50</f>
        <v>100.08806306254711</v>
      </c>
      <c r="O51" s="715">
        <f t="shared" si="3"/>
        <v>138.22757196192839</v>
      </c>
      <c r="P51" s="715">
        <f t="shared" si="4"/>
        <v>129.42517981404595</v>
      </c>
      <c r="Q51" s="715">
        <f t="shared" si="5"/>
        <v>107.72093023255813</v>
      </c>
      <c r="R51" s="715">
        <f t="shared" si="6"/>
        <v>108.72641509433963</v>
      </c>
    </row>
    <row r="52" spans="1:18" ht="18">
      <c r="A52" s="711">
        <v>44621</v>
      </c>
      <c r="B52" s="712">
        <v>2022</v>
      </c>
      <c r="C52" s="712">
        <f>'57'!G32</f>
        <v>545.80731285261425</v>
      </c>
      <c r="D52" s="712">
        <v>799.19</v>
      </c>
      <c r="E52" s="716">
        <f>D52/D51-1</f>
        <v>-9.7637131847299052E-3</v>
      </c>
      <c r="F52" s="712">
        <f>C52*D52</f>
        <v>436203.74635868083</v>
      </c>
      <c r="G52" s="712">
        <f>'57'!I32*'61'!D52/10</f>
        <v>23528.290322580644</v>
      </c>
      <c r="H52" s="716">
        <f>G52/G51-1</f>
        <v>6.3041174833083913E-2</v>
      </c>
      <c r="I52" s="713">
        <f>'59'!G33</f>
        <v>1224</v>
      </c>
      <c r="J52" s="713">
        <f>'59'!H33</f>
        <v>951</v>
      </c>
      <c r="K52" s="714">
        <f t="shared" ref="K52:K53" si="50">((F52-F51)/F51)+K51</f>
        <v>100.42779044323538</v>
      </c>
      <c r="L52" s="714">
        <f t="shared" ref="L52:L53" si="51">((G52-G51)/G51)+L51</f>
        <v>100.37227883050333</v>
      </c>
      <c r="M52" s="714">
        <f t="shared" ref="M52:M53" si="52">((I52-I51)/I51)+M51</f>
        <v>100.14523787577504</v>
      </c>
      <c r="N52" s="714">
        <f t="shared" ref="N52" si="53">((J52-J51)/J51)+N51</f>
        <v>100.11951642480307</v>
      </c>
      <c r="O52" s="715">
        <f>$O$2+(F52/$F$2-1)*100</f>
        <v>136.7532414346432</v>
      </c>
      <c r="P52" s="715">
        <f t="shared" si="4"/>
        <v>137.58429520250655</v>
      </c>
      <c r="Q52" s="715">
        <f t="shared" si="5"/>
        <v>113.86046511627907</v>
      </c>
      <c r="R52" s="715">
        <f t="shared" si="6"/>
        <v>112.14622641509433</v>
      </c>
    </row>
    <row r="53" spans="1:18" ht="18">
      <c r="A53" s="711">
        <v>44652</v>
      </c>
      <c r="B53" s="712">
        <v>2022</v>
      </c>
      <c r="C53" s="712">
        <f>'57'!G33</f>
        <v>549.72457402147984</v>
      </c>
      <c r="D53" s="712">
        <v>815.12</v>
      </c>
      <c r="E53" s="716">
        <f>D53/D52-1</f>
        <v>1.9932681840363342E-2</v>
      </c>
      <c r="F53" s="712">
        <f>C53*D53</f>
        <v>448091.49477638863</v>
      </c>
      <c r="G53" s="712">
        <f>'57'!I33*'61'!D53/10</f>
        <v>24813.696162693675</v>
      </c>
      <c r="H53" s="716">
        <f>G53/G52-1</f>
        <v>5.4632352053195943E-2</v>
      </c>
      <c r="I53" s="713">
        <f>'59'!G34</f>
        <v>1341</v>
      </c>
      <c r="J53" s="713">
        <f>'59'!H34</f>
        <v>951</v>
      </c>
      <c r="K53" s="714">
        <f t="shared" si="50"/>
        <v>100.45504318582859</v>
      </c>
      <c r="L53" s="714">
        <f t="shared" si="51"/>
        <v>100.42691118255652</v>
      </c>
      <c r="M53" s="714">
        <f t="shared" si="52"/>
        <v>100.24082611106915</v>
      </c>
      <c r="N53" s="714">
        <f>((J53-J52)/J52)+N52</f>
        <v>100.11951642480307</v>
      </c>
      <c r="O53" s="715">
        <f>$O$2+(F53/$F$2-1)*100</f>
        <v>140.48014232224889</v>
      </c>
      <c r="P53" s="715">
        <f t="shared" ref="P53" si="54">$P$2+(G53/$G$2-1)*100</f>
        <v>145.10084885500075</v>
      </c>
      <c r="Q53" s="715">
        <f t="shared" ref="Q53" si="55">$Q$2+(I53/$I$2-1)*100</f>
        <v>124.74418604651163</v>
      </c>
      <c r="R53" s="715">
        <f t="shared" ref="R53" si="56">$R$2+(J53/$J$2-1)*100</f>
        <v>112.14622641509433</v>
      </c>
    </row>
    <row r="54" spans="1:18" ht="18">
      <c r="A54" s="711">
        <v>44682</v>
      </c>
      <c r="B54" s="712">
        <v>2022</v>
      </c>
      <c r="C54" s="712">
        <f>'57'!G34</f>
        <v>564.81641387732293</v>
      </c>
      <c r="D54" s="712">
        <v>849.39</v>
      </c>
      <c r="E54" s="716">
        <f>D54/D53-1</f>
        <v>4.2042889390519145E-2</v>
      </c>
      <c r="F54" s="712">
        <f>C54*D54</f>
        <v>479749.41378325934</v>
      </c>
      <c r="G54" s="712">
        <f>'57'!I34*'61'!D54/10</f>
        <v>25178.87020352346</v>
      </c>
      <c r="H54" s="716">
        <f>G54/G53-1</f>
        <v>1.4716632235499461E-2</v>
      </c>
      <c r="I54" s="713">
        <f>'59'!G35</f>
        <v>1353</v>
      </c>
      <c r="J54" s="713">
        <f>'59'!H35</f>
        <v>992</v>
      </c>
      <c r="K54" s="714">
        <f t="shared" ref="K54" si="57">((F54-F53)/F53)+K53</f>
        <v>100.52569375468768</v>
      </c>
      <c r="L54" s="714">
        <f t="shared" ref="L54" si="58">((G54-G53)/G53)+L53</f>
        <v>100.44162781479203</v>
      </c>
      <c r="M54" s="714">
        <f t="shared" ref="M54" si="59">((I54-I53)/I53)+M53</f>
        <v>100.24977465693046</v>
      </c>
      <c r="N54" s="714">
        <f>((J54-J53)/J53)+N53</f>
        <v>100.16262893794712</v>
      </c>
      <c r="O54" s="715">
        <f>$O$2+(F54/$F$2-1)*100</f>
        <v>150.40514429072135</v>
      </c>
      <c r="P54" s="715">
        <f t="shared" ref="P54" si="60">$P$2+(G54/$G$2-1)*100</f>
        <v>147.23624468465857</v>
      </c>
      <c r="Q54" s="715">
        <f t="shared" ref="Q54" si="61">$Q$2+(I54/$I$2-1)*100</f>
        <v>125.86046511627906</v>
      </c>
      <c r="R54" s="715">
        <f t="shared" ref="R54" si="62">$R$2+(J54/$J$2-1)*100</f>
        <v>116.98113207547169</v>
      </c>
    </row>
    <row r="55" spans="1:18" ht="18">
      <c r="A55" s="711">
        <v>44713</v>
      </c>
      <c r="B55" s="712">
        <v>2022</v>
      </c>
      <c r="C55" s="712">
        <f>'57'!G35</f>
        <v>564.44130170328856</v>
      </c>
      <c r="D55" s="712">
        <v>857.77</v>
      </c>
      <c r="E55" s="716">
        <f>D55/D54-1</f>
        <v>9.865903766232309E-3</v>
      </c>
      <c r="F55" s="712">
        <f>C55*D55</f>
        <v>484160.81536202983</v>
      </c>
      <c r="G55" s="712">
        <f>'57'!I35*'61'!D55/10</f>
        <v>25243.643647927856</v>
      </c>
      <c r="H55" s="716">
        <f>G55/G54-1</f>
        <v>2.5725318046769807E-3</v>
      </c>
      <c r="I55" s="713">
        <f>'59'!G36</f>
        <v>1360</v>
      </c>
      <c r="J55" s="713">
        <f>'59'!H36</f>
        <v>1020</v>
      </c>
      <c r="K55" s="714">
        <f t="shared" ref="K55" si="63">((F55-F54)/F54)+K54</f>
        <v>100.53488897505071</v>
      </c>
      <c r="L55" s="714">
        <f t="shared" ref="L55" si="64">((G55-G54)/G54)+L54</f>
        <v>100.4442003465967</v>
      </c>
      <c r="M55" s="714">
        <f t="shared" ref="M55" si="65">((I55-I54)/I54)+M54</f>
        <v>100.25494834503097</v>
      </c>
      <c r="N55" s="714">
        <f>((J55-J54)/J54)+N54</f>
        <v>100.19085474439873</v>
      </c>
      <c r="O55" s="715">
        <f>$O$2+(F55/$F$2-1)*100</f>
        <v>151.78815273620754</v>
      </c>
      <c r="P55" s="715">
        <f t="shared" ref="P55" si="66">$P$2+(G55/$G$2-1)*100</f>
        <v>147.61501460691105</v>
      </c>
      <c r="Q55" s="715">
        <f t="shared" ref="Q55" si="67">$Q$2+(I55/$I$2-1)*100</f>
        <v>126.51162790697674</v>
      </c>
      <c r="R55" s="715">
        <f t="shared" ref="R55" si="68">$R$2+(J55/$J$2-1)*100</f>
        <v>120.28301886792451</v>
      </c>
    </row>
    <row r="56" spans="1:18" ht="18">
      <c r="A56" s="711">
        <v>44743</v>
      </c>
      <c r="B56" s="712">
        <v>2022</v>
      </c>
      <c r="C56" s="712">
        <f>'57'!G36</f>
        <v>577.65817942935189</v>
      </c>
      <c r="D56" s="712">
        <v>953.71</v>
      </c>
      <c r="E56" s="716">
        <f>D56/D55-1</f>
        <v>0.11184816442636136</v>
      </c>
      <c r="F56" s="712">
        <f t="shared" ref="F56" si="69">C56*D56</f>
        <v>550918.38230356725</v>
      </c>
      <c r="G56" s="712">
        <f>'57'!I36*'61'!D56/10</f>
        <v>27855.376396058222</v>
      </c>
      <c r="H56" s="716">
        <f>G56/G55-1</f>
        <v>0.10346100525566371</v>
      </c>
      <c r="I56" s="713">
        <f>'59'!G37</f>
        <v>1393</v>
      </c>
      <c r="J56" s="713">
        <f>'59'!H37</f>
        <v>1000</v>
      </c>
      <c r="K56" s="714">
        <f t="shared" ref="K56" si="70">((F56-F55)/F55)+K55</f>
        <v>100.67277201891417</v>
      </c>
      <c r="L56" s="714">
        <f t="shared" ref="L56" si="71">((G56-G55)/G55)+L55</f>
        <v>100.54766135185237</v>
      </c>
      <c r="M56" s="714">
        <f t="shared" ref="M56" si="72">((I56-I55)/I55)+M55</f>
        <v>100.27921305091333</v>
      </c>
      <c r="N56" s="714">
        <f>((J56-J55)/J55)+N55</f>
        <v>100.17124690126148</v>
      </c>
      <c r="O56" s="715">
        <f>$O$2+(F56/$F$2-1)*100</f>
        <v>172.71716525788952</v>
      </c>
      <c r="P56" s="715">
        <f t="shared" ref="P56" si="73">$P$2+(G56/$G$2-1)*100</f>
        <v>162.88741240897153</v>
      </c>
      <c r="Q56" s="715">
        <f t="shared" ref="Q56" si="74">$Q$2+(I56/$I$2-1)*100</f>
        <v>129.58139534883722</v>
      </c>
      <c r="R56" s="715">
        <f t="shared" ref="R56" si="75">$R$2+(J56/$J$2-1)*100</f>
        <v>117.9245283018868</v>
      </c>
    </row>
    <row r="57" spans="1:18" ht="18">
      <c r="A57" s="711"/>
      <c r="B57" s="712"/>
      <c r="C57" s="712"/>
      <c r="D57" s="712"/>
      <c r="E57" s="712"/>
      <c r="F57" s="712"/>
      <c r="G57" s="712"/>
      <c r="H57" s="712"/>
      <c r="I57" s="713"/>
      <c r="J57" s="713"/>
      <c r="K57" s="713"/>
      <c r="L57" s="713"/>
      <c r="M57" s="713"/>
      <c r="N57" s="713"/>
    </row>
    <row r="58" spans="1:18" ht="18">
      <c r="A58" s="712"/>
      <c r="B58" s="712"/>
      <c r="C58" s="712"/>
      <c r="D58" s="712"/>
      <c r="E58" s="712"/>
      <c r="F58" s="712"/>
      <c r="G58" s="712"/>
      <c r="H58" s="712"/>
      <c r="I58" s="713"/>
      <c r="J58" s="713"/>
      <c r="K58" s="713"/>
      <c r="L58" s="713"/>
      <c r="M58" s="713"/>
      <c r="N58" s="713"/>
    </row>
    <row r="59" spans="1:18" ht="18">
      <c r="A59" s="712"/>
      <c r="B59" s="712"/>
      <c r="C59" s="712"/>
      <c r="D59" s="712"/>
      <c r="E59" s="712"/>
      <c r="F59" s="712"/>
      <c r="G59" s="712"/>
      <c r="H59" s="712"/>
      <c r="I59" s="713"/>
      <c r="J59" s="713"/>
      <c r="K59" s="713"/>
      <c r="L59" s="713"/>
      <c r="M59" s="713"/>
      <c r="N59" s="713"/>
    </row>
    <row r="60" spans="1:18" ht="18">
      <c r="A60" s="712"/>
      <c r="B60" s="712"/>
      <c r="C60" s="712"/>
      <c r="D60" s="712"/>
      <c r="E60" s="712"/>
      <c r="F60" s="712"/>
      <c r="G60" s="712"/>
      <c r="H60" s="712"/>
      <c r="I60" s="713"/>
      <c r="J60" s="713"/>
      <c r="K60" s="713"/>
      <c r="L60" s="713"/>
      <c r="M60" s="713"/>
      <c r="N60" s="713"/>
    </row>
    <row r="61" spans="1:18" ht="18">
      <c r="A61" s="712"/>
      <c r="B61" s="712"/>
      <c r="C61" s="712"/>
      <c r="D61" s="712"/>
      <c r="E61" s="712"/>
      <c r="F61" s="712"/>
      <c r="G61" s="712"/>
      <c r="H61" s="712"/>
      <c r="I61" s="713"/>
      <c r="J61" s="713"/>
      <c r="K61" s="713"/>
      <c r="L61" s="713"/>
      <c r="M61" s="713"/>
      <c r="N61" s="713"/>
    </row>
    <row r="62" spans="1:18" ht="18">
      <c r="A62" s="712"/>
      <c r="B62" s="712"/>
      <c r="C62" s="712"/>
      <c r="D62" s="712"/>
      <c r="E62" s="712"/>
      <c r="F62" s="712"/>
      <c r="G62" s="712"/>
      <c r="H62" s="712"/>
      <c r="I62" s="713"/>
      <c r="J62" s="713"/>
      <c r="K62" s="713"/>
      <c r="L62" s="713"/>
      <c r="M62" s="713"/>
      <c r="N62" s="713"/>
    </row>
    <row r="63" spans="1:18" ht="18">
      <c r="A63" s="712"/>
      <c r="B63" s="712"/>
      <c r="C63" s="712"/>
      <c r="D63" s="712"/>
      <c r="E63" s="712"/>
      <c r="F63" s="712"/>
      <c r="G63" s="712"/>
      <c r="H63" s="712"/>
      <c r="I63" s="713"/>
      <c r="J63" s="713"/>
      <c r="K63" s="713"/>
      <c r="L63" s="713"/>
      <c r="M63" s="713"/>
      <c r="N63" s="713"/>
    </row>
    <row r="64" spans="1:18" ht="18">
      <c r="A64" s="712"/>
      <c r="B64" s="712"/>
      <c r="C64" s="712"/>
      <c r="D64" s="712"/>
      <c r="E64" s="712"/>
      <c r="F64" s="712"/>
      <c r="G64" s="712"/>
      <c r="H64" s="712"/>
      <c r="I64" s="713"/>
      <c r="J64" s="713"/>
      <c r="K64" s="713"/>
      <c r="L64" s="713"/>
      <c r="M64" s="713"/>
      <c r="N64" s="713"/>
    </row>
    <row r="65" spans="1:14" ht="18">
      <c r="A65" s="713"/>
      <c r="B65" s="713"/>
      <c r="C65" s="713"/>
      <c r="D65" s="713"/>
      <c r="E65" s="713"/>
      <c r="F65" s="713"/>
      <c r="G65" s="713"/>
      <c r="H65" s="713"/>
      <c r="I65" s="713"/>
      <c r="J65" s="713"/>
      <c r="K65" s="713"/>
      <c r="L65" s="713"/>
      <c r="M65" s="713"/>
      <c r="N65" s="713"/>
    </row>
    <row r="66" spans="1:14" ht="18">
      <c r="A66" s="713"/>
      <c r="B66" s="713"/>
      <c r="C66" s="713"/>
      <c r="D66" s="713"/>
      <c r="E66" s="713"/>
      <c r="F66" s="713"/>
      <c r="G66" s="713"/>
      <c r="H66" s="713"/>
      <c r="I66" s="713"/>
      <c r="J66" s="713"/>
      <c r="K66" s="713"/>
      <c r="L66" s="713"/>
      <c r="M66" s="713"/>
      <c r="N66" s="713"/>
    </row>
    <row r="67" spans="1:14" ht="18">
      <c r="A67" s="713"/>
      <c r="B67" s="713"/>
      <c r="C67" s="713"/>
      <c r="D67" s="713"/>
      <c r="E67" s="713"/>
      <c r="F67" s="713"/>
      <c r="G67" s="713"/>
      <c r="H67" s="713"/>
      <c r="I67" s="713"/>
      <c r="J67" s="713"/>
      <c r="K67" s="713"/>
      <c r="L67" s="713"/>
      <c r="M67" s="713"/>
      <c r="N67" s="713"/>
    </row>
    <row r="68" spans="1:14" ht="18">
      <c r="A68" s="713"/>
      <c r="B68" s="713"/>
      <c r="C68" s="713"/>
      <c r="D68" s="713"/>
      <c r="E68" s="713"/>
      <c r="F68" s="713"/>
      <c r="G68" s="713"/>
      <c r="H68" s="713"/>
      <c r="I68" s="713"/>
      <c r="J68" s="713"/>
      <c r="K68" s="713"/>
      <c r="L68" s="713"/>
      <c r="M68" s="713"/>
      <c r="N68" s="713"/>
    </row>
    <row r="69" spans="1:14" ht="18">
      <c r="A69" s="713"/>
      <c r="B69" s="713"/>
      <c r="C69" s="713"/>
      <c r="D69" s="713"/>
      <c r="E69" s="713"/>
      <c r="F69" s="713"/>
      <c r="G69" s="713"/>
      <c r="H69" s="713"/>
      <c r="I69" s="713"/>
      <c r="J69" s="713"/>
      <c r="K69" s="713"/>
      <c r="L69" s="713"/>
      <c r="M69" s="713"/>
      <c r="N69" s="713"/>
    </row>
    <row r="70" spans="1:14" ht="18">
      <c r="A70" s="713"/>
      <c r="B70" s="713"/>
      <c r="C70" s="713"/>
      <c r="D70" s="713"/>
      <c r="E70" s="713"/>
      <c r="F70" s="713"/>
      <c r="G70" s="713"/>
      <c r="H70" s="713"/>
      <c r="I70" s="713"/>
      <c r="J70" s="713"/>
      <c r="K70" s="713"/>
      <c r="L70" s="713"/>
      <c r="M70" s="713"/>
      <c r="N70" s="713"/>
    </row>
    <row r="71" spans="1:14" ht="18">
      <c r="A71" s="713"/>
      <c r="B71" s="713"/>
      <c r="C71" s="713"/>
      <c r="D71" s="713"/>
      <c r="E71" s="713"/>
      <c r="F71" s="713"/>
      <c r="G71" s="713"/>
      <c r="H71" s="713"/>
      <c r="I71" s="713"/>
      <c r="J71" s="713"/>
      <c r="K71" s="713"/>
      <c r="L71" s="713"/>
      <c r="M71" s="713"/>
      <c r="N71" s="713"/>
    </row>
    <row r="72" spans="1:14" ht="18">
      <c r="A72" s="713"/>
      <c r="B72" s="713"/>
      <c r="C72" s="713"/>
      <c r="D72" s="713"/>
      <c r="E72" s="713"/>
      <c r="F72" s="713"/>
      <c r="G72" s="713"/>
      <c r="H72" s="713"/>
      <c r="I72" s="713"/>
      <c r="J72" s="713"/>
      <c r="K72" s="713"/>
      <c r="L72" s="713"/>
      <c r="M72" s="713"/>
      <c r="N72" s="713"/>
    </row>
    <row r="73" spans="1:14" ht="18">
      <c r="A73" s="713"/>
      <c r="B73" s="713"/>
      <c r="C73" s="713"/>
      <c r="D73" s="713"/>
      <c r="E73" s="713"/>
      <c r="F73" s="713"/>
      <c r="G73" s="713"/>
      <c r="H73" s="713"/>
      <c r="I73" s="713"/>
      <c r="J73" s="713"/>
      <c r="K73" s="713"/>
      <c r="L73" s="713"/>
      <c r="M73" s="713"/>
      <c r="N73" s="713"/>
    </row>
    <row r="74" spans="1:14" ht="18">
      <c r="A74" s="713"/>
      <c r="B74" s="713"/>
      <c r="C74" s="713"/>
      <c r="D74" s="713"/>
      <c r="E74" s="713"/>
      <c r="F74" s="713"/>
      <c r="G74" s="713"/>
      <c r="H74" s="713"/>
      <c r="I74" s="713"/>
      <c r="J74" s="713"/>
      <c r="K74" s="713"/>
      <c r="L74" s="713"/>
      <c r="M74" s="713"/>
      <c r="N74" s="713"/>
    </row>
    <row r="75" spans="1:14" ht="18">
      <c r="A75" s="713"/>
      <c r="B75" s="713"/>
      <c r="C75" s="713"/>
      <c r="D75" s="713"/>
      <c r="E75" s="713"/>
      <c r="F75" s="713"/>
      <c r="G75" s="713"/>
      <c r="H75" s="713"/>
      <c r="I75" s="713"/>
      <c r="J75" s="713"/>
      <c r="K75" s="713"/>
      <c r="L75" s="713"/>
      <c r="M75" s="713"/>
      <c r="N75" s="713"/>
    </row>
    <row r="76" spans="1:14" ht="18">
      <c r="A76" s="713"/>
      <c r="B76" s="713"/>
      <c r="C76" s="713"/>
      <c r="D76" s="713"/>
      <c r="E76" s="713"/>
      <c r="F76" s="713"/>
      <c r="G76" s="713"/>
      <c r="H76" s="713"/>
      <c r="I76" s="713"/>
      <c r="J76" s="713"/>
      <c r="K76" s="713"/>
      <c r="L76" s="713"/>
      <c r="M76" s="713"/>
      <c r="N76" s="713"/>
    </row>
    <row r="77" spans="1:14" ht="18">
      <c r="A77" s="713"/>
      <c r="B77" s="713"/>
      <c r="C77" s="713"/>
      <c r="D77" s="713"/>
      <c r="E77" s="713"/>
      <c r="F77" s="713"/>
      <c r="G77" s="713"/>
      <c r="H77" s="713"/>
      <c r="I77" s="713"/>
      <c r="J77" s="713"/>
      <c r="K77" s="713"/>
      <c r="L77" s="713"/>
      <c r="M77" s="713"/>
      <c r="N77" s="713"/>
    </row>
    <row r="78" spans="1:14" ht="18">
      <c r="A78" s="713"/>
      <c r="B78" s="713"/>
      <c r="C78" s="713"/>
      <c r="D78" s="713"/>
      <c r="E78" s="713"/>
      <c r="F78" s="713"/>
      <c r="G78" s="713"/>
      <c r="H78" s="713"/>
      <c r="I78" s="713"/>
      <c r="J78" s="713"/>
      <c r="K78" s="713"/>
      <c r="L78" s="713"/>
      <c r="M78" s="713"/>
      <c r="N78" s="713"/>
    </row>
    <row r="79" spans="1:14" ht="18">
      <c r="A79" s="713"/>
      <c r="B79" s="713"/>
      <c r="C79" s="713"/>
      <c r="D79" s="713"/>
      <c r="E79" s="713"/>
      <c r="F79" s="713"/>
      <c r="G79" s="713"/>
      <c r="H79" s="713"/>
      <c r="I79" s="713"/>
      <c r="J79" s="713"/>
      <c r="K79" s="713"/>
      <c r="L79" s="713"/>
      <c r="M79" s="713"/>
      <c r="N79" s="713"/>
    </row>
    <row r="80" spans="1:14" ht="18">
      <c r="A80" s="713"/>
      <c r="B80" s="713"/>
      <c r="C80" s="713"/>
      <c r="D80" s="713"/>
      <c r="E80" s="713"/>
      <c r="F80" s="713"/>
      <c r="G80" s="713"/>
      <c r="H80" s="713"/>
      <c r="I80" s="713"/>
      <c r="J80" s="713"/>
      <c r="K80" s="713"/>
      <c r="L80" s="713"/>
      <c r="M80" s="713"/>
      <c r="N80" s="713"/>
    </row>
    <row r="81" spans="1:14" ht="18">
      <c r="A81" s="713"/>
      <c r="B81" s="713"/>
      <c r="C81" s="713"/>
      <c r="D81" s="713"/>
      <c r="E81" s="713"/>
      <c r="F81" s="713"/>
      <c r="G81" s="713"/>
      <c r="H81" s="713"/>
      <c r="I81" s="713"/>
      <c r="J81" s="713"/>
      <c r="K81" s="713"/>
      <c r="L81" s="713"/>
      <c r="M81" s="713"/>
      <c r="N81" s="713"/>
    </row>
    <row r="82" spans="1:14" ht="18">
      <c r="A82" s="713"/>
      <c r="B82" s="713"/>
      <c r="C82" s="713"/>
      <c r="D82" s="713"/>
      <c r="E82" s="713"/>
      <c r="F82" s="713"/>
      <c r="G82" s="713"/>
      <c r="H82" s="713"/>
      <c r="I82" s="713"/>
      <c r="J82" s="713"/>
      <c r="K82" s="713"/>
      <c r="L82" s="713"/>
      <c r="M82" s="713"/>
      <c r="N82" s="713"/>
    </row>
    <row r="83" spans="1:14" ht="18">
      <c r="A83" s="713"/>
      <c r="B83" s="713"/>
      <c r="C83" s="713"/>
      <c r="D83" s="713"/>
      <c r="E83" s="713"/>
      <c r="F83" s="713"/>
      <c r="G83" s="713"/>
      <c r="H83" s="713"/>
      <c r="I83" s="713"/>
      <c r="J83" s="713"/>
      <c r="K83" s="713"/>
      <c r="L83" s="713"/>
      <c r="M83" s="713"/>
      <c r="N83" s="713"/>
    </row>
    <row r="84" spans="1:14" ht="18">
      <c r="A84" s="713"/>
      <c r="B84" s="713"/>
      <c r="C84" s="713"/>
      <c r="D84" s="713"/>
      <c r="E84" s="713"/>
      <c r="F84" s="713"/>
      <c r="G84" s="713"/>
      <c r="H84" s="713"/>
      <c r="I84" s="713"/>
      <c r="J84" s="713"/>
      <c r="K84" s="713"/>
      <c r="L84" s="713"/>
      <c r="M84" s="713"/>
      <c r="N84" s="713"/>
    </row>
    <row r="85" spans="1:14" ht="18">
      <c r="A85" s="713"/>
      <c r="B85" s="713"/>
      <c r="C85" s="713"/>
      <c r="D85" s="713"/>
      <c r="E85" s="713"/>
      <c r="F85" s="713"/>
      <c r="G85" s="713"/>
      <c r="H85" s="713"/>
      <c r="I85" s="713"/>
      <c r="J85" s="713"/>
      <c r="K85" s="713"/>
      <c r="L85" s="713"/>
      <c r="M85" s="713"/>
      <c r="N85" s="713"/>
    </row>
    <row r="86" spans="1:14" ht="18">
      <c r="A86" s="713"/>
      <c r="B86" s="713"/>
      <c r="C86" s="713"/>
      <c r="D86" s="713"/>
      <c r="E86" s="713"/>
      <c r="F86" s="713"/>
      <c r="G86" s="713"/>
      <c r="H86" s="713"/>
      <c r="I86" s="713"/>
      <c r="J86" s="713"/>
      <c r="K86" s="713"/>
      <c r="L86" s="713"/>
      <c r="M86" s="713"/>
      <c r="N86" s="713"/>
    </row>
    <row r="87" spans="1:14" ht="18">
      <c r="A87" s="713"/>
      <c r="B87" s="713"/>
      <c r="C87" s="713"/>
      <c r="D87" s="713"/>
      <c r="E87" s="713"/>
      <c r="F87" s="713"/>
      <c r="G87" s="713"/>
      <c r="H87" s="713"/>
      <c r="I87" s="713"/>
      <c r="J87" s="713"/>
      <c r="K87" s="713"/>
      <c r="L87" s="713"/>
      <c r="M87" s="713"/>
      <c r="N87" s="713"/>
    </row>
    <row r="88" spans="1:14" ht="18">
      <c r="A88" s="713"/>
      <c r="B88" s="713"/>
      <c r="C88" s="713"/>
      <c r="D88" s="713"/>
      <c r="E88" s="713"/>
      <c r="F88" s="713"/>
      <c r="G88" s="713"/>
      <c r="H88" s="713"/>
      <c r="I88" s="713"/>
      <c r="J88" s="713"/>
      <c r="K88" s="713"/>
      <c r="L88" s="713"/>
      <c r="M88" s="713"/>
      <c r="N88" s="713"/>
    </row>
    <row r="89" spans="1:14" ht="18">
      <c r="A89" s="713"/>
      <c r="B89" s="713"/>
      <c r="C89" s="713"/>
      <c r="D89" s="713"/>
      <c r="E89" s="713"/>
      <c r="F89" s="713"/>
      <c r="G89" s="713"/>
      <c r="H89" s="713"/>
      <c r="I89" s="713"/>
      <c r="J89" s="713"/>
      <c r="K89" s="713"/>
      <c r="L89" s="713"/>
      <c r="M89" s="713"/>
      <c r="N89" s="713"/>
    </row>
    <row r="90" spans="1:14" ht="18">
      <c r="A90" s="713"/>
      <c r="B90" s="713"/>
      <c r="C90" s="713"/>
      <c r="D90" s="713"/>
      <c r="E90" s="713"/>
      <c r="F90" s="713"/>
      <c r="G90" s="713"/>
      <c r="H90" s="713"/>
      <c r="I90" s="713"/>
      <c r="J90" s="713"/>
      <c r="K90" s="713"/>
      <c r="L90" s="713"/>
      <c r="M90" s="713"/>
      <c r="N90" s="713"/>
    </row>
    <row r="91" spans="1:14" ht="18">
      <c r="A91" s="713"/>
      <c r="B91" s="713"/>
      <c r="C91" s="713"/>
      <c r="D91" s="713"/>
      <c r="E91" s="713"/>
      <c r="F91" s="713"/>
      <c r="G91" s="713"/>
      <c r="H91" s="713"/>
      <c r="I91" s="713"/>
      <c r="J91" s="713"/>
      <c r="K91" s="713"/>
      <c r="L91" s="713"/>
      <c r="M91" s="713"/>
      <c r="N91" s="713"/>
    </row>
    <row r="92" spans="1:14" ht="18">
      <c r="A92" s="713"/>
      <c r="B92" s="713"/>
      <c r="C92" s="713"/>
      <c r="D92" s="713"/>
      <c r="E92" s="713"/>
      <c r="F92" s="713"/>
      <c r="G92" s="713"/>
      <c r="H92" s="713"/>
      <c r="I92" s="713"/>
      <c r="J92" s="713"/>
      <c r="K92" s="713"/>
      <c r="L92" s="713"/>
      <c r="M92" s="713"/>
      <c r="N92" s="713"/>
    </row>
    <row r="93" spans="1:14" ht="18">
      <c r="A93" s="713"/>
      <c r="B93" s="713"/>
      <c r="C93" s="713"/>
      <c r="D93" s="713"/>
      <c r="E93" s="713"/>
      <c r="F93" s="713"/>
      <c r="G93" s="713"/>
      <c r="H93" s="713"/>
      <c r="I93" s="713"/>
      <c r="J93" s="713"/>
      <c r="K93" s="713"/>
      <c r="L93" s="713"/>
      <c r="M93" s="713"/>
      <c r="N93" s="713"/>
    </row>
    <row r="94" spans="1:14" ht="18">
      <c r="A94" s="713"/>
      <c r="B94" s="713"/>
      <c r="C94" s="713"/>
      <c r="D94" s="713"/>
      <c r="E94" s="713"/>
      <c r="F94" s="713"/>
      <c r="G94" s="713"/>
      <c r="H94" s="713"/>
      <c r="I94" s="713"/>
      <c r="J94" s="713"/>
      <c r="K94" s="713"/>
      <c r="L94" s="713"/>
      <c r="M94" s="713"/>
      <c r="N94" s="713"/>
    </row>
    <row r="95" spans="1:14" ht="18">
      <c r="A95" s="713"/>
      <c r="B95" s="713"/>
      <c r="C95" s="713"/>
      <c r="D95" s="713"/>
      <c r="E95" s="713"/>
      <c r="F95" s="713"/>
      <c r="G95" s="713"/>
      <c r="H95" s="713"/>
      <c r="I95" s="713"/>
      <c r="J95" s="713"/>
      <c r="K95" s="713"/>
      <c r="L95" s="713"/>
      <c r="M95" s="713"/>
      <c r="N95" s="713"/>
    </row>
    <row r="96" spans="1:14" ht="18">
      <c r="A96" s="713"/>
      <c r="B96" s="713"/>
      <c r="C96" s="713"/>
      <c r="D96" s="713"/>
      <c r="E96" s="713"/>
      <c r="F96" s="713"/>
      <c r="G96" s="713"/>
      <c r="H96" s="713"/>
      <c r="I96" s="713"/>
      <c r="J96" s="713"/>
      <c r="K96" s="713"/>
      <c r="L96" s="713"/>
      <c r="M96" s="713"/>
      <c r="N96" s="713"/>
    </row>
    <row r="97" spans="1:14" ht="18">
      <c r="A97" s="713"/>
      <c r="B97" s="713"/>
      <c r="C97" s="713"/>
      <c r="D97" s="713"/>
      <c r="E97" s="713"/>
      <c r="F97" s="713"/>
      <c r="G97" s="713"/>
      <c r="H97" s="713"/>
      <c r="I97" s="713"/>
      <c r="J97" s="713"/>
      <c r="K97" s="713"/>
      <c r="L97" s="713"/>
      <c r="M97" s="713"/>
      <c r="N97" s="713"/>
    </row>
    <row r="98" spans="1:14" ht="18">
      <c r="A98" s="713"/>
      <c r="B98" s="713"/>
      <c r="C98" s="713"/>
      <c r="D98" s="713"/>
      <c r="E98" s="713"/>
      <c r="F98" s="713"/>
      <c r="G98" s="713"/>
      <c r="H98" s="713"/>
      <c r="I98" s="713"/>
      <c r="J98" s="713"/>
      <c r="K98" s="713"/>
      <c r="L98" s="713"/>
      <c r="M98" s="713"/>
      <c r="N98" s="713"/>
    </row>
    <row r="99" spans="1:14" ht="18">
      <c r="A99" s="713"/>
      <c r="B99" s="713"/>
      <c r="C99" s="713"/>
      <c r="D99" s="713"/>
      <c r="E99" s="713"/>
      <c r="F99" s="713"/>
      <c r="G99" s="713"/>
      <c r="H99" s="713"/>
      <c r="I99" s="713"/>
      <c r="J99" s="713"/>
      <c r="K99" s="713"/>
      <c r="L99" s="713"/>
      <c r="M99" s="713"/>
      <c r="N99" s="713"/>
    </row>
    <row r="100" spans="1:14" ht="18">
      <c r="A100" s="713"/>
      <c r="B100" s="713"/>
      <c r="C100" s="713"/>
      <c r="D100" s="713"/>
      <c r="E100" s="713"/>
      <c r="F100" s="713"/>
      <c r="G100" s="713"/>
      <c r="H100" s="713"/>
      <c r="I100" s="713"/>
      <c r="J100" s="713"/>
      <c r="K100" s="713"/>
      <c r="L100" s="713"/>
      <c r="M100" s="713"/>
      <c r="N100" s="713"/>
    </row>
    <row r="101" spans="1:14" ht="18">
      <c r="A101" s="713"/>
      <c r="B101" s="713"/>
      <c r="C101" s="713"/>
      <c r="D101" s="713"/>
      <c r="E101" s="713"/>
      <c r="F101" s="713"/>
      <c r="G101" s="713"/>
      <c r="H101" s="713"/>
      <c r="I101" s="713"/>
      <c r="J101" s="713"/>
      <c r="K101" s="713"/>
      <c r="L101" s="713"/>
      <c r="M101" s="713"/>
      <c r="N101" s="713"/>
    </row>
    <row r="102" spans="1:14" ht="18">
      <c r="A102" s="713"/>
      <c r="B102" s="713"/>
      <c r="C102" s="713"/>
      <c r="D102" s="713"/>
      <c r="E102" s="713"/>
      <c r="F102" s="713"/>
      <c r="G102" s="713"/>
      <c r="H102" s="713"/>
      <c r="I102" s="713"/>
      <c r="J102" s="713"/>
      <c r="K102" s="713"/>
      <c r="L102" s="713"/>
      <c r="M102" s="713"/>
      <c r="N102" s="713"/>
    </row>
    <row r="103" spans="1:14" ht="18">
      <c r="A103" s="713"/>
      <c r="B103" s="713"/>
      <c r="C103" s="713"/>
      <c r="D103" s="713"/>
      <c r="E103" s="713"/>
      <c r="F103" s="713"/>
      <c r="G103" s="713"/>
      <c r="H103" s="713"/>
      <c r="I103" s="713"/>
      <c r="J103" s="713"/>
      <c r="K103" s="713"/>
      <c r="L103" s="713"/>
      <c r="M103" s="713"/>
      <c r="N103" s="713"/>
    </row>
    <row r="104" spans="1:14" ht="18">
      <c r="A104" s="713"/>
      <c r="B104" s="713"/>
      <c r="C104" s="713"/>
      <c r="D104" s="713"/>
      <c r="E104" s="713"/>
      <c r="F104" s="713"/>
      <c r="G104" s="713"/>
      <c r="H104" s="713"/>
      <c r="I104" s="713"/>
      <c r="J104" s="713"/>
      <c r="K104" s="713"/>
      <c r="L104" s="713"/>
      <c r="M104" s="713"/>
      <c r="N104" s="713"/>
    </row>
    <row r="105" spans="1:14" ht="18">
      <c r="A105" s="713"/>
      <c r="B105" s="713"/>
      <c r="C105" s="713"/>
      <c r="D105" s="713"/>
      <c r="E105" s="713"/>
      <c r="F105" s="713"/>
      <c r="G105" s="713"/>
      <c r="H105" s="713"/>
      <c r="I105" s="713"/>
      <c r="J105" s="713"/>
      <c r="K105" s="713"/>
      <c r="L105" s="713"/>
      <c r="M105" s="713"/>
      <c r="N105" s="713"/>
    </row>
    <row r="106" spans="1:14" ht="18">
      <c r="A106" s="713"/>
      <c r="B106" s="713"/>
      <c r="C106" s="713"/>
      <c r="D106" s="713"/>
      <c r="E106" s="713"/>
      <c r="F106" s="713"/>
      <c r="G106" s="713"/>
      <c r="H106" s="713"/>
      <c r="I106" s="713"/>
      <c r="J106" s="713"/>
      <c r="K106" s="713"/>
      <c r="L106" s="713"/>
      <c r="M106" s="713"/>
      <c r="N106" s="713"/>
    </row>
    <row r="107" spans="1:14" ht="18">
      <c r="A107" s="713"/>
      <c r="B107" s="713"/>
      <c r="C107" s="713"/>
      <c r="D107" s="713"/>
      <c r="E107" s="713"/>
      <c r="F107" s="713"/>
      <c r="G107" s="713"/>
      <c r="H107" s="713"/>
      <c r="I107" s="713"/>
      <c r="J107" s="713"/>
      <c r="K107" s="713"/>
      <c r="L107" s="713"/>
      <c r="M107" s="713"/>
      <c r="N107" s="713"/>
    </row>
    <row r="108" spans="1:14" ht="18">
      <c r="A108" s="713"/>
      <c r="B108" s="713"/>
      <c r="C108" s="713"/>
      <c r="D108" s="713"/>
      <c r="E108" s="713"/>
      <c r="F108" s="713"/>
      <c r="G108" s="713"/>
      <c r="H108" s="713"/>
      <c r="I108" s="713"/>
      <c r="J108" s="713"/>
      <c r="K108" s="713"/>
      <c r="L108" s="713"/>
      <c r="M108" s="713"/>
      <c r="N108" s="713"/>
    </row>
    <row r="109" spans="1:14" ht="18">
      <c r="A109" s="713"/>
      <c r="B109" s="713"/>
      <c r="C109" s="713"/>
      <c r="D109" s="713"/>
      <c r="E109" s="713"/>
      <c r="F109" s="713"/>
      <c r="G109" s="713"/>
      <c r="H109" s="713"/>
      <c r="I109" s="713"/>
      <c r="J109" s="713"/>
      <c r="K109" s="713"/>
      <c r="L109" s="713"/>
      <c r="M109" s="713"/>
      <c r="N109" s="713"/>
    </row>
    <row r="110" spans="1:14" ht="18">
      <c r="A110" s="713"/>
      <c r="B110" s="713"/>
      <c r="C110" s="713"/>
      <c r="D110" s="713"/>
      <c r="E110" s="713"/>
      <c r="F110" s="713"/>
      <c r="G110" s="713"/>
      <c r="H110" s="713"/>
      <c r="I110" s="713"/>
      <c r="J110" s="713"/>
      <c r="K110" s="713"/>
      <c r="L110" s="713"/>
      <c r="M110" s="713"/>
      <c r="N110" s="713"/>
    </row>
    <row r="111" spans="1:14" ht="18">
      <c r="A111" s="713"/>
      <c r="B111" s="713"/>
      <c r="C111" s="713"/>
      <c r="D111" s="713"/>
      <c r="E111" s="713"/>
      <c r="F111" s="713"/>
      <c r="G111" s="713"/>
      <c r="H111" s="713"/>
      <c r="I111" s="713"/>
      <c r="J111" s="713"/>
      <c r="K111" s="713"/>
      <c r="L111" s="713"/>
      <c r="M111" s="713"/>
      <c r="N111" s="713"/>
    </row>
    <row r="112" spans="1:14" ht="18">
      <c r="A112" s="713"/>
      <c r="B112" s="713"/>
      <c r="C112" s="713"/>
      <c r="D112" s="713"/>
      <c r="E112" s="713"/>
      <c r="F112" s="713"/>
      <c r="G112" s="713"/>
      <c r="H112" s="713"/>
      <c r="I112" s="713"/>
      <c r="J112" s="713"/>
      <c r="K112" s="713"/>
      <c r="L112" s="713"/>
      <c r="M112" s="713"/>
      <c r="N112" s="713"/>
    </row>
    <row r="113" spans="1:14" ht="18">
      <c r="A113" s="713"/>
      <c r="B113" s="713"/>
      <c r="C113" s="713"/>
      <c r="D113" s="713"/>
      <c r="E113" s="713"/>
      <c r="F113" s="713"/>
      <c r="G113" s="713"/>
      <c r="H113" s="713"/>
      <c r="I113" s="713"/>
      <c r="J113" s="713"/>
      <c r="K113" s="713"/>
      <c r="L113" s="713"/>
      <c r="M113" s="713"/>
      <c r="N113" s="713"/>
    </row>
    <row r="114" spans="1:14" ht="18">
      <c r="A114" s="713"/>
      <c r="B114" s="713"/>
      <c r="C114" s="713"/>
      <c r="D114" s="713"/>
      <c r="E114" s="713"/>
      <c r="F114" s="713"/>
      <c r="G114" s="713"/>
      <c r="H114" s="713"/>
      <c r="I114" s="713"/>
      <c r="J114" s="713"/>
      <c r="K114" s="713"/>
      <c r="L114" s="713"/>
      <c r="M114" s="713"/>
      <c r="N114" s="713"/>
    </row>
    <row r="115" spans="1:14" ht="18">
      <c r="A115" s="713"/>
      <c r="B115" s="713"/>
      <c r="C115" s="713"/>
      <c r="D115" s="713"/>
      <c r="E115" s="713"/>
      <c r="F115" s="713"/>
      <c r="G115" s="713"/>
      <c r="H115" s="713"/>
      <c r="I115" s="713"/>
      <c r="J115" s="713"/>
      <c r="K115" s="713"/>
      <c r="L115" s="713"/>
      <c r="M115" s="713"/>
      <c r="N115" s="713"/>
    </row>
    <row r="116" spans="1:14" ht="18">
      <c r="A116" s="713"/>
      <c r="B116" s="713"/>
      <c r="C116" s="713"/>
      <c r="D116" s="713"/>
      <c r="E116" s="713"/>
      <c r="F116" s="713"/>
      <c r="G116" s="713"/>
      <c r="H116" s="713"/>
      <c r="I116" s="713"/>
      <c r="J116" s="713"/>
      <c r="K116" s="713"/>
      <c r="L116" s="713"/>
      <c r="M116" s="713"/>
      <c r="N116" s="713"/>
    </row>
    <row r="117" spans="1:14" ht="18">
      <c r="A117" s="713"/>
      <c r="B117" s="713"/>
      <c r="C117" s="713"/>
      <c r="D117" s="713"/>
      <c r="E117" s="713"/>
      <c r="F117" s="713"/>
      <c r="G117" s="713"/>
      <c r="H117" s="713"/>
      <c r="I117" s="713"/>
      <c r="J117" s="713"/>
      <c r="K117" s="713"/>
      <c r="L117" s="713"/>
      <c r="M117" s="713"/>
      <c r="N117" s="713"/>
    </row>
    <row r="118" spans="1:14" ht="18">
      <c r="A118" s="713"/>
      <c r="B118" s="713"/>
      <c r="C118" s="713"/>
      <c r="D118" s="713"/>
      <c r="E118" s="713"/>
      <c r="F118" s="713"/>
      <c r="G118" s="713"/>
      <c r="H118" s="713"/>
      <c r="I118" s="713"/>
      <c r="J118" s="713"/>
      <c r="K118" s="713"/>
      <c r="L118" s="713"/>
      <c r="M118" s="713"/>
      <c r="N118" s="713"/>
    </row>
    <row r="119" spans="1:14" ht="18">
      <c r="A119" s="713"/>
      <c r="B119" s="713"/>
      <c r="C119" s="713"/>
      <c r="D119" s="713"/>
      <c r="E119" s="713"/>
      <c r="F119" s="713"/>
      <c r="G119" s="713"/>
      <c r="H119" s="713"/>
      <c r="I119" s="713"/>
      <c r="J119" s="713"/>
      <c r="K119" s="713"/>
      <c r="L119" s="713"/>
      <c r="M119" s="713"/>
      <c r="N119" s="713"/>
    </row>
    <row r="120" spans="1:14" ht="18">
      <c r="A120" s="713"/>
      <c r="B120" s="713"/>
      <c r="C120" s="713"/>
      <c r="D120" s="713"/>
      <c r="E120" s="713"/>
      <c r="F120" s="713"/>
      <c r="G120" s="713"/>
      <c r="H120" s="713"/>
      <c r="I120" s="713"/>
      <c r="J120" s="713"/>
      <c r="K120" s="713"/>
      <c r="L120" s="713"/>
      <c r="M120" s="713"/>
      <c r="N120" s="713"/>
    </row>
    <row r="121" spans="1:14" ht="18">
      <c r="A121" s="713"/>
      <c r="B121" s="713"/>
      <c r="C121" s="713"/>
      <c r="D121" s="713"/>
      <c r="E121" s="713"/>
      <c r="F121" s="713"/>
      <c r="G121" s="713"/>
      <c r="H121" s="713"/>
      <c r="I121" s="713"/>
      <c r="J121" s="713"/>
      <c r="K121" s="713"/>
      <c r="L121" s="713"/>
      <c r="M121" s="713"/>
      <c r="N121" s="713"/>
    </row>
    <row r="122" spans="1:14" ht="18">
      <c r="A122" s="713"/>
      <c r="B122" s="713"/>
      <c r="C122" s="713"/>
      <c r="D122" s="713"/>
      <c r="E122" s="713"/>
      <c r="F122" s="713"/>
      <c r="G122" s="713"/>
      <c r="H122" s="713"/>
      <c r="I122" s="713"/>
      <c r="J122" s="713"/>
      <c r="K122" s="713"/>
      <c r="L122" s="713"/>
      <c r="M122" s="713"/>
      <c r="N122" s="713"/>
    </row>
    <row r="123" spans="1:14" ht="18">
      <c r="A123" s="713"/>
      <c r="B123" s="713"/>
      <c r="C123" s="713"/>
      <c r="D123" s="713"/>
      <c r="E123" s="713"/>
      <c r="F123" s="713"/>
      <c r="G123" s="713"/>
      <c r="H123" s="713"/>
      <c r="I123" s="713"/>
      <c r="J123" s="713"/>
      <c r="K123" s="713"/>
      <c r="L123" s="713"/>
      <c r="M123" s="713"/>
      <c r="N123" s="713"/>
    </row>
    <row r="124" spans="1:14" ht="18">
      <c r="A124" s="713"/>
      <c r="B124" s="713"/>
      <c r="C124" s="713"/>
      <c r="D124" s="713"/>
      <c r="E124" s="713"/>
      <c r="F124" s="713"/>
      <c r="G124" s="713"/>
      <c r="H124" s="713"/>
      <c r="I124" s="713"/>
      <c r="J124" s="713"/>
      <c r="K124" s="713"/>
      <c r="L124" s="713"/>
      <c r="M124" s="713"/>
      <c r="N124" s="713"/>
    </row>
    <row r="125" spans="1:14" ht="18">
      <c r="A125" s="713"/>
      <c r="B125" s="713"/>
      <c r="C125" s="713"/>
      <c r="D125" s="713"/>
      <c r="E125" s="713"/>
      <c r="F125" s="713"/>
      <c r="G125" s="713"/>
      <c r="H125" s="713"/>
      <c r="I125" s="713"/>
      <c r="J125" s="713"/>
      <c r="K125" s="713"/>
      <c r="L125" s="713"/>
      <c r="M125" s="713"/>
      <c r="N125" s="713"/>
    </row>
    <row r="126" spans="1:14" ht="18">
      <c r="A126" s="713"/>
      <c r="B126" s="713"/>
      <c r="C126" s="713"/>
      <c r="D126" s="713"/>
      <c r="E126" s="713"/>
      <c r="F126" s="713"/>
      <c r="G126" s="713"/>
      <c r="H126" s="713"/>
      <c r="I126" s="713"/>
      <c r="J126" s="713"/>
      <c r="K126" s="713"/>
      <c r="L126" s="713"/>
      <c r="M126" s="713"/>
      <c r="N126" s="713"/>
    </row>
    <row r="127" spans="1:14" ht="18">
      <c r="A127" s="713"/>
      <c r="B127" s="713"/>
      <c r="C127" s="713"/>
      <c r="D127" s="713"/>
      <c r="E127" s="713"/>
      <c r="F127" s="713"/>
      <c r="G127" s="713"/>
      <c r="H127" s="713"/>
      <c r="I127" s="713"/>
      <c r="J127" s="713"/>
      <c r="K127" s="713"/>
      <c r="L127" s="713"/>
      <c r="M127" s="713"/>
      <c r="N127" s="713"/>
    </row>
    <row r="128" spans="1:14" ht="18">
      <c r="A128" s="713"/>
      <c r="B128" s="713"/>
      <c r="C128" s="713"/>
      <c r="D128" s="713"/>
      <c r="E128" s="713"/>
      <c r="F128" s="713"/>
      <c r="G128" s="713"/>
      <c r="H128" s="713"/>
      <c r="I128" s="713"/>
      <c r="J128" s="713"/>
      <c r="K128" s="713"/>
      <c r="L128" s="713"/>
      <c r="M128" s="713"/>
      <c r="N128" s="713"/>
    </row>
    <row r="129" spans="1:14" ht="18">
      <c r="A129" s="713"/>
      <c r="B129" s="713"/>
      <c r="C129" s="713"/>
      <c r="D129" s="713"/>
      <c r="E129" s="713"/>
      <c r="F129" s="713"/>
      <c r="G129" s="713"/>
      <c r="H129" s="713"/>
      <c r="I129" s="713"/>
      <c r="J129" s="713"/>
      <c r="K129" s="713"/>
      <c r="L129" s="713"/>
      <c r="M129" s="713"/>
      <c r="N129" s="713"/>
    </row>
    <row r="130" spans="1:14" ht="18">
      <c r="A130" s="713"/>
      <c r="B130" s="713"/>
      <c r="C130" s="713"/>
      <c r="D130" s="713"/>
      <c r="E130" s="713"/>
      <c r="F130" s="713"/>
      <c r="G130" s="713"/>
      <c r="H130" s="713"/>
      <c r="I130" s="713"/>
      <c r="J130" s="713"/>
      <c r="K130" s="713"/>
      <c r="L130" s="713"/>
      <c r="M130" s="713"/>
      <c r="N130" s="713"/>
    </row>
    <row r="131" spans="1:14" ht="18">
      <c r="A131" s="713"/>
      <c r="B131" s="713"/>
      <c r="C131" s="713"/>
      <c r="D131" s="713"/>
      <c r="E131" s="713"/>
      <c r="F131" s="713"/>
      <c r="G131" s="713"/>
      <c r="H131" s="713"/>
      <c r="I131" s="713"/>
      <c r="J131" s="713"/>
      <c r="K131" s="713"/>
      <c r="L131" s="713"/>
      <c r="M131" s="713"/>
      <c r="N131" s="713"/>
    </row>
    <row r="132" spans="1:14" ht="18">
      <c r="A132" s="713"/>
      <c r="B132" s="713"/>
      <c r="C132" s="713"/>
      <c r="D132" s="713"/>
      <c r="E132" s="713"/>
      <c r="F132" s="713"/>
      <c r="G132" s="713"/>
      <c r="H132" s="713"/>
      <c r="I132" s="713"/>
      <c r="J132" s="713"/>
      <c r="K132" s="713"/>
      <c r="L132" s="713"/>
      <c r="M132" s="713"/>
      <c r="N132" s="713"/>
    </row>
    <row r="133" spans="1:14" ht="18">
      <c r="A133" s="713"/>
      <c r="B133" s="713"/>
      <c r="C133" s="713"/>
      <c r="D133" s="713"/>
      <c r="E133" s="713"/>
      <c r="F133" s="713"/>
      <c r="G133" s="713"/>
      <c r="H133" s="713"/>
      <c r="I133" s="713"/>
      <c r="J133" s="713"/>
      <c r="K133" s="713"/>
      <c r="L133" s="713"/>
      <c r="M133" s="713"/>
      <c r="N133" s="713"/>
    </row>
    <row r="134" spans="1:14" ht="18">
      <c r="A134" s="713"/>
      <c r="B134" s="713"/>
      <c r="C134" s="713"/>
      <c r="D134" s="713"/>
      <c r="E134" s="713"/>
      <c r="F134" s="713"/>
      <c r="G134" s="713"/>
      <c r="H134" s="713"/>
      <c r="I134" s="713"/>
      <c r="J134" s="713"/>
      <c r="K134" s="713"/>
      <c r="L134" s="713"/>
      <c r="M134" s="713"/>
      <c r="N134" s="713"/>
    </row>
    <row r="135" spans="1:14" ht="18">
      <c r="A135" s="713"/>
      <c r="B135" s="713"/>
      <c r="C135" s="713"/>
      <c r="D135" s="713"/>
      <c r="E135" s="713"/>
      <c r="F135" s="713"/>
      <c r="G135" s="713"/>
      <c r="H135" s="713"/>
      <c r="I135" s="713"/>
      <c r="J135" s="713"/>
      <c r="K135" s="713"/>
      <c r="L135" s="713"/>
      <c r="M135" s="713"/>
      <c r="N135" s="713"/>
    </row>
    <row r="136" spans="1:14" ht="18">
      <c r="A136" s="713"/>
      <c r="B136" s="713"/>
      <c r="C136" s="713"/>
      <c r="D136" s="713"/>
      <c r="E136" s="713"/>
      <c r="F136" s="713"/>
      <c r="G136" s="713"/>
      <c r="H136" s="713"/>
      <c r="I136" s="713"/>
      <c r="J136" s="713"/>
      <c r="K136" s="713"/>
      <c r="L136" s="713"/>
      <c r="M136" s="713"/>
      <c r="N136" s="713"/>
    </row>
    <row r="137" spans="1:14" ht="18">
      <c r="A137" s="713"/>
      <c r="B137" s="713"/>
      <c r="C137" s="713"/>
      <c r="D137" s="713"/>
      <c r="E137" s="713"/>
      <c r="F137" s="713"/>
      <c r="G137" s="713"/>
      <c r="H137" s="713"/>
      <c r="I137" s="713"/>
      <c r="J137" s="713"/>
      <c r="K137" s="713"/>
      <c r="L137" s="713"/>
      <c r="M137" s="713"/>
      <c r="N137" s="713"/>
    </row>
    <row r="138" spans="1:14" ht="18">
      <c r="A138" s="713"/>
      <c r="B138" s="713"/>
      <c r="C138" s="713"/>
      <c r="D138" s="713"/>
      <c r="E138" s="713"/>
      <c r="F138" s="713"/>
      <c r="G138" s="713"/>
      <c r="H138" s="713"/>
      <c r="I138" s="713"/>
      <c r="J138" s="713"/>
      <c r="K138" s="713"/>
      <c r="L138" s="713"/>
      <c r="M138" s="713"/>
      <c r="N138" s="713"/>
    </row>
    <row r="139" spans="1:14" ht="18">
      <c r="A139" s="713"/>
      <c r="B139" s="713"/>
      <c r="C139" s="713"/>
      <c r="D139" s="713"/>
      <c r="E139" s="713"/>
      <c r="F139" s="713"/>
      <c r="G139" s="713"/>
      <c r="H139" s="713"/>
      <c r="I139" s="713"/>
      <c r="J139" s="713"/>
      <c r="K139" s="713"/>
      <c r="L139" s="713"/>
      <c r="M139" s="713"/>
      <c r="N139" s="713"/>
    </row>
    <row r="140" spans="1:14" ht="18">
      <c r="A140" s="713"/>
      <c r="B140" s="713"/>
      <c r="C140" s="713"/>
      <c r="D140" s="713"/>
      <c r="E140" s="713"/>
      <c r="F140" s="713"/>
      <c r="G140" s="713"/>
      <c r="H140" s="713"/>
      <c r="I140" s="713"/>
      <c r="J140" s="713"/>
      <c r="K140" s="713"/>
      <c r="L140" s="713"/>
      <c r="M140" s="713"/>
      <c r="N140" s="713"/>
    </row>
    <row r="141" spans="1:14" ht="18">
      <c r="A141" s="713"/>
      <c r="B141" s="713"/>
      <c r="C141" s="713"/>
      <c r="D141" s="713"/>
      <c r="E141" s="713"/>
      <c r="F141" s="713"/>
      <c r="G141" s="713"/>
      <c r="H141" s="713"/>
      <c r="I141" s="713"/>
      <c r="J141" s="713"/>
      <c r="K141" s="713"/>
      <c r="L141" s="713"/>
      <c r="M141" s="713"/>
      <c r="N141" s="713"/>
    </row>
    <row r="142" spans="1:14" ht="18">
      <c r="A142" s="713"/>
      <c r="B142" s="713"/>
      <c r="C142" s="713"/>
      <c r="D142" s="713"/>
      <c r="E142" s="713"/>
      <c r="F142" s="713"/>
      <c r="G142" s="713"/>
      <c r="H142" s="713"/>
      <c r="I142" s="713"/>
      <c r="J142" s="713"/>
      <c r="K142" s="713"/>
      <c r="L142" s="713"/>
      <c r="M142" s="713"/>
      <c r="N142" s="713"/>
    </row>
    <row r="143" spans="1:14" ht="18">
      <c r="A143" s="713"/>
      <c r="B143" s="713"/>
      <c r="C143" s="713"/>
      <c r="D143" s="713"/>
      <c r="E143" s="713"/>
      <c r="F143" s="713"/>
      <c r="G143" s="713"/>
      <c r="H143" s="713"/>
      <c r="I143" s="713"/>
      <c r="J143" s="713"/>
      <c r="K143" s="713"/>
      <c r="L143" s="713"/>
      <c r="M143" s="713"/>
      <c r="N143" s="713"/>
    </row>
    <row r="144" spans="1:14" ht="18">
      <c r="A144" s="713"/>
      <c r="B144" s="713"/>
      <c r="C144" s="713"/>
      <c r="D144" s="713"/>
      <c r="E144" s="713"/>
      <c r="F144" s="713"/>
      <c r="G144" s="713"/>
      <c r="H144" s="713"/>
      <c r="I144" s="713"/>
      <c r="J144" s="713"/>
      <c r="K144" s="713"/>
      <c r="L144" s="713"/>
      <c r="M144" s="713"/>
      <c r="N144" s="713"/>
    </row>
    <row r="145" spans="1:14" ht="18">
      <c r="A145" s="713"/>
      <c r="B145" s="713"/>
      <c r="C145" s="713"/>
      <c r="D145" s="713"/>
      <c r="E145" s="713"/>
      <c r="F145" s="713"/>
      <c r="G145" s="713"/>
      <c r="H145" s="713"/>
      <c r="I145" s="713"/>
      <c r="J145" s="713"/>
      <c r="K145" s="713"/>
      <c r="L145" s="713"/>
      <c r="M145" s="713"/>
      <c r="N145" s="713"/>
    </row>
    <row r="146" spans="1:14" ht="18">
      <c r="A146" s="713"/>
      <c r="B146" s="713"/>
      <c r="C146" s="713"/>
      <c r="D146" s="713"/>
      <c r="E146" s="713"/>
      <c r="F146" s="713"/>
      <c r="G146" s="713"/>
      <c r="H146" s="713"/>
      <c r="I146" s="713"/>
      <c r="J146" s="713"/>
      <c r="K146" s="713"/>
      <c r="L146" s="713"/>
      <c r="M146" s="713"/>
      <c r="N146" s="713"/>
    </row>
    <row r="147" spans="1:14" ht="18">
      <c r="A147" s="713"/>
      <c r="B147" s="713"/>
      <c r="C147" s="713"/>
      <c r="D147" s="713"/>
      <c r="E147" s="713"/>
      <c r="F147" s="713"/>
      <c r="G147" s="713"/>
      <c r="H147" s="713"/>
      <c r="I147" s="713"/>
      <c r="J147" s="713"/>
      <c r="K147" s="713"/>
      <c r="L147" s="713"/>
      <c r="M147" s="713"/>
      <c r="N147" s="713"/>
    </row>
    <row r="148" spans="1:14" ht="18">
      <c r="A148" s="713"/>
      <c r="B148" s="713"/>
      <c r="C148" s="713"/>
      <c r="D148" s="713"/>
      <c r="E148" s="713"/>
      <c r="F148" s="713"/>
      <c r="G148" s="713"/>
      <c r="H148" s="713"/>
      <c r="I148" s="713"/>
      <c r="J148" s="713"/>
      <c r="K148" s="713"/>
      <c r="L148" s="713"/>
      <c r="M148" s="713"/>
      <c r="N148" s="713"/>
    </row>
    <row r="149" spans="1:14" ht="18">
      <c r="A149" s="713"/>
      <c r="B149" s="713"/>
      <c r="C149" s="713"/>
      <c r="D149" s="713"/>
      <c r="E149" s="713"/>
      <c r="F149" s="713"/>
      <c r="G149" s="713"/>
      <c r="H149" s="713"/>
      <c r="I149" s="713"/>
      <c r="J149" s="713"/>
      <c r="K149" s="713"/>
      <c r="L149" s="713"/>
      <c r="M149" s="713"/>
      <c r="N149" s="713"/>
    </row>
    <row r="150" spans="1:14" ht="18">
      <c r="A150" s="713"/>
      <c r="B150" s="713"/>
      <c r="C150" s="713"/>
      <c r="D150" s="713"/>
      <c r="E150" s="713"/>
      <c r="F150" s="713"/>
      <c r="G150" s="713"/>
      <c r="H150" s="713"/>
      <c r="I150" s="713"/>
      <c r="J150" s="713"/>
      <c r="K150" s="713"/>
      <c r="L150" s="713"/>
      <c r="M150" s="713"/>
      <c r="N150" s="713"/>
    </row>
    <row r="151" spans="1:14" ht="18">
      <c r="A151" s="713"/>
      <c r="B151" s="713"/>
      <c r="C151" s="713"/>
      <c r="D151" s="713"/>
      <c r="E151" s="713"/>
      <c r="F151" s="713"/>
      <c r="G151" s="713"/>
      <c r="H151" s="713"/>
      <c r="I151" s="713"/>
      <c r="J151" s="713"/>
      <c r="K151" s="713"/>
      <c r="L151" s="713"/>
      <c r="M151" s="713"/>
      <c r="N151" s="713"/>
    </row>
    <row r="152" spans="1:14" ht="18">
      <c r="A152" s="713"/>
      <c r="B152" s="713"/>
      <c r="C152" s="713"/>
      <c r="D152" s="713"/>
      <c r="E152" s="713"/>
      <c r="F152" s="713"/>
      <c r="G152" s="713"/>
      <c r="H152" s="713"/>
      <c r="I152" s="713"/>
      <c r="J152" s="713"/>
      <c r="K152" s="713"/>
      <c r="L152" s="713"/>
      <c r="M152" s="713"/>
      <c r="N152" s="713"/>
    </row>
    <row r="153" spans="1:14" ht="18">
      <c r="A153" s="713"/>
      <c r="B153" s="713"/>
      <c r="C153" s="713"/>
      <c r="D153" s="713"/>
      <c r="E153" s="713"/>
      <c r="F153" s="713"/>
      <c r="G153" s="713"/>
      <c r="H153" s="713"/>
      <c r="I153" s="713"/>
      <c r="J153" s="713"/>
      <c r="K153" s="713"/>
      <c r="L153" s="713"/>
      <c r="M153" s="713"/>
      <c r="N153" s="713"/>
    </row>
    <row r="154" spans="1:14" ht="18">
      <c r="A154" s="713"/>
      <c r="B154" s="713"/>
      <c r="C154" s="713"/>
      <c r="D154" s="713"/>
      <c r="E154" s="713"/>
      <c r="F154" s="713"/>
      <c r="G154" s="713"/>
      <c r="H154" s="713"/>
      <c r="I154" s="713"/>
      <c r="J154" s="713"/>
      <c r="K154" s="713"/>
      <c r="L154" s="713"/>
      <c r="M154" s="713"/>
      <c r="N154" s="713"/>
    </row>
    <row r="155" spans="1:14" ht="18">
      <c r="A155" s="713"/>
      <c r="B155" s="713"/>
      <c r="C155" s="713"/>
      <c r="D155" s="713"/>
      <c r="E155" s="713"/>
      <c r="F155" s="713"/>
      <c r="G155" s="713"/>
      <c r="H155" s="713"/>
      <c r="I155" s="713"/>
      <c r="J155" s="713"/>
      <c r="K155" s="713"/>
      <c r="L155" s="713"/>
      <c r="M155" s="713"/>
      <c r="N155" s="713"/>
    </row>
    <row r="156" spans="1:14" ht="18">
      <c r="A156" s="713"/>
      <c r="B156" s="713"/>
      <c r="C156" s="713"/>
      <c r="D156" s="713"/>
      <c r="E156" s="713"/>
      <c r="F156" s="713"/>
      <c r="G156" s="713"/>
      <c r="H156" s="713"/>
      <c r="I156" s="713"/>
      <c r="J156" s="713"/>
      <c r="K156" s="713"/>
      <c r="L156" s="713"/>
      <c r="M156" s="713"/>
      <c r="N156" s="713"/>
    </row>
    <row r="157" spans="1:14" ht="18">
      <c r="A157" s="713"/>
      <c r="B157" s="713"/>
      <c r="C157" s="713"/>
      <c r="D157" s="713"/>
      <c r="E157" s="713"/>
      <c r="F157" s="713"/>
      <c r="G157" s="713"/>
      <c r="H157" s="713"/>
      <c r="I157" s="713"/>
      <c r="J157" s="713"/>
      <c r="K157" s="713"/>
      <c r="L157" s="713"/>
      <c r="M157" s="713"/>
      <c r="N157" s="713"/>
    </row>
    <row r="158" spans="1:14" ht="18">
      <c r="A158" s="713"/>
      <c r="B158" s="713"/>
      <c r="C158" s="713"/>
      <c r="D158" s="713"/>
      <c r="E158" s="713"/>
      <c r="F158" s="713"/>
      <c r="G158" s="713"/>
      <c r="H158" s="713"/>
      <c r="I158" s="713"/>
      <c r="J158" s="713"/>
      <c r="K158" s="713"/>
      <c r="L158" s="713"/>
      <c r="M158" s="713"/>
      <c r="N158" s="713"/>
    </row>
    <row r="159" spans="1:14" ht="18">
      <c r="A159" s="713"/>
      <c r="B159" s="713"/>
      <c r="C159" s="713"/>
      <c r="D159" s="713"/>
      <c r="E159" s="713"/>
      <c r="F159" s="713"/>
      <c r="G159" s="713"/>
      <c r="H159" s="713"/>
      <c r="I159" s="713"/>
      <c r="J159" s="713"/>
      <c r="K159" s="713"/>
      <c r="L159" s="713"/>
      <c r="M159" s="713"/>
      <c r="N159" s="713"/>
    </row>
    <row r="160" spans="1:14" ht="18">
      <c r="A160" s="713"/>
      <c r="B160" s="713"/>
      <c r="C160" s="713"/>
      <c r="D160" s="713"/>
      <c r="E160" s="713"/>
      <c r="F160" s="713"/>
      <c r="G160" s="713"/>
      <c r="H160" s="713"/>
      <c r="I160" s="713"/>
      <c r="J160" s="713"/>
      <c r="K160" s="713"/>
      <c r="L160" s="713"/>
      <c r="M160" s="713"/>
      <c r="N160" s="713"/>
    </row>
    <row r="161" spans="1:14" ht="18">
      <c r="A161" s="713"/>
      <c r="B161" s="713"/>
      <c r="C161" s="713"/>
      <c r="D161" s="713"/>
      <c r="E161" s="713"/>
      <c r="F161" s="713"/>
      <c r="G161" s="713"/>
      <c r="H161" s="713"/>
      <c r="I161" s="713"/>
      <c r="J161" s="713"/>
      <c r="K161" s="713"/>
      <c r="L161" s="713"/>
      <c r="M161" s="713"/>
      <c r="N161" s="713"/>
    </row>
    <row r="162" spans="1:14" ht="18">
      <c r="A162" s="713"/>
      <c r="B162" s="713"/>
      <c r="C162" s="713"/>
      <c r="D162" s="713"/>
      <c r="E162" s="713"/>
      <c r="F162" s="713"/>
      <c r="G162" s="713"/>
      <c r="H162" s="713"/>
      <c r="I162" s="713"/>
      <c r="J162" s="713"/>
      <c r="K162" s="713"/>
      <c r="L162" s="713"/>
      <c r="M162" s="713"/>
      <c r="N162" s="713"/>
    </row>
    <row r="163" spans="1:14" ht="18">
      <c r="A163" s="713"/>
      <c r="B163" s="713"/>
      <c r="C163" s="713"/>
      <c r="D163" s="713"/>
      <c r="E163" s="713"/>
      <c r="F163" s="713"/>
      <c r="G163" s="713"/>
      <c r="H163" s="713"/>
      <c r="I163" s="713"/>
      <c r="J163" s="713"/>
      <c r="K163" s="713"/>
      <c r="L163" s="713"/>
      <c r="M163" s="713"/>
      <c r="N163" s="713"/>
    </row>
    <row r="164" spans="1:14" ht="18">
      <c r="A164" s="713"/>
      <c r="B164" s="713"/>
      <c r="C164" s="713"/>
      <c r="D164" s="713"/>
      <c r="E164" s="713"/>
      <c r="F164" s="713"/>
      <c r="G164" s="713"/>
      <c r="H164" s="713"/>
      <c r="I164" s="713"/>
      <c r="J164" s="713"/>
      <c r="K164" s="713"/>
      <c r="L164" s="713"/>
      <c r="M164" s="713"/>
      <c r="N164" s="713"/>
    </row>
    <row r="165" spans="1:14" ht="18">
      <c r="A165" s="713"/>
      <c r="B165" s="713"/>
      <c r="C165" s="713"/>
      <c r="D165" s="713"/>
      <c r="E165" s="713"/>
      <c r="F165" s="713"/>
      <c r="G165" s="713"/>
      <c r="H165" s="713"/>
      <c r="I165" s="713"/>
      <c r="J165" s="713"/>
      <c r="K165" s="713"/>
      <c r="L165" s="713"/>
      <c r="M165" s="713"/>
      <c r="N165" s="713"/>
    </row>
    <row r="166" spans="1:14" ht="18">
      <c r="A166" s="713"/>
      <c r="B166" s="713"/>
      <c r="C166" s="713"/>
      <c r="D166" s="713"/>
      <c r="E166" s="713"/>
      <c r="F166" s="713"/>
      <c r="G166" s="713"/>
      <c r="H166" s="713"/>
      <c r="I166" s="713"/>
      <c r="J166" s="713"/>
      <c r="K166" s="713"/>
      <c r="L166" s="713"/>
      <c r="M166" s="713"/>
      <c r="N166" s="713"/>
    </row>
    <row r="167" spans="1:14" ht="18">
      <c r="A167" s="713"/>
      <c r="B167" s="713"/>
      <c r="C167" s="713"/>
      <c r="D167" s="713"/>
      <c r="E167" s="713"/>
      <c r="F167" s="713"/>
      <c r="G167" s="713"/>
      <c r="H167" s="713"/>
      <c r="I167" s="713"/>
      <c r="J167" s="713"/>
      <c r="K167" s="713"/>
      <c r="L167" s="713"/>
      <c r="M167" s="713"/>
      <c r="N167" s="713"/>
    </row>
    <row r="168" spans="1:14" ht="18">
      <c r="A168" s="713"/>
      <c r="B168" s="713"/>
      <c r="C168" s="713"/>
      <c r="D168" s="713"/>
      <c r="E168" s="713"/>
      <c r="F168" s="713"/>
      <c r="G168" s="713"/>
      <c r="H168" s="713"/>
      <c r="I168" s="713"/>
      <c r="J168" s="713"/>
      <c r="K168" s="713"/>
      <c r="L168" s="713"/>
      <c r="M168" s="713"/>
      <c r="N168" s="713"/>
    </row>
    <row r="169" spans="1:14" ht="18">
      <c r="A169" s="713"/>
      <c r="B169" s="713"/>
      <c r="C169" s="713"/>
      <c r="D169" s="713"/>
      <c r="E169" s="713"/>
      <c r="F169" s="713"/>
      <c r="G169" s="713"/>
      <c r="H169" s="713"/>
      <c r="I169" s="713"/>
      <c r="J169" s="713"/>
      <c r="K169" s="713"/>
      <c r="L169" s="713"/>
      <c r="M169" s="713"/>
      <c r="N169" s="713"/>
    </row>
    <row r="170" spans="1:14" ht="18">
      <c r="A170" s="713"/>
      <c r="B170" s="713"/>
      <c r="C170" s="713"/>
      <c r="D170" s="713"/>
      <c r="E170" s="713"/>
      <c r="F170" s="713"/>
      <c r="G170" s="713"/>
      <c r="H170" s="713"/>
      <c r="I170" s="713"/>
      <c r="J170" s="713"/>
      <c r="K170" s="713"/>
      <c r="L170" s="713"/>
      <c r="M170" s="713"/>
      <c r="N170" s="713"/>
    </row>
    <row r="171" spans="1:14" ht="18">
      <c r="A171" s="713"/>
      <c r="B171" s="713"/>
      <c r="C171" s="713"/>
      <c r="D171" s="713"/>
      <c r="E171" s="713"/>
      <c r="F171" s="713"/>
      <c r="G171" s="713"/>
      <c r="H171" s="713"/>
      <c r="I171" s="713"/>
      <c r="J171" s="713"/>
      <c r="K171" s="713"/>
      <c r="L171" s="713"/>
      <c r="M171" s="713"/>
      <c r="N171" s="713"/>
    </row>
    <row r="172" spans="1:14" ht="18">
      <c r="A172" s="713"/>
      <c r="B172" s="713"/>
      <c r="C172" s="713"/>
      <c r="D172" s="713"/>
      <c r="E172" s="713"/>
      <c r="F172" s="713"/>
      <c r="G172" s="713"/>
      <c r="H172" s="713"/>
      <c r="I172" s="713"/>
      <c r="J172" s="713"/>
      <c r="K172" s="713"/>
      <c r="L172" s="713"/>
      <c r="M172" s="713"/>
      <c r="N172" s="713"/>
    </row>
    <row r="173" spans="1:14" ht="18">
      <c r="A173" s="713"/>
      <c r="B173" s="713"/>
      <c r="C173" s="713"/>
      <c r="D173" s="713"/>
      <c r="E173" s="713"/>
      <c r="F173" s="713"/>
      <c r="G173" s="713"/>
      <c r="H173" s="713"/>
      <c r="I173" s="713"/>
      <c r="J173" s="713"/>
      <c r="K173" s="713"/>
      <c r="L173" s="713"/>
      <c r="M173" s="713"/>
      <c r="N173" s="713"/>
    </row>
    <row r="174" spans="1:14" ht="18">
      <c r="A174" s="713"/>
      <c r="B174" s="713"/>
      <c r="C174" s="713"/>
      <c r="D174" s="713"/>
      <c r="E174" s="713"/>
      <c r="F174" s="713"/>
      <c r="G174" s="713"/>
      <c r="H174" s="713"/>
      <c r="I174" s="713"/>
      <c r="J174" s="713"/>
      <c r="K174" s="713"/>
      <c r="L174" s="713"/>
      <c r="M174" s="713"/>
      <c r="N174" s="713"/>
    </row>
    <row r="175" spans="1:14" ht="18">
      <c r="A175" s="713"/>
      <c r="B175" s="713"/>
      <c r="C175" s="713"/>
      <c r="D175" s="713"/>
      <c r="E175" s="713"/>
      <c r="F175" s="713"/>
      <c r="G175" s="713"/>
      <c r="H175" s="713"/>
      <c r="I175" s="713"/>
      <c r="J175" s="713"/>
      <c r="K175" s="713"/>
      <c r="L175" s="713"/>
      <c r="M175" s="713"/>
      <c r="N175" s="713"/>
    </row>
    <row r="176" spans="1:14" ht="18">
      <c r="A176" s="713"/>
      <c r="B176" s="713"/>
      <c r="C176" s="713"/>
      <c r="D176" s="713"/>
      <c r="E176" s="713"/>
      <c r="F176" s="713"/>
      <c r="G176" s="713"/>
      <c r="H176" s="713"/>
      <c r="I176" s="713"/>
      <c r="J176" s="713"/>
      <c r="K176" s="713"/>
      <c r="L176" s="713"/>
      <c r="M176" s="713"/>
      <c r="N176" s="713"/>
    </row>
    <row r="177" spans="1:14" ht="18">
      <c r="A177" s="713"/>
      <c r="B177" s="713"/>
      <c r="C177" s="713"/>
      <c r="D177" s="713"/>
      <c r="E177" s="713"/>
      <c r="F177" s="713"/>
      <c r="G177" s="713"/>
      <c r="H177" s="713"/>
      <c r="I177" s="713"/>
      <c r="J177" s="713"/>
      <c r="K177" s="713"/>
      <c r="L177" s="713"/>
      <c r="M177" s="713"/>
      <c r="N177" s="713"/>
    </row>
    <row r="178" spans="1:14" ht="18">
      <c r="A178" s="713"/>
      <c r="B178" s="713"/>
      <c r="C178" s="713"/>
      <c r="D178" s="713"/>
      <c r="E178" s="713"/>
      <c r="F178" s="713"/>
      <c r="G178" s="713"/>
      <c r="H178" s="713"/>
      <c r="I178" s="713"/>
      <c r="J178" s="713"/>
      <c r="K178" s="713"/>
      <c r="L178" s="713"/>
      <c r="M178" s="713"/>
      <c r="N178" s="713"/>
    </row>
    <row r="179" spans="1:14" ht="18">
      <c r="A179" s="713"/>
      <c r="B179" s="713"/>
      <c r="C179" s="713"/>
      <c r="D179" s="713"/>
      <c r="E179" s="713"/>
      <c r="F179" s="713"/>
      <c r="G179" s="713"/>
      <c r="H179" s="713"/>
      <c r="I179" s="713"/>
      <c r="J179" s="713"/>
      <c r="K179" s="713"/>
      <c r="L179" s="713"/>
      <c r="M179" s="713"/>
      <c r="N179" s="713"/>
    </row>
    <row r="180" spans="1:14" ht="18">
      <c r="A180" s="713"/>
      <c r="B180" s="713"/>
      <c r="C180" s="713"/>
      <c r="D180" s="713"/>
      <c r="E180" s="713"/>
      <c r="F180" s="713"/>
      <c r="G180" s="713"/>
      <c r="H180" s="713"/>
      <c r="I180" s="713"/>
      <c r="J180" s="713"/>
      <c r="K180" s="713"/>
      <c r="L180" s="713"/>
      <c r="M180" s="713"/>
      <c r="N180" s="713"/>
    </row>
    <row r="181" spans="1:14" ht="18">
      <c r="A181" s="713"/>
      <c r="B181" s="713"/>
      <c r="C181" s="713"/>
      <c r="D181" s="713"/>
      <c r="E181" s="713"/>
      <c r="F181" s="713"/>
      <c r="G181" s="713"/>
      <c r="H181" s="713"/>
      <c r="I181" s="713"/>
      <c r="J181" s="713"/>
      <c r="K181" s="713"/>
      <c r="L181" s="713"/>
      <c r="M181" s="713"/>
      <c r="N181" s="713"/>
    </row>
    <row r="182" spans="1:14" ht="18">
      <c r="A182" s="713"/>
      <c r="B182" s="713"/>
      <c r="C182" s="713"/>
      <c r="D182" s="713"/>
      <c r="E182" s="713"/>
      <c r="F182" s="713"/>
      <c r="G182" s="713"/>
      <c r="H182" s="713"/>
      <c r="I182" s="713"/>
      <c r="J182" s="713"/>
      <c r="K182" s="713"/>
      <c r="L182" s="713"/>
      <c r="M182" s="713"/>
      <c r="N182" s="713"/>
    </row>
    <row r="183" spans="1:14" ht="18">
      <c r="A183" s="713"/>
      <c r="B183" s="713"/>
      <c r="C183" s="713"/>
      <c r="D183" s="713"/>
      <c r="E183" s="713"/>
      <c r="F183" s="713"/>
      <c r="G183" s="713"/>
      <c r="H183" s="713"/>
      <c r="I183" s="713"/>
      <c r="J183" s="713"/>
      <c r="K183" s="713"/>
      <c r="L183" s="713"/>
      <c r="M183" s="713"/>
      <c r="N183" s="713"/>
    </row>
    <row r="184" spans="1:14" ht="18">
      <c r="A184" s="713"/>
      <c r="B184" s="713"/>
      <c r="C184" s="713"/>
      <c r="D184" s="713"/>
      <c r="E184" s="713"/>
      <c r="F184" s="713"/>
      <c r="G184" s="713"/>
      <c r="H184" s="713"/>
      <c r="I184" s="713"/>
      <c r="J184" s="713"/>
      <c r="K184" s="713"/>
      <c r="L184" s="713"/>
      <c r="M184" s="713"/>
      <c r="N184" s="713"/>
    </row>
    <row r="185" spans="1:14" ht="18">
      <c r="A185" s="713"/>
      <c r="B185" s="713"/>
      <c r="C185" s="713"/>
      <c r="D185" s="713"/>
      <c r="E185" s="713"/>
      <c r="F185" s="713"/>
      <c r="G185" s="713"/>
      <c r="H185" s="713"/>
      <c r="I185" s="713"/>
      <c r="J185" s="713"/>
      <c r="K185" s="713"/>
      <c r="L185" s="713"/>
      <c r="M185" s="713"/>
      <c r="N185" s="713"/>
    </row>
    <row r="186" spans="1:14" ht="18">
      <c r="A186" s="713"/>
      <c r="B186" s="713"/>
      <c r="C186" s="713"/>
      <c r="D186" s="713"/>
      <c r="E186" s="713"/>
      <c r="F186" s="713"/>
      <c r="G186" s="713"/>
      <c r="H186" s="713"/>
      <c r="I186" s="713"/>
      <c r="J186" s="713"/>
      <c r="K186" s="713"/>
      <c r="L186" s="713"/>
      <c r="M186" s="713"/>
      <c r="N186" s="713"/>
    </row>
    <row r="187" spans="1:14" ht="18">
      <c r="A187" s="713"/>
      <c r="B187" s="713"/>
      <c r="C187" s="713"/>
      <c r="D187" s="713"/>
      <c r="E187" s="713"/>
      <c r="F187" s="713"/>
      <c r="G187" s="713"/>
      <c r="H187" s="713"/>
      <c r="I187" s="713"/>
      <c r="J187" s="713"/>
      <c r="K187" s="713"/>
      <c r="L187" s="713"/>
      <c r="M187" s="713"/>
      <c r="N187" s="713"/>
    </row>
    <row r="188" spans="1:14" ht="18">
      <c r="A188" s="713"/>
      <c r="B188" s="713"/>
      <c r="C188" s="713"/>
      <c r="D188" s="713"/>
      <c r="E188" s="713"/>
      <c r="F188" s="713"/>
      <c r="G188" s="713"/>
      <c r="H188" s="713"/>
      <c r="I188" s="713"/>
      <c r="J188" s="713"/>
      <c r="K188" s="713"/>
      <c r="L188" s="713"/>
      <c r="M188" s="713"/>
      <c r="N188" s="713"/>
    </row>
    <row r="189" spans="1:14" ht="18">
      <c r="A189" s="713"/>
      <c r="B189" s="713"/>
      <c r="C189" s="713"/>
      <c r="D189" s="713"/>
      <c r="E189" s="713"/>
      <c r="F189" s="713"/>
      <c r="G189" s="713"/>
      <c r="H189" s="713"/>
      <c r="I189" s="713"/>
      <c r="J189" s="713"/>
      <c r="K189" s="713"/>
      <c r="L189" s="713"/>
      <c r="M189" s="713"/>
      <c r="N189" s="713"/>
    </row>
    <row r="190" spans="1:14" ht="18">
      <c r="A190" s="713"/>
      <c r="B190" s="713"/>
      <c r="C190" s="713"/>
      <c r="D190" s="713"/>
      <c r="E190" s="713"/>
      <c r="F190" s="713"/>
      <c r="G190" s="713"/>
      <c r="H190" s="713"/>
      <c r="I190" s="713"/>
      <c r="J190" s="713"/>
      <c r="K190" s="713"/>
      <c r="L190" s="713"/>
      <c r="M190" s="713"/>
      <c r="N190" s="713"/>
    </row>
    <row r="191" spans="1:14" ht="18">
      <c r="A191" s="713"/>
      <c r="B191" s="713"/>
      <c r="C191" s="713"/>
      <c r="D191" s="713"/>
      <c r="E191" s="713"/>
      <c r="F191" s="713"/>
      <c r="G191" s="713"/>
      <c r="H191" s="713"/>
      <c r="I191" s="713"/>
      <c r="J191" s="713"/>
      <c r="K191" s="713"/>
      <c r="L191" s="713"/>
      <c r="M191" s="713"/>
      <c r="N191" s="713"/>
    </row>
    <row r="192" spans="1:14" ht="18">
      <c r="A192" s="713"/>
      <c r="B192" s="713"/>
      <c r="C192" s="713"/>
      <c r="D192" s="713"/>
      <c r="E192" s="713"/>
      <c r="F192" s="713"/>
      <c r="G192" s="713"/>
      <c r="H192" s="713"/>
      <c r="I192" s="713"/>
      <c r="J192" s="713"/>
      <c r="K192" s="713"/>
      <c r="L192" s="713"/>
      <c r="M192" s="713"/>
      <c r="N192" s="713"/>
    </row>
    <row r="193" spans="1:14" ht="18">
      <c r="A193" s="713"/>
      <c r="B193" s="713"/>
      <c r="C193" s="713"/>
      <c r="D193" s="713"/>
      <c r="E193" s="713"/>
      <c r="F193" s="713"/>
      <c r="G193" s="713"/>
      <c r="H193" s="713"/>
      <c r="I193" s="713"/>
      <c r="J193" s="713"/>
      <c r="K193" s="713"/>
      <c r="L193" s="713"/>
      <c r="M193" s="713"/>
      <c r="N193" s="713"/>
    </row>
    <row r="194" spans="1:14" ht="18">
      <c r="A194" s="713"/>
      <c r="B194" s="713"/>
      <c r="C194" s="713"/>
      <c r="D194" s="713"/>
      <c r="E194" s="713"/>
      <c r="F194" s="713"/>
      <c r="G194" s="713"/>
      <c r="H194" s="713"/>
      <c r="I194" s="713"/>
      <c r="J194" s="713"/>
      <c r="K194" s="713"/>
      <c r="L194" s="713"/>
      <c r="M194" s="713"/>
      <c r="N194" s="713"/>
    </row>
    <row r="195" spans="1:14" ht="18">
      <c r="A195" s="713"/>
      <c r="B195" s="713"/>
      <c r="C195" s="713"/>
      <c r="D195" s="713"/>
      <c r="E195" s="713"/>
      <c r="F195" s="713"/>
      <c r="G195" s="713"/>
      <c r="H195" s="713"/>
      <c r="I195" s="713"/>
      <c r="J195" s="713"/>
      <c r="K195" s="713"/>
      <c r="L195" s="713"/>
      <c r="M195" s="713"/>
      <c r="N195" s="713"/>
    </row>
    <row r="196" spans="1:14" ht="18">
      <c r="A196" s="713"/>
      <c r="B196" s="713"/>
      <c r="C196" s="713"/>
      <c r="D196" s="713"/>
      <c r="E196" s="713"/>
      <c r="F196" s="713"/>
      <c r="G196" s="713"/>
      <c r="H196" s="713"/>
      <c r="I196" s="713"/>
      <c r="J196" s="713"/>
      <c r="K196" s="713"/>
      <c r="L196" s="713"/>
      <c r="M196" s="713"/>
      <c r="N196" s="713"/>
    </row>
    <row r="197" spans="1:14" ht="18">
      <c r="A197" s="713"/>
      <c r="B197" s="713"/>
      <c r="C197" s="713"/>
      <c r="D197" s="713"/>
      <c r="E197" s="713"/>
      <c r="F197" s="713"/>
      <c r="G197" s="713"/>
      <c r="H197" s="713"/>
      <c r="I197" s="713"/>
      <c r="J197" s="713"/>
      <c r="K197" s="713"/>
      <c r="L197" s="713"/>
      <c r="M197" s="713"/>
      <c r="N197" s="713"/>
    </row>
    <row r="198" spans="1:14" ht="18">
      <c r="A198" s="713"/>
      <c r="B198" s="713"/>
      <c r="C198" s="713"/>
      <c r="D198" s="713"/>
      <c r="E198" s="713"/>
      <c r="F198" s="713"/>
      <c r="G198" s="713"/>
      <c r="H198" s="713"/>
      <c r="I198" s="713"/>
      <c r="J198" s="713"/>
      <c r="K198" s="713"/>
      <c r="L198" s="713"/>
      <c r="M198" s="713"/>
      <c r="N198" s="713"/>
    </row>
    <row r="199" spans="1:14" ht="18">
      <c r="A199" s="713"/>
      <c r="B199" s="713"/>
      <c r="C199" s="713"/>
      <c r="D199" s="713"/>
      <c r="E199" s="713"/>
      <c r="F199" s="713"/>
      <c r="G199" s="713"/>
      <c r="H199" s="713"/>
      <c r="I199" s="713"/>
      <c r="J199" s="713"/>
      <c r="K199" s="713"/>
      <c r="L199" s="713"/>
      <c r="M199" s="713"/>
      <c r="N199" s="713"/>
    </row>
    <row r="200" spans="1:14" ht="18">
      <c r="A200" s="713"/>
      <c r="B200" s="713"/>
      <c r="C200" s="713"/>
      <c r="D200" s="713"/>
      <c r="E200" s="713"/>
      <c r="F200" s="713"/>
      <c r="G200" s="713"/>
      <c r="H200" s="713"/>
      <c r="I200" s="713"/>
      <c r="J200" s="713"/>
      <c r="K200" s="713"/>
      <c r="L200" s="713"/>
      <c r="M200" s="713"/>
      <c r="N200" s="713"/>
    </row>
    <row r="201" spans="1:14" ht="18">
      <c r="A201" s="713"/>
      <c r="B201" s="713"/>
      <c r="C201" s="713"/>
      <c r="D201" s="713"/>
      <c r="E201" s="713"/>
      <c r="F201" s="713"/>
      <c r="G201" s="713"/>
      <c r="H201" s="713"/>
      <c r="I201" s="713"/>
      <c r="J201" s="713"/>
      <c r="K201" s="713"/>
      <c r="L201" s="713"/>
      <c r="M201" s="713"/>
      <c r="N201" s="713"/>
    </row>
    <row r="202" spans="1:14" ht="18">
      <c r="A202" s="713"/>
      <c r="B202" s="713"/>
      <c r="C202" s="713"/>
      <c r="D202" s="713"/>
      <c r="E202" s="713"/>
      <c r="F202" s="713"/>
      <c r="G202" s="713"/>
      <c r="H202" s="713"/>
      <c r="I202" s="713"/>
      <c r="J202" s="713"/>
      <c r="K202" s="713"/>
      <c r="L202" s="713"/>
      <c r="M202" s="713"/>
      <c r="N202" s="713"/>
    </row>
    <row r="203" spans="1:14" ht="18">
      <c r="A203" s="713"/>
      <c r="B203" s="713"/>
      <c r="C203" s="713"/>
      <c r="D203" s="713"/>
      <c r="E203" s="713"/>
      <c r="F203" s="713"/>
      <c r="G203" s="713"/>
      <c r="H203" s="713"/>
      <c r="I203" s="713"/>
      <c r="J203" s="713"/>
      <c r="K203" s="713"/>
      <c r="L203" s="713"/>
      <c r="M203" s="713"/>
      <c r="N203" s="713"/>
    </row>
    <row r="204" spans="1:14" ht="18">
      <c r="A204" s="713"/>
      <c r="B204" s="713"/>
      <c r="C204" s="713"/>
      <c r="D204" s="713"/>
      <c r="E204" s="713"/>
      <c r="F204" s="713"/>
      <c r="G204" s="713"/>
      <c r="H204" s="713"/>
      <c r="I204" s="713"/>
      <c r="J204" s="713"/>
      <c r="K204" s="713"/>
      <c r="L204" s="713"/>
      <c r="M204" s="713"/>
      <c r="N204" s="713"/>
    </row>
    <row r="205" spans="1:14" ht="18">
      <c r="A205" s="713"/>
      <c r="B205" s="713"/>
      <c r="C205" s="713"/>
      <c r="D205" s="713"/>
      <c r="E205" s="713"/>
      <c r="F205" s="713"/>
      <c r="G205" s="713"/>
      <c r="H205" s="713"/>
      <c r="I205" s="713"/>
      <c r="J205" s="713"/>
      <c r="K205" s="713"/>
      <c r="L205" s="713"/>
      <c r="M205" s="713"/>
      <c r="N205" s="713"/>
    </row>
    <row r="206" spans="1:14" ht="18">
      <c r="A206" s="713"/>
      <c r="B206" s="713"/>
      <c r="C206" s="713"/>
      <c r="D206" s="713"/>
      <c r="E206" s="713"/>
      <c r="F206" s="713"/>
      <c r="G206" s="713"/>
      <c r="H206" s="713"/>
      <c r="I206" s="713"/>
      <c r="J206" s="713"/>
      <c r="K206" s="713"/>
      <c r="L206" s="713"/>
      <c r="M206" s="713"/>
      <c r="N206" s="713"/>
    </row>
    <row r="207" spans="1:14" ht="18">
      <c r="A207" s="713"/>
      <c r="B207" s="713"/>
      <c r="C207" s="713"/>
      <c r="D207" s="713"/>
      <c r="E207" s="713"/>
      <c r="F207" s="713"/>
      <c r="G207" s="713"/>
      <c r="H207" s="713"/>
      <c r="I207" s="713"/>
      <c r="J207" s="713"/>
      <c r="K207" s="713"/>
      <c r="L207" s="713"/>
      <c r="M207" s="713"/>
      <c r="N207" s="713"/>
    </row>
    <row r="208" spans="1:14" ht="18">
      <c r="A208" s="713"/>
      <c r="B208" s="713"/>
      <c r="C208" s="713"/>
      <c r="D208" s="713"/>
      <c r="E208" s="713"/>
      <c r="F208" s="713"/>
      <c r="G208" s="713"/>
      <c r="H208" s="713"/>
      <c r="I208" s="713"/>
      <c r="J208" s="713"/>
      <c r="K208" s="713"/>
      <c r="L208" s="713"/>
      <c r="M208" s="713"/>
      <c r="N208" s="713"/>
    </row>
    <row r="209" spans="1:14" ht="18">
      <c r="A209" s="713"/>
      <c r="B209" s="713"/>
      <c r="C209" s="713"/>
      <c r="D209" s="713"/>
      <c r="E209" s="713"/>
      <c r="F209" s="713"/>
      <c r="G209" s="713"/>
      <c r="H209" s="713"/>
      <c r="I209" s="713"/>
      <c r="J209" s="713"/>
      <c r="K209" s="713"/>
      <c r="L209" s="713"/>
      <c r="M209" s="713"/>
      <c r="N209" s="713"/>
    </row>
    <row r="210" spans="1:14" ht="18">
      <c r="A210" s="713"/>
      <c r="B210" s="713"/>
      <c r="C210" s="713"/>
      <c r="D210" s="713"/>
      <c r="E210" s="713"/>
      <c r="F210" s="713"/>
      <c r="G210" s="713"/>
      <c r="H210" s="713"/>
      <c r="I210" s="713"/>
      <c r="J210" s="713"/>
      <c r="K210" s="713"/>
      <c r="L210" s="713"/>
      <c r="M210" s="713"/>
      <c r="N210" s="713"/>
    </row>
    <row r="211" spans="1:14" ht="18">
      <c r="A211" s="713"/>
      <c r="B211" s="713"/>
      <c r="C211" s="713"/>
      <c r="D211" s="713"/>
      <c r="E211" s="713"/>
      <c r="F211" s="713"/>
      <c r="G211" s="713"/>
      <c r="H211" s="713"/>
      <c r="I211" s="713"/>
      <c r="J211" s="713"/>
      <c r="K211" s="713"/>
      <c r="L211" s="713"/>
      <c r="M211" s="713"/>
      <c r="N211" s="713"/>
    </row>
    <row r="212" spans="1:14" ht="18">
      <c r="A212" s="713"/>
      <c r="B212" s="713"/>
      <c r="C212" s="713"/>
      <c r="D212" s="713"/>
      <c r="E212" s="713"/>
      <c r="F212" s="713"/>
      <c r="G212" s="713"/>
      <c r="H212" s="713"/>
      <c r="I212" s="713"/>
      <c r="J212" s="713"/>
      <c r="K212" s="713"/>
      <c r="L212" s="713"/>
      <c r="M212" s="713"/>
      <c r="N212" s="713"/>
    </row>
    <row r="213" spans="1:14" ht="18">
      <c r="A213" s="713"/>
      <c r="B213" s="713"/>
      <c r="C213" s="713"/>
      <c r="D213" s="713"/>
      <c r="E213" s="713"/>
      <c r="F213" s="713"/>
      <c r="G213" s="713"/>
      <c r="H213" s="713"/>
      <c r="I213" s="713"/>
      <c r="J213" s="713"/>
      <c r="K213" s="713"/>
      <c r="L213" s="713"/>
      <c r="M213" s="713"/>
      <c r="N213" s="713"/>
    </row>
    <row r="214" spans="1:14" ht="18">
      <c r="A214" s="713"/>
      <c r="B214" s="713"/>
      <c r="C214" s="713"/>
      <c r="D214" s="713"/>
      <c r="E214" s="713"/>
      <c r="F214" s="713"/>
      <c r="G214" s="713"/>
      <c r="H214" s="713"/>
      <c r="I214" s="713"/>
      <c r="J214" s="713"/>
      <c r="K214" s="713"/>
      <c r="L214" s="713"/>
      <c r="M214" s="713"/>
      <c r="N214" s="713"/>
    </row>
    <row r="215" spans="1:14" ht="18">
      <c r="A215" s="713"/>
      <c r="B215" s="713"/>
      <c r="C215" s="713"/>
      <c r="D215" s="713"/>
      <c r="E215" s="713"/>
      <c r="F215" s="713"/>
      <c r="G215" s="713"/>
      <c r="H215" s="713"/>
      <c r="I215" s="713"/>
      <c r="J215" s="713"/>
      <c r="K215" s="713"/>
      <c r="L215" s="713"/>
      <c r="M215" s="713"/>
      <c r="N215" s="713"/>
    </row>
    <row r="216" spans="1:14" ht="18">
      <c r="A216" s="713"/>
      <c r="B216" s="713"/>
      <c r="C216" s="713"/>
      <c r="D216" s="713"/>
      <c r="E216" s="713"/>
      <c r="F216" s="713"/>
      <c r="G216" s="713"/>
      <c r="H216" s="713"/>
      <c r="I216" s="713"/>
      <c r="J216" s="713"/>
      <c r="K216" s="713"/>
      <c r="L216" s="713"/>
      <c r="M216" s="713"/>
      <c r="N216" s="713"/>
    </row>
    <row r="217" spans="1:14" ht="18">
      <c r="A217" s="713"/>
      <c r="B217" s="713"/>
      <c r="C217" s="713"/>
      <c r="D217" s="713"/>
      <c r="E217" s="713"/>
      <c r="F217" s="713"/>
      <c r="G217" s="713"/>
      <c r="H217" s="713"/>
      <c r="I217" s="713"/>
      <c r="J217" s="713"/>
      <c r="K217" s="713"/>
      <c r="L217" s="713"/>
      <c r="M217" s="713"/>
      <c r="N217" s="713"/>
    </row>
    <row r="218" spans="1:14" ht="18">
      <c r="A218" s="713"/>
      <c r="B218" s="713"/>
      <c r="C218" s="713"/>
      <c r="D218" s="713"/>
      <c r="E218" s="713"/>
      <c r="F218" s="713"/>
      <c r="G218" s="713"/>
      <c r="H218" s="713"/>
      <c r="I218" s="713"/>
      <c r="J218" s="713"/>
      <c r="K218" s="713"/>
      <c r="L218" s="713"/>
      <c r="M218" s="713"/>
      <c r="N218" s="713"/>
    </row>
    <row r="219" spans="1:14" ht="18">
      <c r="A219" s="713"/>
      <c r="B219" s="713"/>
      <c r="C219" s="713"/>
      <c r="D219" s="713"/>
      <c r="E219" s="713"/>
      <c r="F219" s="713"/>
      <c r="G219" s="713"/>
      <c r="H219" s="713"/>
      <c r="I219" s="713"/>
      <c r="J219" s="713"/>
      <c r="K219" s="713"/>
      <c r="L219" s="713"/>
      <c r="M219" s="713"/>
      <c r="N219" s="713"/>
    </row>
    <row r="220" spans="1:14" ht="18">
      <c r="A220" s="713"/>
      <c r="B220" s="713"/>
      <c r="C220" s="713"/>
      <c r="D220" s="713"/>
      <c r="E220" s="713"/>
      <c r="F220" s="713"/>
      <c r="G220" s="713"/>
      <c r="H220" s="713"/>
      <c r="I220" s="713"/>
      <c r="J220" s="713"/>
      <c r="K220" s="713"/>
      <c r="L220" s="713"/>
      <c r="M220" s="713"/>
      <c r="N220" s="713"/>
    </row>
    <row r="221" spans="1:14" ht="18">
      <c r="A221" s="713"/>
      <c r="B221" s="713"/>
      <c r="C221" s="713"/>
      <c r="D221" s="713"/>
      <c r="E221" s="713"/>
      <c r="F221" s="713"/>
      <c r="G221" s="713"/>
      <c r="H221" s="713"/>
      <c r="I221" s="713"/>
      <c r="J221" s="713"/>
      <c r="K221" s="713"/>
      <c r="L221" s="713"/>
      <c r="M221" s="713"/>
      <c r="N221" s="713"/>
    </row>
    <row r="222" spans="1:14" ht="18">
      <c r="A222" s="713"/>
      <c r="B222" s="713"/>
      <c r="C222" s="713"/>
      <c r="D222" s="713"/>
      <c r="E222" s="713"/>
      <c r="F222" s="713"/>
      <c r="G222" s="713"/>
      <c r="H222" s="713"/>
      <c r="I222" s="713"/>
      <c r="J222" s="713"/>
      <c r="K222" s="713"/>
      <c r="L222" s="713"/>
      <c r="M222" s="713"/>
      <c r="N222" s="713"/>
    </row>
    <row r="223" spans="1:14" ht="18">
      <c r="A223" s="713"/>
      <c r="B223" s="713"/>
      <c r="C223" s="713"/>
      <c r="D223" s="713"/>
      <c r="E223" s="713"/>
      <c r="F223" s="713"/>
      <c r="G223" s="713"/>
      <c r="H223" s="713"/>
      <c r="I223" s="713"/>
      <c r="J223" s="713"/>
      <c r="K223" s="713"/>
      <c r="L223" s="713"/>
      <c r="M223" s="713"/>
      <c r="N223" s="713"/>
    </row>
    <row r="224" spans="1:14" ht="18">
      <c r="A224" s="713"/>
      <c r="B224" s="713"/>
      <c r="C224" s="713"/>
      <c r="D224" s="713"/>
      <c r="E224" s="713"/>
      <c r="F224" s="713"/>
      <c r="G224" s="713"/>
      <c r="H224" s="713"/>
      <c r="I224" s="713"/>
      <c r="J224" s="713"/>
      <c r="K224" s="713"/>
      <c r="L224" s="713"/>
      <c r="M224" s="713"/>
      <c r="N224" s="713"/>
    </row>
    <row r="225" spans="1:14" ht="18">
      <c r="A225" s="713"/>
      <c r="B225" s="713"/>
      <c r="C225" s="713"/>
      <c r="D225" s="713"/>
      <c r="E225" s="713"/>
      <c r="F225" s="713"/>
      <c r="G225" s="713"/>
      <c r="H225" s="713"/>
      <c r="I225" s="713"/>
      <c r="J225" s="713"/>
      <c r="K225" s="713"/>
      <c r="L225" s="713"/>
      <c r="M225" s="713"/>
      <c r="N225" s="713"/>
    </row>
    <row r="226" spans="1:14" ht="18">
      <c r="A226" s="713"/>
      <c r="B226" s="713"/>
      <c r="C226" s="713"/>
      <c r="D226" s="713"/>
      <c r="E226" s="713"/>
      <c r="F226" s="713"/>
      <c r="G226" s="713"/>
      <c r="H226" s="713"/>
      <c r="I226" s="713"/>
      <c r="J226" s="713"/>
      <c r="K226" s="713"/>
      <c r="L226" s="713"/>
      <c r="M226" s="713"/>
      <c r="N226" s="713"/>
    </row>
    <row r="227" spans="1:14" ht="18">
      <c r="A227" s="713"/>
      <c r="B227" s="713"/>
      <c r="C227" s="713"/>
      <c r="D227" s="713"/>
      <c r="E227" s="713"/>
      <c r="F227" s="713"/>
      <c r="G227" s="713"/>
      <c r="H227" s="713"/>
      <c r="I227" s="713"/>
      <c r="J227" s="713"/>
      <c r="K227" s="713"/>
      <c r="L227" s="713"/>
      <c r="M227" s="713"/>
      <c r="N227" s="713"/>
    </row>
    <row r="228" spans="1:14" ht="18">
      <c r="A228" s="713"/>
      <c r="B228" s="713"/>
      <c r="C228" s="713"/>
      <c r="D228" s="713"/>
      <c r="E228" s="713"/>
      <c r="F228" s="713"/>
      <c r="G228" s="713"/>
      <c r="H228" s="713"/>
      <c r="I228" s="713"/>
      <c r="J228" s="713"/>
      <c r="K228" s="713"/>
      <c r="L228" s="713"/>
      <c r="M228" s="713"/>
      <c r="N228" s="713"/>
    </row>
    <row r="229" spans="1:14" ht="18">
      <c r="A229" s="713"/>
      <c r="B229" s="713"/>
      <c r="C229" s="713"/>
      <c r="D229" s="713"/>
      <c r="E229" s="713"/>
      <c r="F229" s="713"/>
      <c r="G229" s="713"/>
      <c r="H229" s="713"/>
      <c r="I229" s="713"/>
      <c r="J229" s="713"/>
      <c r="K229" s="713"/>
      <c r="L229" s="713"/>
      <c r="M229" s="713"/>
      <c r="N229" s="713"/>
    </row>
    <row r="230" spans="1:14" ht="18">
      <c r="A230" s="713"/>
      <c r="B230" s="713"/>
      <c r="C230" s="713"/>
      <c r="D230" s="713"/>
      <c r="E230" s="713"/>
      <c r="F230" s="713"/>
      <c r="G230" s="713"/>
      <c r="H230" s="713"/>
      <c r="I230" s="713"/>
      <c r="J230" s="713"/>
      <c r="K230" s="713"/>
      <c r="L230" s="713"/>
      <c r="M230" s="713"/>
      <c r="N230" s="713"/>
    </row>
    <row r="231" spans="1:14" ht="18">
      <c r="A231" s="713"/>
      <c r="B231" s="713"/>
      <c r="C231" s="713"/>
      <c r="D231" s="713"/>
      <c r="E231" s="713"/>
      <c r="F231" s="713"/>
      <c r="G231" s="713"/>
      <c r="H231" s="713"/>
      <c r="I231" s="713"/>
      <c r="J231" s="713"/>
      <c r="K231" s="713"/>
      <c r="L231" s="713"/>
      <c r="M231" s="713"/>
      <c r="N231" s="713"/>
    </row>
    <row r="232" spans="1:14" ht="18">
      <c r="A232" s="713"/>
      <c r="B232" s="713"/>
      <c r="C232" s="713"/>
      <c r="D232" s="713"/>
      <c r="E232" s="713"/>
      <c r="F232" s="713"/>
      <c r="G232" s="713"/>
      <c r="H232" s="713"/>
      <c r="I232" s="713"/>
      <c r="J232" s="713"/>
      <c r="K232" s="713"/>
      <c r="L232" s="713"/>
      <c r="M232" s="713"/>
      <c r="N232" s="713"/>
    </row>
    <row r="233" spans="1:14" ht="18">
      <c r="A233" s="713"/>
      <c r="B233" s="713"/>
      <c r="C233" s="713"/>
      <c r="D233" s="713"/>
      <c r="E233" s="713"/>
      <c r="F233" s="713"/>
      <c r="G233" s="713"/>
      <c r="H233" s="713"/>
      <c r="I233" s="713"/>
      <c r="J233" s="713"/>
      <c r="K233" s="713"/>
      <c r="L233" s="713"/>
      <c r="M233" s="713"/>
      <c r="N233" s="713"/>
    </row>
    <row r="234" spans="1:14" ht="18">
      <c r="A234" s="713"/>
      <c r="B234" s="713"/>
      <c r="C234" s="713"/>
      <c r="D234" s="713"/>
      <c r="E234" s="713"/>
      <c r="F234" s="713"/>
      <c r="G234" s="713"/>
      <c r="H234" s="713"/>
      <c r="I234" s="713"/>
      <c r="J234" s="713"/>
      <c r="K234" s="713"/>
      <c r="L234" s="713"/>
      <c r="M234" s="713"/>
      <c r="N234" s="713"/>
    </row>
    <row r="235" spans="1:14" ht="18">
      <c r="A235" s="713"/>
      <c r="B235" s="713"/>
      <c r="C235" s="713"/>
      <c r="D235" s="713"/>
      <c r="E235" s="713"/>
      <c r="F235" s="713"/>
      <c r="G235" s="713"/>
      <c r="H235" s="713"/>
      <c r="I235" s="713"/>
      <c r="J235" s="713"/>
      <c r="K235" s="713"/>
      <c r="L235" s="713"/>
      <c r="M235" s="713"/>
      <c r="N235" s="713"/>
    </row>
    <row r="236" spans="1:14" ht="18">
      <c r="A236" s="713"/>
      <c r="B236" s="713"/>
      <c r="C236" s="713"/>
      <c r="D236" s="713"/>
      <c r="E236" s="713"/>
      <c r="F236" s="713"/>
      <c r="G236" s="713"/>
      <c r="H236" s="713"/>
      <c r="I236" s="713"/>
      <c r="J236" s="713"/>
      <c r="K236" s="713"/>
      <c r="L236" s="713"/>
      <c r="M236" s="713"/>
      <c r="N236" s="713"/>
    </row>
    <row r="237" spans="1:14" ht="18">
      <c r="A237" s="713"/>
      <c r="B237" s="713"/>
      <c r="C237" s="713"/>
      <c r="D237" s="713"/>
      <c r="E237" s="713"/>
      <c r="F237" s="713"/>
      <c r="G237" s="713"/>
      <c r="H237" s="713"/>
      <c r="I237" s="713"/>
      <c r="J237" s="713"/>
      <c r="K237" s="713"/>
      <c r="L237" s="713"/>
      <c r="M237" s="713"/>
      <c r="N237" s="713"/>
    </row>
    <row r="238" spans="1:14" ht="18">
      <c r="A238" s="713"/>
      <c r="B238" s="713"/>
      <c r="C238" s="713"/>
      <c r="D238" s="713"/>
      <c r="E238" s="713"/>
      <c r="F238" s="713"/>
      <c r="G238" s="713"/>
      <c r="H238" s="713"/>
      <c r="I238" s="713"/>
      <c r="J238" s="713"/>
      <c r="K238" s="713"/>
      <c r="L238" s="713"/>
      <c r="M238" s="713"/>
      <c r="N238" s="713"/>
    </row>
    <row r="239" spans="1:14" ht="18">
      <c r="A239" s="713"/>
      <c r="B239" s="713"/>
      <c r="C239" s="713"/>
      <c r="D239" s="713"/>
      <c r="E239" s="713"/>
      <c r="F239" s="713"/>
      <c r="G239" s="713"/>
      <c r="H239" s="713"/>
      <c r="I239" s="713"/>
      <c r="J239" s="713"/>
      <c r="K239" s="713"/>
      <c r="L239" s="713"/>
      <c r="M239" s="713"/>
      <c r="N239" s="713"/>
    </row>
    <row r="240" spans="1:14" ht="18">
      <c r="A240" s="713"/>
      <c r="B240" s="713"/>
      <c r="C240" s="713"/>
      <c r="D240" s="713"/>
      <c r="E240" s="713"/>
      <c r="F240" s="713"/>
      <c r="G240" s="713"/>
      <c r="H240" s="713"/>
      <c r="I240" s="713"/>
      <c r="J240" s="713"/>
      <c r="K240" s="713"/>
      <c r="L240" s="713"/>
      <c r="M240" s="713"/>
      <c r="N240" s="713"/>
    </row>
    <row r="241" spans="1:14" ht="18">
      <c r="A241" s="713"/>
      <c r="B241" s="713"/>
      <c r="C241" s="713"/>
      <c r="D241" s="713"/>
      <c r="E241" s="713"/>
      <c r="F241" s="713"/>
      <c r="G241" s="713"/>
      <c r="H241" s="713"/>
      <c r="I241" s="713"/>
      <c r="J241" s="713"/>
      <c r="K241" s="713"/>
      <c r="L241" s="713"/>
      <c r="M241" s="713"/>
      <c r="N241" s="713"/>
    </row>
    <row r="242" spans="1:14" ht="18">
      <c r="A242" s="713"/>
      <c r="B242" s="713"/>
      <c r="C242" s="713"/>
      <c r="D242" s="713"/>
      <c r="E242" s="713"/>
      <c r="F242" s="713"/>
      <c r="G242" s="713"/>
      <c r="H242" s="713"/>
      <c r="I242" s="713"/>
      <c r="J242" s="713"/>
      <c r="K242" s="713"/>
      <c r="L242" s="713"/>
      <c r="M242" s="713"/>
      <c r="N242" s="713"/>
    </row>
    <row r="243" spans="1:14" ht="18">
      <c r="A243" s="713"/>
      <c r="B243" s="713"/>
      <c r="C243" s="713"/>
      <c r="D243" s="713"/>
      <c r="E243" s="713"/>
      <c r="F243" s="713"/>
      <c r="G243" s="713"/>
      <c r="H243" s="713"/>
      <c r="I243" s="713"/>
      <c r="J243" s="713"/>
      <c r="K243" s="713"/>
      <c r="L243" s="713"/>
      <c r="M243" s="713"/>
      <c r="N243" s="713"/>
    </row>
    <row r="244" spans="1:14" ht="18">
      <c r="A244" s="713"/>
      <c r="B244" s="713"/>
      <c r="C244" s="713"/>
      <c r="D244" s="713"/>
      <c r="E244" s="713"/>
      <c r="F244" s="713"/>
      <c r="G244" s="713"/>
      <c r="H244" s="713"/>
      <c r="I244" s="713"/>
      <c r="J244" s="713"/>
      <c r="K244" s="713"/>
      <c r="L244" s="713"/>
      <c r="M244" s="713"/>
      <c r="N244" s="713"/>
    </row>
    <row r="245" spans="1:14" ht="18">
      <c r="A245" s="713"/>
      <c r="B245" s="713"/>
      <c r="C245" s="713"/>
      <c r="D245" s="713"/>
      <c r="E245" s="713"/>
      <c r="F245" s="713"/>
      <c r="G245" s="713"/>
      <c r="H245" s="713"/>
      <c r="I245" s="713"/>
      <c r="J245" s="713"/>
      <c r="K245" s="713"/>
      <c r="L245" s="713"/>
      <c r="M245" s="713"/>
      <c r="N245" s="713"/>
    </row>
    <row r="246" spans="1:14" ht="18">
      <c r="A246" s="713"/>
      <c r="B246" s="713"/>
      <c r="C246" s="713"/>
      <c r="D246" s="713"/>
      <c r="E246" s="713"/>
      <c r="F246" s="713"/>
      <c r="G246" s="713"/>
      <c r="H246" s="713"/>
      <c r="I246" s="713"/>
      <c r="J246" s="713"/>
      <c r="K246" s="713"/>
      <c r="L246" s="713"/>
      <c r="M246" s="713"/>
      <c r="N246" s="713"/>
    </row>
    <row r="247" spans="1:14" ht="18">
      <c r="A247" s="713"/>
      <c r="B247" s="713"/>
      <c r="C247" s="713"/>
      <c r="D247" s="713"/>
      <c r="E247" s="713"/>
      <c r="F247" s="713"/>
      <c r="G247" s="713"/>
      <c r="H247" s="713"/>
      <c r="I247" s="713"/>
      <c r="J247" s="713"/>
      <c r="K247" s="713"/>
      <c r="L247" s="713"/>
      <c r="M247" s="713"/>
      <c r="N247" s="713"/>
    </row>
    <row r="248" spans="1:14" ht="18">
      <c r="A248" s="713"/>
      <c r="B248" s="713"/>
      <c r="C248" s="713"/>
      <c r="D248" s="713"/>
      <c r="E248" s="713"/>
      <c r="F248" s="713"/>
      <c r="G248" s="713"/>
      <c r="H248" s="713"/>
      <c r="I248" s="713"/>
      <c r="J248" s="713"/>
      <c r="K248" s="713"/>
      <c r="L248" s="713"/>
      <c r="M248" s="713"/>
      <c r="N248" s="713"/>
    </row>
    <row r="249" spans="1:14" ht="18">
      <c r="A249" s="713"/>
      <c r="B249" s="713"/>
      <c r="C249" s="713"/>
      <c r="D249" s="713"/>
      <c r="E249" s="713"/>
      <c r="F249" s="713"/>
      <c r="G249" s="713"/>
      <c r="H249" s="713"/>
      <c r="I249" s="713"/>
      <c r="J249" s="713"/>
      <c r="K249" s="713"/>
      <c r="L249" s="713"/>
      <c r="M249" s="713"/>
      <c r="N249" s="713"/>
    </row>
    <row r="250" spans="1:14" ht="18">
      <c r="A250" s="713"/>
      <c r="B250" s="713"/>
      <c r="C250" s="713"/>
      <c r="D250" s="713"/>
      <c r="E250" s="713"/>
      <c r="F250" s="713"/>
      <c r="G250" s="713"/>
      <c r="H250" s="713"/>
      <c r="I250" s="713"/>
      <c r="J250" s="713"/>
      <c r="K250" s="713"/>
      <c r="L250" s="713"/>
      <c r="M250" s="713"/>
      <c r="N250" s="713"/>
    </row>
    <row r="251" spans="1:14" ht="18">
      <c r="A251" s="713"/>
      <c r="B251" s="713"/>
      <c r="C251" s="713"/>
      <c r="D251" s="713"/>
      <c r="E251" s="713"/>
      <c r="F251" s="713"/>
      <c r="G251" s="713"/>
      <c r="H251" s="713"/>
      <c r="I251" s="713"/>
      <c r="J251" s="713"/>
      <c r="K251" s="713"/>
      <c r="L251" s="713"/>
      <c r="M251" s="713"/>
      <c r="N251" s="713"/>
    </row>
    <row r="252" spans="1:14" ht="18">
      <c r="A252" s="713"/>
      <c r="B252" s="713"/>
      <c r="C252" s="713"/>
      <c r="D252" s="713"/>
      <c r="E252" s="713"/>
      <c r="F252" s="713"/>
      <c r="G252" s="713"/>
      <c r="H252" s="713"/>
      <c r="I252" s="713"/>
      <c r="J252" s="713"/>
      <c r="K252" s="713"/>
      <c r="L252" s="713"/>
      <c r="M252" s="713"/>
      <c r="N252" s="713"/>
    </row>
    <row r="253" spans="1:14" ht="18">
      <c r="A253" s="713"/>
      <c r="B253" s="713"/>
      <c r="C253" s="713"/>
      <c r="D253" s="713"/>
      <c r="E253" s="713"/>
      <c r="F253" s="713"/>
      <c r="G253" s="713"/>
      <c r="H253" s="713"/>
      <c r="I253" s="713"/>
      <c r="J253" s="713"/>
      <c r="K253" s="713"/>
      <c r="L253" s="713"/>
      <c r="M253" s="713"/>
      <c r="N253" s="713"/>
    </row>
    <row r="254" spans="1:14" ht="18">
      <c r="A254" s="713"/>
      <c r="B254" s="713"/>
      <c r="C254" s="713"/>
      <c r="D254" s="713"/>
      <c r="E254" s="713"/>
      <c r="F254" s="713"/>
      <c r="G254" s="713"/>
      <c r="H254" s="713"/>
      <c r="I254" s="713"/>
      <c r="J254" s="713"/>
      <c r="K254" s="713"/>
      <c r="L254" s="713"/>
      <c r="M254" s="713"/>
      <c r="N254" s="713"/>
    </row>
    <row r="255" spans="1:14" ht="18">
      <c r="A255" s="713"/>
      <c r="B255" s="713"/>
      <c r="C255" s="713"/>
      <c r="D255" s="713"/>
      <c r="E255" s="713"/>
      <c r="F255" s="713"/>
      <c r="G255" s="713"/>
      <c r="H255" s="713"/>
      <c r="I255" s="713"/>
      <c r="J255" s="713"/>
      <c r="K255" s="713"/>
      <c r="L255" s="713"/>
      <c r="M255" s="713"/>
      <c r="N255" s="713"/>
    </row>
    <row r="256" spans="1:14" ht="18">
      <c r="A256" s="713"/>
      <c r="B256" s="713"/>
      <c r="C256" s="713"/>
      <c r="D256" s="713"/>
      <c r="E256" s="713"/>
      <c r="F256" s="713"/>
      <c r="G256" s="713"/>
      <c r="H256" s="713"/>
      <c r="I256" s="713"/>
      <c r="J256" s="713"/>
      <c r="K256" s="713"/>
      <c r="L256" s="713"/>
      <c r="M256" s="713"/>
      <c r="N256" s="713"/>
    </row>
    <row r="257" spans="1:14" ht="18">
      <c r="A257" s="713"/>
      <c r="B257" s="713"/>
      <c r="C257" s="713"/>
      <c r="D257" s="713"/>
      <c r="E257" s="713"/>
      <c r="F257" s="713"/>
      <c r="G257" s="713"/>
      <c r="H257" s="713"/>
      <c r="I257" s="713"/>
      <c r="J257" s="713"/>
      <c r="K257" s="713"/>
      <c r="L257" s="713"/>
      <c r="M257" s="713"/>
      <c r="N257" s="713"/>
    </row>
    <row r="258" spans="1:14" ht="18">
      <c r="A258" s="713"/>
      <c r="B258" s="713"/>
      <c r="C258" s="713"/>
      <c r="D258" s="713"/>
      <c r="E258" s="713"/>
      <c r="F258" s="713"/>
      <c r="G258" s="713"/>
      <c r="H258" s="713"/>
      <c r="I258" s="713"/>
      <c r="J258" s="713"/>
      <c r="K258" s="713"/>
      <c r="L258" s="713"/>
      <c r="M258" s="713"/>
      <c r="N258" s="713"/>
    </row>
    <row r="259" spans="1:14" ht="18">
      <c r="A259" s="713"/>
      <c r="B259" s="713"/>
      <c r="C259" s="713"/>
      <c r="D259" s="713"/>
      <c r="E259" s="713"/>
      <c r="F259" s="713"/>
      <c r="G259" s="713"/>
      <c r="H259" s="713"/>
      <c r="I259" s="713"/>
      <c r="J259" s="713"/>
      <c r="K259" s="713"/>
      <c r="L259" s="713"/>
      <c r="M259" s="713"/>
      <c r="N259" s="713"/>
    </row>
    <row r="260" spans="1:14" ht="18">
      <c r="A260" s="713"/>
      <c r="B260" s="713"/>
      <c r="C260" s="713"/>
      <c r="D260" s="713"/>
      <c r="E260" s="713"/>
      <c r="F260" s="713"/>
      <c r="G260" s="713"/>
      <c r="H260" s="713"/>
      <c r="I260" s="713"/>
      <c r="J260" s="713"/>
      <c r="K260" s="713"/>
      <c r="L260" s="713"/>
      <c r="M260" s="713"/>
      <c r="N260" s="713"/>
    </row>
    <row r="261" spans="1:14" ht="18">
      <c r="A261" s="713"/>
      <c r="B261" s="713"/>
      <c r="C261" s="713"/>
      <c r="D261" s="713"/>
      <c r="E261" s="713"/>
      <c r="F261" s="713"/>
      <c r="G261" s="713"/>
      <c r="H261" s="713"/>
      <c r="I261" s="713"/>
      <c r="J261" s="713"/>
      <c r="K261" s="713"/>
      <c r="L261" s="713"/>
      <c r="M261" s="713"/>
      <c r="N261" s="713"/>
    </row>
    <row r="262" spans="1:14" ht="18">
      <c r="A262" s="713"/>
      <c r="B262" s="713"/>
      <c r="C262" s="713"/>
      <c r="D262" s="713"/>
      <c r="E262" s="713"/>
      <c r="F262" s="713"/>
      <c r="G262" s="713"/>
      <c r="H262" s="713"/>
      <c r="I262" s="713"/>
      <c r="J262" s="713"/>
      <c r="K262" s="713"/>
      <c r="L262" s="713"/>
      <c r="M262" s="713"/>
      <c r="N262" s="713"/>
    </row>
    <row r="263" spans="1:14" ht="18">
      <c r="A263" s="713"/>
      <c r="B263" s="713"/>
      <c r="C263" s="713"/>
      <c r="D263" s="713"/>
      <c r="E263" s="713"/>
      <c r="F263" s="713"/>
      <c r="G263" s="713"/>
      <c r="H263" s="713"/>
      <c r="I263" s="713"/>
      <c r="J263" s="713"/>
      <c r="K263" s="713"/>
      <c r="L263" s="713"/>
      <c r="M263" s="713"/>
      <c r="N263" s="713"/>
    </row>
    <row r="264" spans="1:14" ht="18">
      <c r="A264" s="713"/>
      <c r="B264" s="713"/>
      <c r="C264" s="713"/>
      <c r="D264" s="713"/>
      <c r="E264" s="713"/>
      <c r="F264" s="713"/>
      <c r="G264" s="713"/>
      <c r="H264" s="713"/>
      <c r="I264" s="713"/>
      <c r="J264" s="713"/>
      <c r="K264" s="713"/>
      <c r="L264" s="713"/>
      <c r="M264" s="713"/>
      <c r="N264" s="713"/>
    </row>
    <row r="265" spans="1:14" ht="18">
      <c r="A265" s="713"/>
      <c r="B265" s="713"/>
      <c r="C265" s="713"/>
      <c r="D265" s="713"/>
      <c r="E265" s="713"/>
      <c r="F265" s="713"/>
      <c r="G265" s="713"/>
      <c r="H265" s="713"/>
      <c r="I265" s="713"/>
      <c r="J265" s="713"/>
      <c r="K265" s="713"/>
      <c r="L265" s="713"/>
      <c r="M265" s="713"/>
      <c r="N265" s="713"/>
    </row>
    <row r="266" spans="1:14" ht="18">
      <c r="A266" s="713"/>
      <c r="B266" s="713"/>
      <c r="C266" s="713"/>
      <c r="D266" s="713"/>
      <c r="E266" s="713"/>
      <c r="F266" s="713"/>
      <c r="G266" s="713"/>
      <c r="H266" s="713"/>
      <c r="I266" s="713"/>
      <c r="J266" s="713"/>
      <c r="K266" s="713"/>
      <c r="L266" s="713"/>
      <c r="M266" s="713"/>
      <c r="N266" s="713"/>
    </row>
    <row r="267" spans="1:14" ht="18">
      <c r="A267" s="713"/>
      <c r="B267" s="713"/>
      <c r="C267" s="713"/>
      <c r="D267" s="713"/>
      <c r="E267" s="713"/>
      <c r="F267" s="713"/>
      <c r="G267" s="713"/>
      <c r="H267" s="713"/>
      <c r="I267" s="713"/>
      <c r="J267" s="713"/>
      <c r="K267" s="713"/>
      <c r="L267" s="713"/>
      <c r="M267" s="713"/>
      <c r="N267" s="713"/>
    </row>
    <row r="268" spans="1:14" ht="18">
      <c r="A268" s="713"/>
      <c r="B268" s="713"/>
      <c r="C268" s="713"/>
      <c r="D268" s="713"/>
      <c r="E268" s="713"/>
      <c r="F268" s="713"/>
      <c r="G268" s="713"/>
      <c r="H268" s="713"/>
      <c r="I268" s="713"/>
      <c r="J268" s="713"/>
      <c r="K268" s="713"/>
      <c r="L268" s="713"/>
      <c r="M268" s="713"/>
      <c r="N268" s="713"/>
    </row>
    <row r="269" spans="1:14" ht="18">
      <c r="A269" s="713"/>
      <c r="B269" s="713"/>
      <c r="C269" s="713"/>
      <c r="D269" s="713"/>
      <c r="E269" s="713"/>
      <c r="F269" s="713"/>
      <c r="G269" s="713"/>
      <c r="H269" s="713"/>
      <c r="I269" s="713"/>
      <c r="J269" s="713"/>
      <c r="K269" s="713"/>
      <c r="L269" s="713"/>
      <c r="M269" s="713"/>
      <c r="N269" s="713"/>
    </row>
    <row r="270" spans="1:14" ht="18">
      <c r="A270" s="713"/>
      <c r="B270" s="713"/>
      <c r="C270" s="713"/>
      <c r="D270" s="713"/>
      <c r="E270" s="713"/>
      <c r="F270" s="713"/>
      <c r="G270" s="713"/>
      <c r="H270" s="713"/>
      <c r="I270" s="713"/>
      <c r="J270" s="713"/>
      <c r="K270" s="713"/>
      <c r="L270" s="713"/>
      <c r="M270" s="713"/>
      <c r="N270" s="713"/>
    </row>
    <row r="271" spans="1:14" ht="18">
      <c r="A271" s="713"/>
      <c r="B271" s="713"/>
      <c r="C271" s="713"/>
      <c r="D271" s="713"/>
      <c r="E271" s="713"/>
      <c r="F271" s="713"/>
      <c r="G271" s="713"/>
      <c r="H271" s="713"/>
      <c r="I271" s="713"/>
      <c r="J271" s="713"/>
      <c r="K271" s="713"/>
      <c r="L271" s="713"/>
      <c r="M271" s="713"/>
      <c r="N271" s="713"/>
    </row>
    <row r="272" spans="1:14" ht="18">
      <c r="A272" s="713"/>
      <c r="B272" s="713"/>
      <c r="C272" s="713"/>
      <c r="D272" s="713"/>
      <c r="E272" s="713"/>
      <c r="F272" s="713"/>
      <c r="G272" s="713"/>
      <c r="H272" s="713"/>
      <c r="I272" s="713"/>
      <c r="J272" s="713"/>
      <c r="K272" s="713"/>
      <c r="L272" s="713"/>
      <c r="M272" s="713"/>
      <c r="N272" s="713"/>
    </row>
    <row r="273" spans="1:14" ht="18">
      <c r="A273" s="713"/>
      <c r="B273" s="713"/>
      <c r="C273" s="713"/>
      <c r="D273" s="713"/>
      <c r="E273" s="713"/>
      <c r="F273" s="713"/>
      <c r="G273" s="713"/>
      <c r="H273" s="713"/>
      <c r="I273" s="713"/>
      <c r="J273" s="713"/>
      <c r="K273" s="713"/>
      <c r="L273" s="713"/>
      <c r="M273" s="713"/>
      <c r="N273" s="713"/>
    </row>
    <row r="274" spans="1:14" ht="18">
      <c r="A274" s="713"/>
      <c r="B274" s="713"/>
      <c r="C274" s="713"/>
      <c r="D274" s="713"/>
      <c r="E274" s="713"/>
      <c r="F274" s="713"/>
      <c r="G274" s="713"/>
      <c r="H274" s="713"/>
      <c r="I274" s="713"/>
      <c r="J274" s="713"/>
      <c r="K274" s="713"/>
      <c r="L274" s="713"/>
      <c r="M274" s="713"/>
      <c r="N274" s="713"/>
    </row>
    <row r="275" spans="1:14" ht="18">
      <c r="A275" s="713"/>
      <c r="B275" s="713"/>
      <c r="C275" s="713"/>
      <c r="D275" s="713"/>
      <c r="E275" s="713"/>
      <c r="F275" s="713"/>
      <c r="G275" s="713"/>
      <c r="H275" s="713"/>
      <c r="I275" s="713"/>
      <c r="J275" s="713"/>
      <c r="K275" s="713"/>
      <c r="L275" s="713"/>
      <c r="M275" s="713"/>
      <c r="N275" s="713"/>
    </row>
    <row r="276" spans="1:14" ht="18">
      <c r="A276" s="713"/>
      <c r="B276" s="713"/>
      <c r="C276" s="713"/>
      <c r="D276" s="713"/>
      <c r="E276" s="713"/>
      <c r="F276" s="713"/>
      <c r="G276" s="713"/>
      <c r="H276" s="713"/>
      <c r="I276" s="713"/>
      <c r="J276" s="713"/>
      <c r="K276" s="713"/>
      <c r="L276" s="713"/>
      <c r="M276" s="713"/>
      <c r="N276" s="713"/>
    </row>
    <row r="277" spans="1:14" ht="18">
      <c r="A277" s="713"/>
      <c r="B277" s="713"/>
      <c r="C277" s="713"/>
      <c r="D277" s="713"/>
      <c r="E277" s="713"/>
      <c r="F277" s="713"/>
      <c r="G277" s="713"/>
      <c r="H277" s="713"/>
      <c r="I277" s="713"/>
      <c r="J277" s="713"/>
      <c r="K277" s="713"/>
      <c r="L277" s="713"/>
      <c r="M277" s="713"/>
      <c r="N277" s="713"/>
    </row>
    <row r="278" spans="1:14" ht="18">
      <c r="A278" s="713"/>
      <c r="B278" s="713"/>
      <c r="C278" s="713"/>
      <c r="D278" s="713"/>
      <c r="E278" s="713"/>
      <c r="F278" s="713"/>
      <c r="G278" s="713"/>
      <c r="H278" s="713"/>
      <c r="I278" s="713"/>
      <c r="J278" s="713"/>
      <c r="K278" s="713"/>
      <c r="L278" s="713"/>
      <c r="M278" s="713"/>
      <c r="N278" s="713"/>
    </row>
    <row r="279" spans="1:14" ht="18">
      <c r="A279" s="713"/>
      <c r="B279" s="713"/>
      <c r="C279" s="713"/>
      <c r="D279" s="713"/>
      <c r="E279" s="713"/>
      <c r="F279" s="713"/>
      <c r="G279" s="713"/>
      <c r="H279" s="713"/>
      <c r="I279" s="713"/>
      <c r="J279" s="713"/>
      <c r="K279" s="713"/>
      <c r="L279" s="713"/>
      <c r="M279" s="713"/>
      <c r="N279" s="713"/>
    </row>
    <row r="280" spans="1:14" ht="18">
      <c r="A280" s="713"/>
      <c r="B280" s="713"/>
      <c r="C280" s="713"/>
      <c r="D280" s="713"/>
      <c r="E280" s="713"/>
      <c r="F280" s="713"/>
      <c r="G280" s="713"/>
      <c r="H280" s="713"/>
      <c r="I280" s="713"/>
      <c r="J280" s="713"/>
      <c r="K280" s="713"/>
      <c r="L280" s="713"/>
      <c r="M280" s="713"/>
      <c r="N280" s="713"/>
    </row>
    <row r="281" spans="1:14" ht="18">
      <c r="A281" s="713"/>
      <c r="B281" s="713"/>
      <c r="C281" s="713"/>
      <c r="D281" s="713"/>
      <c r="E281" s="713"/>
      <c r="F281" s="713"/>
      <c r="G281" s="713"/>
      <c r="H281" s="713"/>
      <c r="I281" s="713"/>
      <c r="J281" s="713"/>
      <c r="K281" s="713"/>
      <c r="L281" s="713"/>
      <c r="M281" s="713"/>
      <c r="N281" s="713"/>
    </row>
    <row r="282" spans="1:14" ht="18">
      <c r="A282" s="713"/>
      <c r="B282" s="713"/>
      <c r="C282" s="713"/>
      <c r="D282" s="713"/>
      <c r="E282" s="713"/>
      <c r="F282" s="713"/>
      <c r="G282" s="713"/>
      <c r="H282" s="713"/>
      <c r="I282" s="713"/>
      <c r="J282" s="713"/>
      <c r="K282" s="713"/>
      <c r="L282" s="713"/>
      <c r="M282" s="713"/>
      <c r="N282" s="713"/>
    </row>
    <row r="283" spans="1:14" ht="18">
      <c r="A283" s="713"/>
      <c r="B283" s="713"/>
      <c r="C283" s="713"/>
      <c r="D283" s="713"/>
      <c r="E283" s="713"/>
      <c r="F283" s="713"/>
      <c r="G283" s="713"/>
      <c r="H283" s="713"/>
      <c r="I283" s="713"/>
      <c r="J283" s="713"/>
      <c r="K283" s="713"/>
      <c r="L283" s="713"/>
      <c r="M283" s="713"/>
      <c r="N283" s="713"/>
    </row>
    <row r="284" spans="1:14" ht="18">
      <c r="A284" s="713"/>
      <c r="B284" s="713"/>
      <c r="C284" s="713"/>
      <c r="D284" s="713"/>
      <c r="E284" s="713"/>
      <c r="F284" s="713"/>
      <c r="G284" s="713"/>
      <c r="H284" s="713"/>
      <c r="I284" s="713"/>
      <c r="J284" s="713"/>
      <c r="K284" s="713"/>
      <c r="L284" s="713"/>
      <c r="M284" s="713"/>
      <c r="N284" s="713"/>
    </row>
    <row r="285" spans="1:14" ht="18">
      <c r="A285" s="713"/>
      <c r="B285" s="713"/>
      <c r="C285" s="713"/>
      <c r="D285" s="713"/>
      <c r="E285" s="713"/>
      <c r="F285" s="713"/>
      <c r="G285" s="713"/>
      <c r="H285" s="713"/>
      <c r="I285" s="713"/>
      <c r="J285" s="713"/>
      <c r="K285" s="713"/>
      <c r="L285" s="713"/>
      <c r="M285" s="713"/>
      <c r="N285" s="713"/>
    </row>
    <row r="286" spans="1:14" ht="18">
      <c r="A286" s="713"/>
      <c r="B286" s="713"/>
      <c r="C286" s="713"/>
      <c r="D286" s="713"/>
      <c r="E286" s="713"/>
      <c r="F286" s="713"/>
      <c r="G286" s="713"/>
      <c r="H286" s="713"/>
      <c r="I286" s="713"/>
      <c r="J286" s="713"/>
      <c r="K286" s="713"/>
      <c r="L286" s="713"/>
      <c r="M286" s="713"/>
      <c r="N286" s="713"/>
    </row>
    <row r="287" spans="1:14" ht="18">
      <c r="A287" s="713"/>
      <c r="B287" s="713"/>
      <c r="C287" s="713"/>
      <c r="D287" s="713"/>
      <c r="E287" s="713"/>
      <c r="F287" s="713"/>
      <c r="G287" s="713"/>
      <c r="H287" s="713"/>
      <c r="I287" s="713"/>
      <c r="J287" s="713"/>
      <c r="K287" s="713"/>
      <c r="L287" s="713"/>
      <c r="M287" s="713"/>
      <c r="N287" s="713"/>
    </row>
    <row r="288" spans="1:14" ht="18">
      <c r="A288" s="713"/>
      <c r="B288" s="713"/>
      <c r="C288" s="713"/>
      <c r="D288" s="713"/>
      <c r="E288" s="713"/>
      <c r="F288" s="713"/>
      <c r="G288" s="713"/>
      <c r="H288" s="713"/>
      <c r="I288" s="713"/>
      <c r="J288" s="713"/>
      <c r="K288" s="713"/>
      <c r="L288" s="713"/>
      <c r="M288" s="713"/>
      <c r="N288" s="713"/>
    </row>
    <row r="289" spans="1:14" ht="18">
      <c r="A289" s="713"/>
      <c r="B289" s="713"/>
      <c r="C289" s="713"/>
      <c r="D289" s="713"/>
      <c r="E289" s="713"/>
      <c r="F289" s="713"/>
      <c r="G289" s="713"/>
      <c r="H289" s="713"/>
      <c r="I289" s="713"/>
      <c r="J289" s="713"/>
      <c r="K289" s="713"/>
      <c r="L289" s="713"/>
      <c r="M289" s="713"/>
      <c r="N289" s="713"/>
    </row>
    <row r="290" spans="1:14" ht="18">
      <c r="A290" s="713"/>
      <c r="B290" s="713"/>
      <c r="C290" s="713"/>
      <c r="D290" s="713"/>
      <c r="E290" s="713"/>
      <c r="F290" s="713"/>
      <c r="G290" s="713"/>
      <c r="H290" s="713"/>
      <c r="I290" s="713"/>
      <c r="J290" s="713"/>
      <c r="K290" s="713"/>
      <c r="L290" s="713"/>
      <c r="M290" s="713"/>
      <c r="N290" s="713"/>
    </row>
    <row r="291" spans="1:14" ht="18">
      <c r="A291" s="713"/>
      <c r="B291" s="713"/>
      <c r="C291" s="713"/>
      <c r="D291" s="713"/>
      <c r="E291" s="713"/>
      <c r="F291" s="713"/>
      <c r="G291" s="713"/>
      <c r="H291" s="713"/>
      <c r="I291" s="713"/>
      <c r="J291" s="713"/>
      <c r="K291" s="713"/>
      <c r="L291" s="713"/>
      <c r="M291" s="713"/>
      <c r="N291" s="713"/>
    </row>
    <row r="292" spans="1:14" ht="18">
      <c r="A292" s="713"/>
      <c r="B292" s="713"/>
      <c r="C292" s="713"/>
      <c r="D292" s="713"/>
      <c r="E292" s="713"/>
      <c r="F292" s="713"/>
      <c r="G292" s="713"/>
      <c r="H292" s="713"/>
      <c r="I292" s="713"/>
      <c r="J292" s="713"/>
      <c r="K292" s="713"/>
      <c r="L292" s="713"/>
      <c r="M292" s="713"/>
      <c r="N292" s="713"/>
    </row>
    <row r="293" spans="1:14" ht="18">
      <c r="A293" s="713"/>
      <c r="B293" s="713"/>
      <c r="C293" s="713"/>
      <c r="D293" s="713"/>
      <c r="E293" s="713"/>
      <c r="F293" s="713"/>
      <c r="G293" s="713"/>
      <c r="H293" s="713"/>
      <c r="I293" s="713"/>
      <c r="J293" s="713"/>
      <c r="K293" s="713"/>
      <c r="L293" s="713"/>
      <c r="M293" s="713"/>
      <c r="N293" s="713"/>
    </row>
    <row r="294" spans="1:14" ht="18">
      <c r="A294" s="713"/>
      <c r="B294" s="713"/>
      <c r="C294" s="713"/>
      <c r="D294" s="713"/>
      <c r="E294" s="713"/>
      <c r="F294" s="713"/>
      <c r="G294" s="713"/>
      <c r="H294" s="713"/>
      <c r="I294" s="713"/>
      <c r="J294" s="713"/>
      <c r="K294" s="713"/>
      <c r="L294" s="713"/>
      <c r="M294" s="713"/>
      <c r="N294" s="713"/>
    </row>
    <row r="295" spans="1:14" ht="18">
      <c r="A295" s="713"/>
      <c r="B295" s="713"/>
      <c r="C295" s="713"/>
      <c r="D295" s="713"/>
      <c r="E295" s="713"/>
      <c r="F295" s="713"/>
      <c r="G295" s="713"/>
      <c r="H295" s="713"/>
      <c r="I295" s="713"/>
      <c r="J295" s="713"/>
      <c r="K295" s="713"/>
      <c r="L295" s="713"/>
      <c r="M295" s="713"/>
      <c r="N295" s="713"/>
    </row>
    <row r="296" spans="1:14" ht="18">
      <c r="A296" s="713"/>
      <c r="B296" s="713"/>
      <c r="C296" s="713"/>
      <c r="D296" s="713"/>
      <c r="E296" s="713"/>
      <c r="F296" s="713"/>
      <c r="G296" s="713"/>
      <c r="H296" s="713"/>
      <c r="I296" s="713"/>
      <c r="J296" s="713"/>
      <c r="K296" s="713"/>
      <c r="L296" s="713"/>
      <c r="M296" s="713"/>
      <c r="N296" s="713"/>
    </row>
    <row r="297" spans="1:14" ht="18">
      <c r="A297" s="713"/>
      <c r="B297" s="713"/>
      <c r="C297" s="713"/>
      <c r="D297" s="713"/>
      <c r="E297" s="713"/>
      <c r="F297" s="713"/>
      <c r="G297" s="713"/>
      <c r="H297" s="713"/>
      <c r="I297" s="713"/>
      <c r="J297" s="713"/>
      <c r="K297" s="713"/>
      <c r="L297" s="713"/>
      <c r="M297" s="713"/>
      <c r="N297" s="713"/>
    </row>
    <row r="298" spans="1:14" ht="18">
      <c r="A298" s="713"/>
      <c r="B298" s="713"/>
      <c r="C298" s="713"/>
      <c r="D298" s="713"/>
      <c r="E298" s="713"/>
      <c r="F298" s="713"/>
      <c r="G298" s="713"/>
      <c r="H298" s="713"/>
      <c r="I298" s="713"/>
      <c r="J298" s="713"/>
      <c r="K298" s="713"/>
      <c r="L298" s="713"/>
      <c r="M298" s="713"/>
      <c r="N298" s="713"/>
    </row>
    <row r="299" spans="1:14" ht="18">
      <c r="A299" s="713"/>
      <c r="B299" s="713"/>
      <c r="C299" s="713"/>
      <c r="D299" s="713"/>
      <c r="E299" s="713"/>
      <c r="F299" s="713"/>
      <c r="G299" s="713"/>
      <c r="H299" s="713"/>
      <c r="I299" s="713"/>
      <c r="J299" s="713"/>
      <c r="K299" s="713"/>
      <c r="L299" s="713"/>
      <c r="M299" s="713"/>
      <c r="N299" s="713"/>
    </row>
    <row r="300" spans="1:14" ht="18">
      <c r="A300" s="713"/>
      <c r="B300" s="713"/>
      <c r="C300" s="713"/>
      <c r="D300" s="713"/>
      <c r="E300" s="713"/>
      <c r="F300" s="713"/>
      <c r="G300" s="713"/>
      <c r="H300" s="713"/>
      <c r="I300" s="713"/>
      <c r="J300" s="713"/>
      <c r="K300" s="713"/>
      <c r="L300" s="713"/>
      <c r="M300" s="713"/>
      <c r="N300" s="713"/>
    </row>
    <row r="301" spans="1:14" ht="18">
      <c r="A301" s="713"/>
      <c r="B301" s="713"/>
      <c r="C301" s="713"/>
      <c r="D301" s="713"/>
      <c r="E301" s="713"/>
      <c r="F301" s="713"/>
      <c r="G301" s="713"/>
      <c r="H301" s="713"/>
      <c r="I301" s="713"/>
      <c r="J301" s="713"/>
      <c r="K301" s="713"/>
      <c r="L301" s="713"/>
      <c r="M301" s="713"/>
      <c r="N301" s="713"/>
    </row>
    <row r="302" spans="1:14" ht="18">
      <c r="A302" s="713"/>
      <c r="B302" s="713"/>
      <c r="C302" s="713"/>
      <c r="D302" s="713"/>
      <c r="E302" s="713"/>
      <c r="F302" s="713"/>
      <c r="G302" s="713"/>
      <c r="H302" s="713"/>
      <c r="I302" s="713"/>
      <c r="J302" s="713"/>
      <c r="K302" s="713"/>
      <c r="L302" s="713"/>
      <c r="M302" s="713"/>
      <c r="N302" s="713"/>
    </row>
    <row r="303" spans="1:14" ht="18">
      <c r="A303" s="713"/>
      <c r="B303" s="713"/>
      <c r="C303" s="713"/>
      <c r="D303" s="713"/>
      <c r="E303" s="713"/>
      <c r="F303" s="713"/>
      <c r="G303" s="713"/>
      <c r="H303" s="713"/>
      <c r="I303" s="713"/>
      <c r="J303" s="713"/>
      <c r="K303" s="713"/>
      <c r="L303" s="713"/>
      <c r="M303" s="713"/>
      <c r="N303" s="713"/>
    </row>
    <row r="304" spans="1:14" ht="18">
      <c r="A304" s="713"/>
      <c r="B304" s="713"/>
      <c r="C304" s="713"/>
      <c r="D304" s="713"/>
      <c r="E304" s="713"/>
      <c r="F304" s="713"/>
      <c r="G304" s="713"/>
      <c r="H304" s="713"/>
      <c r="I304" s="713"/>
      <c r="J304" s="713"/>
      <c r="K304" s="713"/>
      <c r="L304" s="713"/>
      <c r="M304" s="713"/>
      <c r="N304" s="713"/>
    </row>
    <row r="305" spans="1:14" ht="18">
      <c r="A305" s="713"/>
      <c r="B305" s="713"/>
      <c r="C305" s="713"/>
      <c r="D305" s="713"/>
      <c r="E305" s="713"/>
      <c r="F305" s="713"/>
      <c r="G305" s="713"/>
      <c r="H305" s="713"/>
      <c r="I305" s="713"/>
      <c r="J305" s="713"/>
      <c r="K305" s="713"/>
      <c r="L305" s="713"/>
      <c r="M305" s="713"/>
      <c r="N305" s="713"/>
    </row>
    <row r="306" spans="1:14" ht="18">
      <c r="A306" s="713"/>
      <c r="B306" s="713"/>
      <c r="C306" s="713"/>
      <c r="D306" s="713"/>
      <c r="E306" s="713"/>
      <c r="F306" s="713"/>
      <c r="G306" s="713"/>
      <c r="H306" s="713"/>
      <c r="I306" s="713"/>
      <c r="J306" s="713"/>
      <c r="K306" s="713"/>
      <c r="L306" s="713"/>
      <c r="M306" s="713"/>
      <c r="N306" s="713"/>
    </row>
    <row r="307" spans="1:14" ht="18">
      <c r="A307" s="713"/>
      <c r="B307" s="713"/>
      <c r="C307" s="713"/>
      <c r="D307" s="713"/>
      <c r="E307" s="713"/>
      <c r="F307" s="713"/>
      <c r="G307" s="713"/>
      <c r="H307" s="713"/>
      <c r="I307" s="713"/>
      <c r="J307" s="713"/>
      <c r="K307" s="713"/>
      <c r="L307" s="713"/>
      <c r="M307" s="713"/>
      <c r="N307" s="713"/>
    </row>
    <row r="308" spans="1:14" ht="18">
      <c r="A308" s="713"/>
      <c r="B308" s="713"/>
      <c r="C308" s="713"/>
      <c r="D308" s="713"/>
      <c r="E308" s="713"/>
      <c r="F308" s="713"/>
      <c r="G308" s="713"/>
      <c r="H308" s="713"/>
      <c r="I308" s="713"/>
      <c r="J308" s="713"/>
      <c r="K308" s="713"/>
      <c r="L308" s="713"/>
      <c r="M308" s="713"/>
      <c r="N308" s="713"/>
    </row>
    <row r="309" spans="1:14" ht="18">
      <c r="A309" s="713"/>
      <c r="B309" s="713"/>
      <c r="C309" s="713"/>
      <c r="D309" s="713"/>
      <c r="E309" s="713"/>
      <c r="F309" s="713"/>
      <c r="G309" s="713"/>
      <c r="H309" s="713"/>
      <c r="I309" s="713"/>
      <c r="J309" s="713"/>
      <c r="K309" s="713"/>
      <c r="L309" s="713"/>
      <c r="M309" s="713"/>
      <c r="N309" s="713"/>
    </row>
    <row r="310" spans="1:14" ht="18">
      <c r="A310" s="713"/>
      <c r="B310" s="713"/>
      <c r="C310" s="713"/>
      <c r="D310" s="713"/>
      <c r="E310" s="713"/>
      <c r="F310" s="713"/>
      <c r="G310" s="713"/>
      <c r="H310" s="713"/>
      <c r="I310" s="713"/>
      <c r="J310" s="713"/>
      <c r="K310" s="713"/>
      <c r="L310" s="713"/>
      <c r="M310" s="713"/>
      <c r="N310" s="713"/>
    </row>
    <row r="311" spans="1:14" ht="18">
      <c r="A311" s="713"/>
      <c r="B311" s="713"/>
      <c r="C311" s="713"/>
      <c r="D311" s="713"/>
      <c r="E311" s="713"/>
      <c r="F311" s="713"/>
      <c r="G311" s="713"/>
      <c r="H311" s="713"/>
      <c r="I311" s="713"/>
      <c r="J311" s="713"/>
      <c r="K311" s="713"/>
      <c r="L311" s="713"/>
      <c r="M311" s="713"/>
      <c r="N311" s="713"/>
    </row>
    <row r="312" spans="1:14" ht="18">
      <c r="A312" s="713"/>
      <c r="B312" s="713"/>
      <c r="C312" s="713"/>
      <c r="D312" s="713"/>
      <c r="E312" s="713"/>
      <c r="F312" s="713"/>
      <c r="G312" s="713"/>
      <c r="H312" s="713"/>
      <c r="I312" s="713"/>
      <c r="J312" s="713"/>
      <c r="K312" s="713"/>
      <c r="L312" s="713"/>
      <c r="M312" s="713"/>
      <c r="N312" s="713"/>
    </row>
    <row r="313" spans="1:14" ht="18">
      <c r="A313" s="713"/>
      <c r="B313" s="713"/>
      <c r="C313" s="713"/>
      <c r="D313" s="713"/>
      <c r="E313" s="713"/>
      <c r="F313" s="713"/>
      <c r="G313" s="713"/>
      <c r="H313" s="713"/>
      <c r="I313" s="713"/>
      <c r="J313" s="713"/>
      <c r="K313" s="713"/>
      <c r="L313" s="713"/>
      <c r="M313" s="713"/>
      <c r="N313" s="713"/>
    </row>
    <row r="314" spans="1:14" ht="18">
      <c r="A314" s="713"/>
      <c r="B314" s="713"/>
      <c r="C314" s="713"/>
      <c r="D314" s="713"/>
      <c r="E314" s="713"/>
      <c r="F314" s="713"/>
      <c r="G314" s="713"/>
      <c r="H314" s="713"/>
      <c r="I314" s="713"/>
      <c r="J314" s="713"/>
      <c r="K314" s="713"/>
      <c r="L314" s="713"/>
      <c r="M314" s="713"/>
      <c r="N314" s="713"/>
    </row>
    <row r="315" spans="1:14" ht="18">
      <c r="A315" s="713"/>
      <c r="B315" s="713"/>
      <c r="C315" s="713"/>
      <c r="D315" s="713"/>
      <c r="E315" s="713"/>
      <c r="F315" s="713"/>
      <c r="G315" s="713"/>
      <c r="H315" s="713"/>
      <c r="I315" s="713"/>
      <c r="J315" s="713"/>
      <c r="K315" s="713"/>
      <c r="L315" s="713"/>
      <c r="M315" s="713"/>
      <c r="N315" s="713"/>
    </row>
    <row r="316" spans="1:14" ht="18">
      <c r="A316" s="713"/>
      <c r="B316" s="713"/>
      <c r="C316" s="713"/>
      <c r="D316" s="713"/>
      <c r="E316" s="713"/>
      <c r="F316" s="713"/>
      <c r="G316" s="713"/>
      <c r="H316" s="713"/>
      <c r="I316" s="713"/>
      <c r="J316" s="713"/>
      <c r="K316" s="713"/>
      <c r="L316" s="713"/>
      <c r="M316" s="713"/>
      <c r="N316" s="713"/>
    </row>
    <row r="317" spans="1:14" ht="18">
      <c r="A317" s="713"/>
      <c r="B317" s="713"/>
      <c r="C317" s="713"/>
      <c r="D317" s="713"/>
      <c r="E317" s="713"/>
      <c r="F317" s="713"/>
      <c r="G317" s="713"/>
      <c r="H317" s="713"/>
      <c r="I317" s="713"/>
      <c r="J317" s="713"/>
      <c r="K317" s="713"/>
      <c r="L317" s="713"/>
      <c r="M317" s="713"/>
      <c r="N317" s="713"/>
    </row>
    <row r="318" spans="1:14" ht="18">
      <c r="A318" s="713"/>
      <c r="B318" s="713"/>
      <c r="C318" s="713"/>
      <c r="D318" s="713"/>
      <c r="E318" s="713"/>
      <c r="F318" s="713"/>
      <c r="G318" s="713"/>
      <c r="H318" s="713"/>
      <c r="I318" s="713"/>
      <c r="J318" s="713"/>
      <c r="K318" s="713"/>
      <c r="L318" s="713"/>
      <c r="M318" s="713"/>
      <c r="N318" s="713"/>
    </row>
    <row r="319" spans="1:14" ht="18">
      <c r="A319" s="713"/>
      <c r="B319" s="713"/>
      <c r="C319" s="713"/>
      <c r="D319" s="713"/>
      <c r="E319" s="713"/>
      <c r="F319" s="713"/>
      <c r="G319" s="713"/>
      <c r="H319" s="713"/>
      <c r="I319" s="713"/>
      <c r="J319" s="713"/>
      <c r="K319" s="713"/>
      <c r="L319" s="713"/>
      <c r="M319" s="713"/>
      <c r="N319" s="713"/>
    </row>
    <row r="320" spans="1:14" ht="18">
      <c r="A320" s="713"/>
      <c r="B320" s="713"/>
      <c r="C320" s="713"/>
      <c r="D320" s="713"/>
      <c r="E320" s="713"/>
      <c r="F320" s="713"/>
      <c r="G320" s="713"/>
      <c r="H320" s="713"/>
      <c r="I320" s="713"/>
      <c r="J320" s="713"/>
      <c r="K320" s="713"/>
      <c r="L320" s="713"/>
      <c r="M320" s="713"/>
      <c r="N320" s="713"/>
    </row>
    <row r="321" spans="1:14" ht="18">
      <c r="A321" s="713"/>
      <c r="B321" s="713"/>
      <c r="C321" s="713"/>
      <c r="D321" s="713"/>
      <c r="E321" s="713"/>
      <c r="F321" s="713"/>
      <c r="G321" s="713"/>
      <c r="H321" s="713"/>
      <c r="I321" s="713"/>
      <c r="J321" s="713"/>
      <c r="K321" s="713"/>
      <c r="L321" s="713"/>
      <c r="M321" s="713"/>
      <c r="N321" s="713"/>
    </row>
    <row r="322" spans="1:14" ht="18">
      <c r="A322" s="713"/>
      <c r="B322" s="713"/>
      <c r="C322" s="713"/>
      <c r="D322" s="713"/>
      <c r="E322" s="713"/>
      <c r="F322" s="713"/>
      <c r="G322" s="713"/>
      <c r="H322" s="713"/>
      <c r="I322" s="713"/>
      <c r="J322" s="713"/>
      <c r="K322" s="713"/>
      <c r="L322" s="713"/>
      <c r="M322" s="713"/>
      <c r="N322" s="713"/>
    </row>
    <row r="323" spans="1:14" ht="18">
      <c r="A323" s="713"/>
      <c r="B323" s="713"/>
      <c r="C323" s="713"/>
      <c r="D323" s="713"/>
      <c r="E323" s="713"/>
      <c r="F323" s="713"/>
      <c r="G323" s="713"/>
      <c r="H323" s="713"/>
      <c r="I323" s="713"/>
      <c r="J323" s="713"/>
      <c r="K323" s="713"/>
      <c r="L323" s="713"/>
      <c r="M323" s="713"/>
      <c r="N323" s="713"/>
    </row>
    <row r="324" spans="1:14" ht="18">
      <c r="A324" s="713"/>
      <c r="B324" s="713"/>
      <c r="C324" s="713"/>
      <c r="D324" s="713"/>
      <c r="E324" s="713"/>
      <c r="F324" s="713"/>
      <c r="G324" s="713"/>
      <c r="H324" s="713"/>
      <c r="I324" s="713"/>
      <c r="J324" s="713"/>
      <c r="K324" s="713"/>
      <c r="L324" s="713"/>
      <c r="M324" s="713"/>
      <c r="N324" s="713"/>
    </row>
    <row r="325" spans="1:14" ht="18">
      <c r="A325" s="713"/>
      <c r="B325" s="713"/>
      <c r="C325" s="713"/>
      <c r="D325" s="713"/>
      <c r="E325" s="713"/>
      <c r="F325" s="713"/>
      <c r="G325" s="713"/>
      <c r="H325" s="713"/>
      <c r="I325" s="713"/>
      <c r="J325" s="713"/>
      <c r="K325" s="713"/>
      <c r="L325" s="713"/>
      <c r="M325" s="713"/>
      <c r="N325" s="713"/>
    </row>
    <row r="326" spans="1:14" ht="18">
      <c r="A326" s="713"/>
      <c r="B326" s="713"/>
      <c r="C326" s="713"/>
      <c r="D326" s="713"/>
      <c r="E326" s="713"/>
      <c r="F326" s="713"/>
      <c r="G326" s="713"/>
      <c r="H326" s="713"/>
      <c r="I326" s="713"/>
      <c r="J326" s="713"/>
      <c r="K326" s="713"/>
      <c r="L326" s="713"/>
      <c r="M326" s="713"/>
      <c r="N326" s="713"/>
    </row>
    <row r="327" spans="1:14" ht="18">
      <c r="A327" s="713"/>
      <c r="B327" s="713"/>
      <c r="C327" s="713"/>
      <c r="D327" s="713"/>
      <c r="E327" s="713"/>
      <c r="F327" s="713"/>
      <c r="G327" s="713"/>
      <c r="H327" s="713"/>
      <c r="I327" s="713"/>
      <c r="J327" s="713"/>
      <c r="K327" s="713"/>
      <c r="L327" s="713"/>
      <c r="M327" s="713"/>
      <c r="N327" s="713"/>
    </row>
    <row r="328" spans="1:14" ht="18">
      <c r="A328" s="713"/>
      <c r="B328" s="713"/>
      <c r="C328" s="713"/>
      <c r="D328" s="713"/>
      <c r="E328" s="713"/>
      <c r="F328" s="713"/>
      <c r="G328" s="713"/>
      <c r="H328" s="713"/>
      <c r="I328" s="713"/>
      <c r="J328" s="713"/>
      <c r="K328" s="713"/>
      <c r="L328" s="713"/>
      <c r="M328" s="713"/>
      <c r="N328" s="713"/>
    </row>
  </sheetData>
  <pageMargins left="0.70866141732283472" right="0.70866141732283472" top="0.74803149606299213" bottom="0.74803149606299213" header="0.31496062992125984" footer="0.31496062992125984"/>
  <pageSetup paperSize="126" scale="8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3"/>
  <sheetViews>
    <sheetView topLeftCell="A10" zoomScaleNormal="100" workbookViewId="0">
      <selection activeCell="L11" sqref="L11"/>
    </sheetView>
  </sheetViews>
  <sheetFormatPr baseColWidth="10" defaultColWidth="10.90625" defaultRowHeight="12.75"/>
  <cols>
    <col min="1" max="1" width="2.08984375" style="8" customWidth="1"/>
    <col min="2" max="2" width="9.36328125" style="8" customWidth="1"/>
    <col min="3" max="8" width="9.08984375" style="8" customWidth="1"/>
    <col min="9" max="16384" width="10.90625" style="8"/>
  </cols>
  <sheetData>
    <row r="1" spans="2:11" s="19" customFormat="1" ht="15" customHeight="1">
      <c r="B1" s="789" t="s">
        <v>125</v>
      </c>
      <c r="C1" s="789"/>
      <c r="D1" s="789"/>
      <c r="E1" s="789"/>
      <c r="F1" s="789"/>
      <c r="G1" s="789"/>
      <c r="H1" s="789"/>
    </row>
    <row r="2" spans="2:11" s="19" customFormat="1" ht="15" customHeight="1">
      <c r="B2" s="31"/>
      <c r="C2" s="31"/>
      <c r="D2" s="31"/>
      <c r="E2" s="31"/>
    </row>
    <row r="3" spans="2:11" s="19" customFormat="1" ht="18.600000000000001" customHeight="1">
      <c r="B3" s="790" t="s">
        <v>126</v>
      </c>
      <c r="C3" s="790"/>
      <c r="D3" s="790"/>
      <c r="E3" s="790"/>
      <c r="F3" s="790"/>
      <c r="G3" s="790"/>
      <c r="H3" s="790"/>
    </row>
    <row r="4" spans="2:11" s="19" customFormat="1" ht="18" customHeight="1">
      <c r="B4" s="789" t="s">
        <v>661</v>
      </c>
      <c r="C4" s="789"/>
      <c r="D4" s="789"/>
      <c r="E4" s="789"/>
      <c r="F4" s="789"/>
      <c r="G4" s="789"/>
      <c r="H4" s="789"/>
    </row>
    <row r="5" spans="2:11" s="19" customFormat="1" ht="27" customHeight="1">
      <c r="B5" s="793" t="s">
        <v>127</v>
      </c>
      <c r="C5" s="793" t="s">
        <v>128</v>
      </c>
      <c r="D5" s="793"/>
      <c r="E5" s="793"/>
      <c r="F5" s="793" t="s">
        <v>129</v>
      </c>
      <c r="G5" s="793"/>
      <c r="H5" s="793"/>
    </row>
    <row r="6" spans="2:11" s="19" customFormat="1" ht="42.75" customHeight="1">
      <c r="B6" s="793"/>
      <c r="C6" s="429" t="s">
        <v>130</v>
      </c>
      <c r="D6" s="129" t="s">
        <v>131</v>
      </c>
      <c r="E6" s="129" t="s">
        <v>132</v>
      </c>
      <c r="F6" s="429" t="s">
        <v>130</v>
      </c>
      <c r="G6" s="429" t="s">
        <v>131</v>
      </c>
      <c r="H6" s="429" t="s">
        <v>132</v>
      </c>
    </row>
    <row r="7" spans="2:11" s="19" customFormat="1" ht="15.75" customHeight="1">
      <c r="B7" s="44" t="s">
        <v>133</v>
      </c>
      <c r="C7" s="408">
        <v>228.58699999999999</v>
      </c>
      <c r="D7" s="408">
        <v>1114.4113</v>
      </c>
      <c r="E7" s="408">
        <v>48.8</v>
      </c>
      <c r="F7" s="408">
        <v>16.690000000000001</v>
      </c>
      <c r="G7" s="408">
        <v>98.689700000000002</v>
      </c>
      <c r="H7" s="408">
        <v>59.1</v>
      </c>
    </row>
    <row r="8" spans="2:11" s="19" customFormat="1" ht="15.75" customHeight="1">
      <c r="B8" s="44" t="s">
        <v>101</v>
      </c>
      <c r="C8" s="408">
        <v>238.41</v>
      </c>
      <c r="D8" s="408">
        <v>1365.1233</v>
      </c>
      <c r="E8" s="408">
        <v>57.259481565370578</v>
      </c>
      <c r="F8" s="408">
        <v>15.217000000000001</v>
      </c>
      <c r="G8" s="408">
        <v>109.53919999999999</v>
      </c>
      <c r="H8" s="408">
        <v>71.984753893671552</v>
      </c>
    </row>
    <row r="9" spans="2:11" s="19" customFormat="1" ht="15.75" customHeight="1">
      <c r="B9" s="44" t="s">
        <v>102</v>
      </c>
      <c r="C9" s="408">
        <v>236.12200000000001</v>
      </c>
      <c r="D9" s="408">
        <v>1236.0917400000001</v>
      </c>
      <c r="E9" s="408">
        <v>52.349706507652819</v>
      </c>
      <c r="F9" s="408">
        <v>18.734999999999999</v>
      </c>
      <c r="G9" s="408">
        <v>122.03686999999999</v>
      </c>
      <c r="H9" s="408">
        <v>65.138441419802504</v>
      </c>
    </row>
    <row r="10" spans="2:11" s="19" customFormat="1" ht="15.75" customHeight="1">
      <c r="B10" s="44" t="s">
        <v>134</v>
      </c>
      <c r="C10" s="408">
        <v>241.16</v>
      </c>
      <c r="D10" s="408">
        <v>1333.2125000000001</v>
      </c>
      <c r="E10" s="408">
        <v>55.283318129042961</v>
      </c>
      <c r="F10" s="408">
        <v>22.004000000000001</v>
      </c>
      <c r="G10" s="408">
        <v>149.0976</v>
      </c>
      <c r="H10" s="408">
        <v>67.759316487911292</v>
      </c>
    </row>
    <row r="11" spans="2:11" s="19" customFormat="1" ht="15.75" customHeight="1">
      <c r="B11" s="51" t="s">
        <v>135</v>
      </c>
      <c r="C11" s="408">
        <v>257.786</v>
      </c>
      <c r="D11" s="408">
        <v>1531.0056</v>
      </c>
      <c r="E11" s="408">
        <v>59.4</v>
      </c>
      <c r="F11" s="408">
        <v>27.510999999999999</v>
      </c>
      <c r="G11" s="408">
        <v>200.92939999999999</v>
      </c>
      <c r="H11" s="408">
        <v>73</v>
      </c>
    </row>
    <row r="12" spans="2:11" ht="15.75" customHeight="1">
      <c r="B12" s="51" t="s">
        <v>136</v>
      </c>
      <c r="C12" s="67">
        <v>205.18899999999999</v>
      </c>
      <c r="D12" s="67">
        <v>1221.2691400000001</v>
      </c>
      <c r="E12" s="408">
        <v>59.51923056304188</v>
      </c>
      <c r="F12" s="408">
        <v>19.853000000000002</v>
      </c>
      <c r="G12" s="408">
        <v>128.22280000000001</v>
      </c>
      <c r="H12" s="408">
        <v>64.586107893013647</v>
      </c>
      <c r="I12" s="39"/>
      <c r="J12" s="132"/>
      <c r="K12" s="28"/>
    </row>
    <row r="13" spans="2:11" ht="15.75" customHeight="1">
      <c r="B13" s="51" t="s">
        <v>137</v>
      </c>
      <c r="C13" s="67">
        <v>208.23699999999999</v>
      </c>
      <c r="D13" s="67">
        <v>1281.3397</v>
      </c>
      <c r="E13" s="408">
        <v>61.532758347459868</v>
      </c>
      <c r="F13" s="408">
        <v>28.178000000000001</v>
      </c>
      <c r="G13" s="408">
        <v>187.66370000000001</v>
      </c>
      <c r="H13" s="408">
        <v>66.599368301511817</v>
      </c>
      <c r="I13" s="39"/>
      <c r="J13" s="132"/>
      <c r="K13" s="28"/>
    </row>
    <row r="14" spans="2:11" ht="15.75" customHeight="1">
      <c r="B14" s="51" t="s">
        <v>107</v>
      </c>
      <c r="C14" s="67">
        <v>195.40299999999999</v>
      </c>
      <c r="D14" s="67">
        <v>1204.8561999999999</v>
      </c>
      <c r="E14" s="408">
        <v>61.660066631525616</v>
      </c>
      <c r="F14" s="408">
        <v>27.302</v>
      </c>
      <c r="G14" s="408">
        <v>195.06280000000001</v>
      </c>
      <c r="H14" s="408">
        <v>71.446340927404592</v>
      </c>
      <c r="I14" s="39"/>
      <c r="J14" s="132"/>
      <c r="K14" s="28"/>
    </row>
    <row r="15" spans="2:11" ht="15.75" customHeight="1">
      <c r="B15" s="51" t="s">
        <v>138</v>
      </c>
      <c r="C15" s="67">
        <v>183.07300000000001</v>
      </c>
      <c r="D15" s="67">
        <v>1086.1401000000001</v>
      </c>
      <c r="E15" s="408">
        <v>59.328251571777379</v>
      </c>
      <c r="F15" s="408">
        <v>21.963000000000001</v>
      </c>
      <c r="G15" s="408">
        <v>144.84829999999999</v>
      </c>
      <c r="H15" s="408">
        <v>65.95105404544006</v>
      </c>
      <c r="I15" s="39"/>
      <c r="J15" s="132"/>
      <c r="K15" s="28"/>
    </row>
    <row r="16" spans="2:11" ht="15.75" customHeight="1">
      <c r="B16" s="51" t="s">
        <v>139</v>
      </c>
      <c r="C16" s="67">
        <v>204.99299999999999</v>
      </c>
      <c r="D16" s="683">
        <f>12033828/10000</f>
        <v>1203.3828000000001</v>
      </c>
      <c r="E16" s="408">
        <v>58.7</v>
      </c>
      <c r="F16" s="408">
        <v>21.282</v>
      </c>
      <c r="G16" s="685">
        <f>1502251.43576732/10000</f>
        <v>150.22514357673199</v>
      </c>
      <c r="H16" s="408">
        <v>70.599999999999994</v>
      </c>
      <c r="I16" s="39"/>
      <c r="J16" s="132"/>
      <c r="K16" s="28"/>
    </row>
    <row r="17" spans="2:11" ht="15.75" customHeight="1">
      <c r="B17" s="51" t="s">
        <v>659</v>
      </c>
      <c r="C17" s="67">
        <v>173.10599999999999</v>
      </c>
      <c r="D17" s="684">
        <f>10097426.9228811/10000</f>
        <v>1009.74269228811</v>
      </c>
      <c r="E17" s="408">
        <v>58.330889298355451</v>
      </c>
      <c r="F17" s="408">
        <v>14.772</v>
      </c>
      <c r="G17" s="686">
        <f>971837.761353962/10000</f>
        <v>97.183776135396201</v>
      </c>
      <c r="H17" s="408">
        <v>65.789179620495645</v>
      </c>
      <c r="I17" s="39"/>
      <c r="J17" s="289"/>
      <c r="K17" s="289"/>
    </row>
    <row r="18" spans="2:11" ht="46.5" customHeight="1">
      <c r="B18" s="792" t="s">
        <v>660</v>
      </c>
      <c r="C18" s="792"/>
      <c r="D18" s="792"/>
      <c r="E18" s="792"/>
      <c r="F18" s="792"/>
      <c r="G18" s="792"/>
      <c r="H18" s="792"/>
      <c r="I18" s="1"/>
      <c r="J18" s="1"/>
    </row>
    <row r="19" spans="2:11">
      <c r="B19" s="39"/>
      <c r="C19" s="514"/>
      <c r="D19" s="514"/>
      <c r="E19" s="515"/>
      <c r="F19" s="39"/>
      <c r="G19" s="39"/>
      <c r="H19" s="39"/>
      <c r="I19" s="39"/>
      <c r="J19" s="39"/>
    </row>
    <row r="21" spans="2:11">
      <c r="B21" s="39"/>
      <c r="C21" s="39"/>
      <c r="D21" s="39"/>
      <c r="E21" s="39"/>
      <c r="F21" s="90"/>
      <c r="G21" s="39"/>
      <c r="H21" s="39"/>
      <c r="I21" s="39"/>
      <c r="J21" s="39"/>
    </row>
    <row r="37" spans="1:1" ht="38.25" customHeight="1">
      <c r="A37" s="39"/>
    </row>
    <row r="39" spans="1:1">
      <c r="A39" s="39"/>
    </row>
    <row r="53" spans="1:8" ht="30" customHeight="1">
      <c r="A53" s="35"/>
      <c r="B53" s="39"/>
      <c r="C53" s="39"/>
      <c r="D53" s="39"/>
      <c r="E53" s="39"/>
      <c r="F53" s="39"/>
      <c r="G53" s="39"/>
      <c r="H53" s="35"/>
    </row>
  </sheetData>
  <mergeCells count="7">
    <mergeCell ref="B18:H18"/>
    <mergeCell ref="C5:E5"/>
    <mergeCell ref="B5:B6"/>
    <mergeCell ref="B1:H1"/>
    <mergeCell ref="B3:H3"/>
    <mergeCell ref="B4:H4"/>
    <mergeCell ref="F5:H5"/>
  </mergeCells>
  <pageMargins left="0.70866141732283472" right="0.70866141732283472" top="0.74803149606299213" bottom="0.74803149606299213" header="0.31496062992125984" footer="0.31496062992125984"/>
  <pageSetup paperSize="126" scale="98"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4"/>
  <sheetViews>
    <sheetView topLeftCell="A14" zoomScaleNormal="100" zoomScaleSheetLayoutView="50" workbookViewId="0">
      <selection activeCell="I32" sqref="I32"/>
    </sheetView>
  </sheetViews>
  <sheetFormatPr baseColWidth="10" defaultColWidth="10.90625" defaultRowHeight="12.75"/>
  <cols>
    <col min="1" max="1" width="0.90625" style="8" customWidth="1"/>
    <col min="2" max="2" width="10.81640625" style="8" customWidth="1"/>
    <col min="3" max="6" width="11.1796875" style="8" customWidth="1"/>
    <col min="7" max="7" width="1.453125" style="8" customWidth="1"/>
    <col min="8" max="8" width="3.90625" style="8" customWidth="1"/>
    <col min="9" max="9" width="6.36328125" style="8" customWidth="1"/>
    <col min="10" max="10" width="9.453125" style="8" customWidth="1"/>
    <col min="11" max="16384" width="10.90625" style="8"/>
  </cols>
  <sheetData>
    <row r="1" spans="2:15" s="19" customFormat="1" ht="15" customHeight="1">
      <c r="B1" s="789" t="s">
        <v>140</v>
      </c>
      <c r="C1" s="789"/>
      <c r="D1" s="789"/>
      <c r="E1" s="789"/>
      <c r="F1" s="789"/>
    </row>
    <row r="2" spans="2:15" s="19" customFormat="1" ht="15" customHeight="1"/>
    <row r="3" spans="2:15" s="19" customFormat="1" ht="31.7" customHeight="1">
      <c r="B3" s="797" t="s">
        <v>141</v>
      </c>
      <c r="C3" s="798"/>
      <c r="D3" s="798"/>
      <c r="E3" s="798"/>
      <c r="F3" s="798"/>
    </row>
    <row r="4" spans="2:15" s="19" customFormat="1" ht="15.75" customHeight="1">
      <c r="B4" s="798" t="s">
        <v>719</v>
      </c>
      <c r="C4" s="798"/>
      <c r="D4" s="798"/>
      <c r="E4" s="798"/>
      <c r="F4" s="798"/>
    </row>
    <row r="5" spans="2:15" s="19" customFormat="1" ht="45" customHeight="1">
      <c r="B5" s="280" t="s">
        <v>127</v>
      </c>
      <c r="C5" s="280" t="s">
        <v>142</v>
      </c>
      <c r="D5" s="281" t="s">
        <v>143</v>
      </c>
      <c r="E5" s="281" t="s">
        <v>144</v>
      </c>
      <c r="F5" s="281" t="s">
        <v>145</v>
      </c>
    </row>
    <row r="6" spans="2:15" ht="15.75" customHeight="1">
      <c r="B6" s="799" t="s">
        <v>138</v>
      </c>
      <c r="C6" s="33" t="s">
        <v>146</v>
      </c>
      <c r="D6" s="328">
        <v>1589</v>
      </c>
      <c r="E6" s="328">
        <v>418.7</v>
      </c>
      <c r="F6" s="329">
        <v>2.6349905601006922</v>
      </c>
      <c r="G6" s="27"/>
      <c r="H6" s="141"/>
      <c r="I6" s="142"/>
      <c r="J6" s="28"/>
      <c r="K6" s="131"/>
      <c r="L6" s="132"/>
      <c r="M6" s="28"/>
      <c r="N6" s="39"/>
      <c r="O6" s="39"/>
    </row>
    <row r="7" spans="2:15" ht="15.75" customHeight="1">
      <c r="B7" s="799"/>
      <c r="C7" s="33" t="s">
        <v>147</v>
      </c>
      <c r="D7" s="328">
        <v>1642</v>
      </c>
      <c r="E7" s="328">
        <v>2147.8000000000002</v>
      </c>
      <c r="F7" s="329">
        <v>13.080389768574909</v>
      </c>
      <c r="G7" s="27"/>
      <c r="H7" s="141"/>
      <c r="I7" s="142"/>
      <c r="J7" s="28"/>
      <c r="K7" s="131"/>
      <c r="L7" s="132"/>
      <c r="M7" s="28"/>
      <c r="N7" s="39"/>
      <c r="O7" s="39"/>
    </row>
    <row r="8" spans="2:15" ht="15.75" customHeight="1">
      <c r="B8" s="799"/>
      <c r="C8" s="33" t="s">
        <v>148</v>
      </c>
      <c r="D8" s="328">
        <v>4802</v>
      </c>
      <c r="E8" s="328">
        <v>16472.3</v>
      </c>
      <c r="F8" s="329">
        <v>34.302998750520615</v>
      </c>
      <c r="G8" s="27"/>
      <c r="H8" s="141"/>
      <c r="I8" s="142"/>
      <c r="J8" s="28"/>
      <c r="K8" s="131"/>
      <c r="L8" s="132"/>
      <c r="M8" s="28"/>
      <c r="N8" s="39"/>
      <c r="O8" s="39"/>
    </row>
    <row r="9" spans="2:15" ht="15.75" customHeight="1">
      <c r="B9" s="799"/>
      <c r="C9" s="33" t="s">
        <v>149</v>
      </c>
      <c r="D9" s="328">
        <v>18240</v>
      </c>
      <c r="E9" s="328">
        <v>104422.8</v>
      </c>
      <c r="F9" s="329">
        <v>57.24934210526316</v>
      </c>
      <c r="G9" s="27"/>
      <c r="H9" s="141"/>
      <c r="I9" s="142"/>
      <c r="J9" s="28"/>
      <c r="K9" s="131"/>
      <c r="L9" s="132"/>
      <c r="M9" s="28"/>
      <c r="N9" s="39"/>
      <c r="O9" s="39"/>
    </row>
    <row r="10" spans="2:15" ht="15.75" customHeight="1">
      <c r="B10" s="799"/>
      <c r="C10" s="33" t="s">
        <v>150</v>
      </c>
      <c r="D10" s="328">
        <v>31085</v>
      </c>
      <c r="E10" s="328">
        <v>154283.5</v>
      </c>
      <c r="F10" s="329">
        <v>49.632781084124176</v>
      </c>
      <c r="G10" s="27"/>
      <c r="H10" s="141"/>
      <c r="I10" s="142"/>
      <c r="J10" s="28"/>
      <c r="K10" s="131"/>
      <c r="L10" s="132"/>
      <c r="M10" s="28"/>
      <c r="N10" s="39"/>
      <c r="O10" s="39"/>
    </row>
    <row r="11" spans="2:15" ht="15.75" customHeight="1">
      <c r="B11" s="799"/>
      <c r="C11" s="33" t="s">
        <v>151</v>
      </c>
      <c r="D11" s="328">
        <v>22218</v>
      </c>
      <c r="E11" s="328">
        <v>153108.6</v>
      </c>
      <c r="F11" s="329">
        <v>68.911963273021868</v>
      </c>
      <c r="G11" s="27"/>
      <c r="H11" s="141"/>
      <c r="I11" s="142"/>
      <c r="J11" s="28"/>
      <c r="K11" s="131"/>
      <c r="L11" s="132"/>
      <c r="M11" s="28"/>
      <c r="N11" s="39"/>
      <c r="O11" s="39"/>
    </row>
    <row r="12" spans="2:15" ht="15.75" customHeight="1">
      <c r="B12" s="799"/>
      <c r="C12" s="33" t="s">
        <v>152</v>
      </c>
      <c r="D12" s="328">
        <v>82333</v>
      </c>
      <c r="E12" s="328">
        <v>474530.7</v>
      </c>
      <c r="F12" s="329">
        <v>57.635541034579084</v>
      </c>
      <c r="G12" s="27"/>
      <c r="H12" s="141"/>
      <c r="I12" s="142"/>
      <c r="J12" s="28"/>
      <c r="K12" s="131"/>
      <c r="L12" s="132"/>
      <c r="M12" s="28"/>
      <c r="N12" s="39"/>
      <c r="O12" s="39"/>
    </row>
    <row r="13" spans="2:15" ht="15.75" customHeight="1">
      <c r="B13" s="799"/>
      <c r="C13" s="33" t="s">
        <v>153</v>
      </c>
      <c r="D13" s="328">
        <v>10398</v>
      </c>
      <c r="E13" s="328">
        <v>89180.9</v>
      </c>
      <c r="F13" s="329">
        <v>85.767359107520676</v>
      </c>
      <c r="G13" s="27"/>
      <c r="H13" s="141"/>
      <c r="I13" s="142"/>
      <c r="J13" s="28"/>
      <c r="K13" s="131"/>
      <c r="L13" s="132"/>
      <c r="M13" s="28"/>
      <c r="N13" s="39"/>
      <c r="O13" s="39"/>
    </row>
    <row r="14" spans="2:15" ht="15.75" customHeight="1">
      <c r="B14" s="799"/>
      <c r="C14" s="33" t="s">
        <v>154</v>
      </c>
      <c r="D14" s="328">
        <v>10720</v>
      </c>
      <c r="E14" s="328">
        <v>91457</v>
      </c>
      <c r="F14" s="329">
        <v>85.314365671641795</v>
      </c>
      <c r="G14" s="27"/>
      <c r="H14" s="141"/>
      <c r="I14" s="142"/>
      <c r="J14" s="28"/>
      <c r="K14" s="131"/>
      <c r="L14" s="132"/>
      <c r="M14" s="28"/>
      <c r="N14" s="39"/>
      <c r="O14" s="39"/>
    </row>
    <row r="15" spans="2:15" ht="15.75" customHeight="1">
      <c r="B15" s="799"/>
      <c r="C15" s="33" t="s">
        <v>155</v>
      </c>
      <c r="D15" s="328">
        <v>46</v>
      </c>
      <c r="E15" s="328">
        <v>117.8</v>
      </c>
      <c r="F15" s="329">
        <v>25.608695652173914</v>
      </c>
      <c r="G15" s="27"/>
      <c r="H15" s="141"/>
      <c r="I15" s="142"/>
      <c r="J15" s="28"/>
      <c r="K15" s="131"/>
      <c r="L15" s="132"/>
      <c r="M15" s="28"/>
      <c r="N15" s="39"/>
      <c r="O15" s="39"/>
    </row>
    <row r="16" spans="2:15" ht="15.75" customHeight="1">
      <c r="B16" s="799"/>
      <c r="C16" s="33" t="s">
        <v>156</v>
      </c>
      <c r="D16" s="328">
        <v>183073</v>
      </c>
      <c r="E16" s="328">
        <v>1086140.1000000001</v>
      </c>
      <c r="F16" s="329">
        <v>59.328251571777379</v>
      </c>
      <c r="G16" s="27"/>
      <c r="H16" s="141"/>
      <c r="I16" s="142"/>
      <c r="J16" s="28"/>
      <c r="K16" s="131"/>
      <c r="L16" s="132"/>
      <c r="M16" s="28"/>
      <c r="N16" s="39"/>
      <c r="O16" s="39"/>
    </row>
    <row r="17" spans="2:15" ht="15.75" customHeight="1">
      <c r="B17" s="800" t="s">
        <v>139</v>
      </c>
      <c r="C17" s="33" t="s">
        <v>157</v>
      </c>
      <c r="D17" s="328">
        <v>360</v>
      </c>
      <c r="E17" s="328">
        <f>D17*F17/10</f>
        <v>311.50000000000006</v>
      </c>
      <c r="F17" s="329">
        <v>8.6527777777777786</v>
      </c>
      <c r="G17" s="27"/>
      <c r="H17" s="58"/>
      <c r="I17" s="415"/>
      <c r="J17" s="82"/>
      <c r="K17" s="79"/>
      <c r="L17" s="132"/>
      <c r="M17" s="28"/>
      <c r="N17" s="39"/>
      <c r="O17" s="39"/>
    </row>
    <row r="18" spans="2:15" ht="15.75" customHeight="1">
      <c r="B18" s="800"/>
      <c r="C18" s="33" t="s">
        <v>146</v>
      </c>
      <c r="D18" s="328">
        <v>292</v>
      </c>
      <c r="E18" s="328">
        <f t="shared" ref="E18:E28" si="0">D18*F18/10</f>
        <v>1054.9000000000001</v>
      </c>
      <c r="F18" s="329">
        <v>36.126712328767127</v>
      </c>
      <c r="G18" s="27"/>
      <c r="H18" s="58"/>
      <c r="I18" s="415"/>
      <c r="J18" s="82"/>
      <c r="K18" s="79"/>
      <c r="L18" s="132"/>
      <c r="M18" s="28"/>
      <c r="N18" s="39"/>
      <c r="O18" s="39"/>
    </row>
    <row r="19" spans="2:15" ht="15.75" customHeight="1">
      <c r="B19" s="800"/>
      <c r="C19" s="33" t="s">
        <v>147</v>
      </c>
      <c r="D19" s="328">
        <v>2075</v>
      </c>
      <c r="E19" s="328">
        <f t="shared" si="0"/>
        <v>9222.9</v>
      </c>
      <c r="F19" s="329">
        <v>44.447710843373493</v>
      </c>
      <c r="G19" s="27"/>
      <c r="H19" s="58"/>
      <c r="I19" s="415"/>
      <c r="J19" s="82"/>
      <c r="K19" s="79"/>
      <c r="L19" s="132"/>
      <c r="M19" s="28"/>
      <c r="N19" s="39"/>
      <c r="O19" s="39"/>
    </row>
    <row r="20" spans="2:15" ht="15.75" customHeight="1">
      <c r="B20" s="800"/>
      <c r="C20" s="33" t="s">
        <v>148</v>
      </c>
      <c r="D20" s="328">
        <v>8323</v>
      </c>
      <c r="E20" s="328">
        <f t="shared" si="0"/>
        <v>45578.899999999994</v>
      </c>
      <c r="F20" s="329">
        <v>54.762585606151625</v>
      </c>
      <c r="G20" s="27"/>
      <c r="H20" s="58"/>
      <c r="I20" s="415"/>
      <c r="J20" s="82"/>
      <c r="K20" s="79"/>
      <c r="L20" s="132"/>
      <c r="M20" s="28"/>
      <c r="N20" s="39"/>
      <c r="O20" s="39"/>
    </row>
    <row r="21" spans="2:15" ht="15.75" customHeight="1">
      <c r="B21" s="800"/>
      <c r="C21" s="33" t="s">
        <v>149</v>
      </c>
      <c r="D21" s="328">
        <v>21760</v>
      </c>
      <c r="E21" s="328">
        <f t="shared" si="0"/>
        <v>116028.3</v>
      </c>
      <c r="F21" s="329">
        <v>53.321829044117649</v>
      </c>
      <c r="G21" s="27"/>
      <c r="H21" s="58"/>
      <c r="I21" s="415"/>
      <c r="J21" s="82"/>
      <c r="K21" s="79"/>
      <c r="L21" s="132"/>
      <c r="M21" s="28"/>
      <c r="N21" s="39"/>
      <c r="O21" s="39"/>
    </row>
    <row r="22" spans="2:15" ht="15.75" customHeight="1">
      <c r="B22" s="800"/>
      <c r="C22" s="33" t="s">
        <v>150</v>
      </c>
      <c r="D22" s="328">
        <v>30998</v>
      </c>
      <c r="E22" s="328">
        <f t="shared" si="0"/>
        <v>174183.4</v>
      </c>
      <c r="F22" s="329">
        <v>56.191818827021095</v>
      </c>
      <c r="G22" s="27"/>
      <c r="H22" s="58"/>
      <c r="I22" s="415"/>
      <c r="J22" s="82"/>
      <c r="K22" s="79"/>
      <c r="L22" s="132"/>
      <c r="M22" s="28"/>
      <c r="N22" s="39"/>
      <c r="O22" s="39"/>
    </row>
    <row r="23" spans="2:15" ht="15.75" customHeight="1">
      <c r="B23" s="800"/>
      <c r="C23" s="33" t="s">
        <v>151</v>
      </c>
      <c r="D23" s="328">
        <v>25986</v>
      </c>
      <c r="E23" s="328">
        <f t="shared" si="0"/>
        <v>132209.79999999999</v>
      </c>
      <c r="F23" s="329">
        <v>50.877318556145617</v>
      </c>
      <c r="G23" s="27"/>
      <c r="H23" s="58"/>
      <c r="I23" s="415"/>
      <c r="J23" s="287"/>
      <c r="K23" s="79"/>
      <c r="L23" s="132"/>
      <c r="M23" s="28"/>
      <c r="N23" s="39"/>
      <c r="O23" s="39"/>
    </row>
    <row r="24" spans="2:15" ht="15.75" customHeight="1">
      <c r="B24" s="800"/>
      <c r="C24" s="33" t="s">
        <v>152</v>
      </c>
      <c r="D24" s="328">
        <v>92781</v>
      </c>
      <c r="E24" s="328">
        <f t="shared" si="0"/>
        <v>539238.30000000005</v>
      </c>
      <c r="F24" s="329">
        <v>58.119474892488761</v>
      </c>
      <c r="G24" s="27"/>
      <c r="H24" s="58"/>
      <c r="I24" s="415"/>
      <c r="J24" s="82"/>
      <c r="K24" s="79"/>
      <c r="L24" s="132"/>
      <c r="M24" s="28"/>
      <c r="N24" s="39"/>
      <c r="O24" s="39"/>
    </row>
    <row r="25" spans="2:15" ht="15.75" customHeight="1">
      <c r="B25" s="800"/>
      <c r="C25" s="33" t="s">
        <v>153</v>
      </c>
      <c r="D25" s="328">
        <v>8252</v>
      </c>
      <c r="E25" s="328">
        <f t="shared" si="0"/>
        <v>68245.7</v>
      </c>
      <c r="F25" s="329">
        <v>82.702011633543378</v>
      </c>
      <c r="G25" s="27"/>
      <c r="H25" s="58"/>
      <c r="I25" s="415"/>
      <c r="J25" s="82"/>
      <c r="K25" s="79"/>
      <c r="L25" s="132"/>
      <c r="M25" s="28"/>
      <c r="N25" s="39"/>
      <c r="O25" s="39"/>
    </row>
    <row r="26" spans="2:15" ht="15.75" customHeight="1">
      <c r="B26" s="800"/>
      <c r="C26" s="33" t="s">
        <v>154</v>
      </c>
      <c r="D26" s="328">
        <v>14120</v>
      </c>
      <c r="E26" s="328">
        <f t="shared" si="0"/>
        <v>117191.3</v>
      </c>
      <c r="F26" s="329">
        <v>82.996671388101987</v>
      </c>
      <c r="G26" s="27"/>
      <c r="H26" s="58"/>
      <c r="I26" s="415"/>
      <c r="J26" s="286"/>
      <c r="K26" s="79"/>
      <c r="L26" s="132"/>
      <c r="M26" s="28"/>
      <c r="N26" s="39"/>
      <c r="O26" s="39"/>
    </row>
    <row r="27" spans="2:15" ht="15.75" customHeight="1">
      <c r="B27" s="800"/>
      <c r="C27" s="33" t="s">
        <v>155</v>
      </c>
      <c r="D27" s="328">
        <v>46</v>
      </c>
      <c r="E27" s="328">
        <f t="shared" si="0"/>
        <v>117.8</v>
      </c>
      <c r="F27" s="329">
        <v>25.608695652173914</v>
      </c>
      <c r="G27" s="27"/>
      <c r="H27" s="58"/>
      <c r="I27" s="415"/>
      <c r="J27" s="82"/>
      <c r="K27" s="79"/>
      <c r="L27" s="132"/>
      <c r="M27" s="28"/>
      <c r="N27" s="39"/>
      <c r="O27" s="39"/>
    </row>
    <row r="28" spans="2:15" ht="15.75" customHeight="1">
      <c r="B28" s="800"/>
      <c r="C28" s="33" t="s">
        <v>156</v>
      </c>
      <c r="D28" s="328">
        <f>SUM(D17:D27)</f>
        <v>204993</v>
      </c>
      <c r="E28" s="328">
        <f t="shared" si="0"/>
        <v>1203308.9100000001</v>
      </c>
      <c r="F28" s="329">
        <v>58.7</v>
      </c>
      <c r="G28" s="27"/>
      <c r="H28" s="58"/>
      <c r="I28" s="415"/>
      <c r="J28" s="82"/>
      <c r="K28" s="288"/>
      <c r="L28" s="132"/>
      <c r="M28" s="28"/>
      <c r="N28" s="39"/>
      <c r="O28" s="39"/>
    </row>
    <row r="29" spans="2:15" ht="15.75" customHeight="1">
      <c r="B29" s="799" t="s">
        <v>659</v>
      </c>
      <c r="C29" s="33" t="s">
        <v>146</v>
      </c>
      <c r="D29" s="328">
        <v>1312</v>
      </c>
      <c r="E29" s="328">
        <f>22410.6915143869/10</f>
        <v>2241.0691514386899</v>
      </c>
      <c r="F29" s="329">
        <v>17.081319751819311</v>
      </c>
      <c r="G29" s="27"/>
      <c r="H29" s="141"/>
      <c r="I29" s="142"/>
      <c r="J29" s="28"/>
      <c r="K29" s="131"/>
      <c r="L29" s="132"/>
      <c r="M29" s="28"/>
      <c r="N29" s="39"/>
      <c r="O29" s="39"/>
    </row>
    <row r="30" spans="2:15" ht="15.75" customHeight="1">
      <c r="B30" s="799"/>
      <c r="C30" s="33" t="s">
        <v>147</v>
      </c>
      <c r="D30" s="328">
        <v>1162</v>
      </c>
      <c r="E30" s="328">
        <f>48267.2741000036/10</f>
        <v>4826.7274100003597</v>
      </c>
      <c r="F30" s="329">
        <v>41.538101635115012</v>
      </c>
      <c r="G30" s="27"/>
      <c r="H30" s="141"/>
      <c r="I30" s="142"/>
      <c r="J30" s="28"/>
      <c r="K30" s="131"/>
      <c r="L30" s="132"/>
      <c r="M30" s="28"/>
      <c r="N30" s="39"/>
      <c r="O30" s="39"/>
    </row>
    <row r="31" spans="2:15" ht="15.75" customHeight="1">
      <c r="B31" s="799"/>
      <c r="C31" s="33" t="s">
        <v>148</v>
      </c>
      <c r="D31" s="328">
        <v>6003</v>
      </c>
      <c r="E31" s="328">
        <f>349104.256532799/10</f>
        <v>34910.425653279897</v>
      </c>
      <c r="F31" s="329">
        <v>58.154965272830118</v>
      </c>
      <c r="G31" s="27"/>
      <c r="H31" s="141"/>
      <c r="I31" s="142"/>
      <c r="J31" s="28"/>
      <c r="K31" s="131"/>
      <c r="L31" s="132"/>
      <c r="M31" s="28"/>
      <c r="N31" s="39"/>
      <c r="O31" s="39"/>
    </row>
    <row r="32" spans="2:15" ht="15.75" customHeight="1">
      <c r="B32" s="799"/>
      <c r="C32" s="33" t="s">
        <v>149</v>
      </c>
      <c r="D32" s="328">
        <v>16152</v>
      </c>
      <c r="E32" s="328">
        <f>760810.389130156/10</f>
        <v>76081.038913015596</v>
      </c>
      <c r="F32" s="329">
        <v>47.103169213110235</v>
      </c>
      <c r="G32" s="27"/>
      <c r="H32" s="141"/>
      <c r="I32" s="142"/>
      <c r="J32" s="28"/>
      <c r="K32" s="131"/>
      <c r="L32" s="132"/>
      <c r="M32" s="28"/>
      <c r="N32" s="39"/>
      <c r="O32" s="39"/>
    </row>
    <row r="33" spans="2:15" ht="15.75" customHeight="1">
      <c r="B33" s="799"/>
      <c r="C33" s="33" t="s">
        <v>150</v>
      </c>
      <c r="D33" s="328">
        <v>30851</v>
      </c>
      <c r="E33" s="328">
        <f>1745509.58031792/10</f>
        <v>174550.95803179202</v>
      </c>
      <c r="F33" s="329">
        <v>56.57870345589825</v>
      </c>
      <c r="G33" s="27"/>
      <c r="H33" s="141"/>
      <c r="I33" s="142"/>
      <c r="J33" s="28"/>
      <c r="K33" s="131"/>
      <c r="L33" s="132"/>
      <c r="M33" s="28"/>
      <c r="N33" s="39"/>
      <c r="O33" s="39"/>
    </row>
    <row r="34" spans="2:15" ht="15.75" customHeight="1">
      <c r="B34" s="799"/>
      <c r="C34" s="33" t="s">
        <v>151</v>
      </c>
      <c r="D34" s="328">
        <v>17192</v>
      </c>
      <c r="E34" s="328">
        <f>940004.990136534/10</f>
        <v>94000.499013653403</v>
      </c>
      <c r="F34" s="329">
        <v>54.676884023763009</v>
      </c>
      <c r="G34" s="27"/>
      <c r="H34" s="141"/>
      <c r="I34" s="142"/>
      <c r="J34" s="28"/>
      <c r="K34" s="131"/>
      <c r="L34" s="132"/>
      <c r="M34" s="28"/>
      <c r="N34" s="39"/>
      <c r="O34" s="39"/>
    </row>
    <row r="35" spans="2:15" ht="15.75" customHeight="1">
      <c r="B35" s="799"/>
      <c r="C35" s="33" t="s">
        <v>152</v>
      </c>
      <c r="D35" s="328">
        <v>79103</v>
      </c>
      <c r="E35" s="328">
        <f>4504598.62021768/10</f>
        <v>450459.862021768</v>
      </c>
      <c r="F35" s="329">
        <v>56.945989661803928</v>
      </c>
      <c r="G35" s="27"/>
      <c r="H35" s="141"/>
      <c r="I35" s="142"/>
      <c r="J35" s="28"/>
      <c r="K35" s="131"/>
      <c r="L35" s="132"/>
      <c r="M35" s="28"/>
      <c r="N35" s="39"/>
      <c r="O35" s="39"/>
    </row>
    <row r="36" spans="2:15" ht="15.75" customHeight="1">
      <c r="B36" s="799"/>
      <c r="C36" s="33" t="s">
        <v>153</v>
      </c>
      <c r="D36" s="328">
        <v>10066</v>
      </c>
      <c r="E36" s="328">
        <f>865196.152550995/10</f>
        <v>86519.615255099503</v>
      </c>
      <c r="F36" s="329">
        <v>85.952329877905314</v>
      </c>
      <c r="G36" s="27"/>
      <c r="H36" s="141"/>
      <c r="I36" s="142"/>
      <c r="J36" s="28"/>
      <c r="K36" s="131"/>
      <c r="L36" s="132"/>
      <c r="M36" s="28"/>
      <c r="N36" s="39"/>
      <c r="O36" s="39"/>
    </row>
    <row r="37" spans="2:15" ht="15.75" customHeight="1">
      <c r="B37" s="799"/>
      <c r="C37" s="33" t="s">
        <v>154</v>
      </c>
      <c r="D37" s="328">
        <v>11219</v>
      </c>
      <c r="E37" s="328">
        <f>860346.968380651/10</f>
        <v>86034.696838065094</v>
      </c>
      <c r="F37" s="329">
        <v>76.686600265678848</v>
      </c>
      <c r="G37" s="27"/>
      <c r="H37" s="141"/>
      <c r="I37" s="142"/>
      <c r="J37" s="28"/>
      <c r="K37" s="131"/>
      <c r="L37" s="132"/>
      <c r="M37" s="28"/>
      <c r="N37" s="39"/>
      <c r="O37" s="39"/>
    </row>
    <row r="38" spans="2:15" ht="15.75" customHeight="1">
      <c r="B38" s="799"/>
      <c r="C38" s="33" t="s">
        <v>155</v>
      </c>
      <c r="D38" s="328">
        <v>46</v>
      </c>
      <c r="E38" s="328">
        <f>1178/10</f>
        <v>117.8</v>
      </c>
      <c r="F38" s="329">
        <v>25.608695652173914</v>
      </c>
      <c r="G38" s="27"/>
      <c r="H38" s="141"/>
      <c r="I38" s="142"/>
      <c r="J38" s="28"/>
      <c r="K38" s="131"/>
      <c r="L38" s="132"/>
      <c r="M38" s="28"/>
      <c r="N38" s="39"/>
      <c r="O38" s="39"/>
    </row>
    <row r="39" spans="2:15" ht="15.75" customHeight="1">
      <c r="B39" s="799"/>
      <c r="C39" s="33" t="s">
        <v>156</v>
      </c>
      <c r="D39" s="328">
        <v>173106</v>
      </c>
      <c r="E39" s="328">
        <f>10097426.9228811/10</f>
        <v>1009742.69228811</v>
      </c>
      <c r="F39" s="329">
        <v>58.330889298355451</v>
      </c>
      <c r="G39" s="27"/>
      <c r="H39" s="141"/>
      <c r="I39" s="142"/>
      <c r="J39" s="28"/>
      <c r="K39" s="131"/>
      <c r="L39" s="132"/>
      <c r="M39" s="28"/>
      <c r="N39" s="39"/>
      <c r="O39" s="39"/>
    </row>
    <row r="40" spans="2:15" ht="38.450000000000003" customHeight="1">
      <c r="B40" s="794" t="s">
        <v>158</v>
      </c>
      <c r="C40" s="795"/>
      <c r="D40" s="795"/>
      <c r="E40" s="795"/>
      <c r="F40" s="796"/>
      <c r="G40" s="27"/>
      <c r="H40" s="141"/>
      <c r="I40" s="79"/>
      <c r="J40" s="82"/>
      <c r="K40" s="131"/>
      <c r="L40" s="132"/>
      <c r="M40" s="28"/>
      <c r="N40" s="39"/>
      <c r="O40" s="39"/>
    </row>
    <row r="41" spans="2:15" ht="15" customHeight="1">
      <c r="B41" s="39"/>
      <c r="C41" s="39"/>
      <c r="D41" s="39"/>
      <c r="E41" s="39"/>
      <c r="F41" s="39"/>
      <c r="G41" s="39"/>
      <c r="H41" s="39"/>
      <c r="I41" s="39"/>
      <c r="J41" s="39"/>
      <c r="K41" s="489"/>
      <c r="L41" s="39"/>
      <c r="M41" s="39"/>
      <c r="N41" s="39"/>
      <c r="O41" s="39"/>
    </row>
    <row r="44" spans="2:15" ht="18">
      <c r="D44" s="289"/>
    </row>
    <row r="45" spans="2:15">
      <c r="D45" s="132"/>
    </row>
    <row r="63" spans="1:12">
      <c r="A63" s="39"/>
      <c r="B63" s="39"/>
      <c r="C63" s="39"/>
      <c r="D63" s="39"/>
      <c r="E63" s="39"/>
      <c r="F63" s="39"/>
      <c r="G63" s="39"/>
      <c r="H63" s="39"/>
      <c r="I63" s="39"/>
      <c r="J63" s="39"/>
      <c r="K63" s="39"/>
      <c r="L63" s="39"/>
    </row>
    <row r="64" spans="1:12" ht="30" customHeight="1">
      <c r="A64" s="35"/>
      <c r="B64" s="39"/>
      <c r="C64" s="39"/>
      <c r="D64" s="39"/>
      <c r="E64" s="39"/>
      <c r="F64" s="39"/>
      <c r="G64" s="39"/>
      <c r="H64" s="35"/>
      <c r="I64" s="39"/>
      <c r="J64" s="39"/>
      <c r="K64" s="39"/>
      <c r="L64" s="39"/>
    </row>
  </sheetData>
  <customSheetViews>
    <customSheetView guid="{5CDC6F58-B038-4A0E-A13D-C643B013E119}" topLeftCell="A13">
      <selection activeCell="F29" sqref="F29"/>
      <pageMargins left="0" right="0" top="0" bottom="0" header="0" footer="0"/>
      <printOptions horizontalCentered="1"/>
      <pageSetup scale="95" firstPageNumber="0" orientation="portrait" r:id="rId1"/>
      <headerFooter alignWithMargins="0">
        <oddFooter>&amp;C&amp;10&amp;A</oddFooter>
      </headerFooter>
    </customSheetView>
  </customSheetViews>
  <mergeCells count="7">
    <mergeCell ref="B40:F40"/>
    <mergeCell ref="B1:F1"/>
    <mergeCell ref="B3:F3"/>
    <mergeCell ref="B4:F4"/>
    <mergeCell ref="B6:B16"/>
    <mergeCell ref="B17:B28"/>
    <mergeCell ref="B29:B39"/>
  </mergeCells>
  <printOptions horizontalCentered="1"/>
  <pageMargins left="0.6692913385826772" right="0.35433070866141736" top="0.78740157480314965" bottom="0.78740157480314965" header="0.51181102362204722" footer="0.59055118110236227"/>
  <pageSetup paperSize="126" firstPageNumber="0" orientation="portrait" r:id="rId2"/>
  <headerFooter alignWithMargins="0">
    <oddFooter>&amp;C&amp;10&amp;A</oddFooter>
  </headerFooter>
  <ignoredErrors>
    <ignoredError sqref="D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7"/>
  <sheetViews>
    <sheetView topLeftCell="A12" zoomScaleNormal="100" zoomScaleSheetLayoutView="50" workbookViewId="0">
      <selection activeCell="F37" sqref="F37"/>
    </sheetView>
  </sheetViews>
  <sheetFormatPr baseColWidth="10" defaultColWidth="10.90625" defaultRowHeight="12.75"/>
  <cols>
    <col min="1" max="1" width="1.90625" style="8" customWidth="1"/>
    <col min="2" max="2" width="8.6328125" style="8" customWidth="1"/>
    <col min="3" max="6" width="11.81640625" style="8" customWidth="1"/>
    <col min="7" max="16384" width="10.90625" style="8"/>
  </cols>
  <sheetData>
    <row r="1" spans="2:16" s="19" customFormat="1" ht="15" customHeight="1">
      <c r="B1" s="789" t="s">
        <v>159</v>
      </c>
      <c r="C1" s="789"/>
      <c r="D1" s="789"/>
      <c r="E1" s="789"/>
      <c r="F1" s="789"/>
    </row>
    <row r="2" spans="2:16" s="19" customFormat="1" ht="15" customHeight="1"/>
    <row r="3" spans="2:16" s="19" customFormat="1" ht="31.7" customHeight="1">
      <c r="B3" s="797" t="s">
        <v>160</v>
      </c>
      <c r="C3" s="798"/>
      <c r="D3" s="798"/>
      <c r="E3" s="798"/>
      <c r="F3" s="798"/>
    </row>
    <row r="4" spans="2:16" s="19" customFormat="1" ht="15.75" customHeight="1">
      <c r="B4" s="798" t="s">
        <v>719</v>
      </c>
      <c r="C4" s="798"/>
      <c r="D4" s="798"/>
      <c r="E4" s="798"/>
      <c r="F4" s="798"/>
    </row>
    <row r="5" spans="2:16" s="19" customFormat="1" ht="43.5" customHeight="1">
      <c r="B5" s="280" t="s">
        <v>127</v>
      </c>
      <c r="C5" s="280" t="s">
        <v>142</v>
      </c>
      <c r="D5" s="281" t="s">
        <v>143</v>
      </c>
      <c r="E5" s="281" t="s">
        <v>144</v>
      </c>
      <c r="F5" s="281" t="s">
        <v>145</v>
      </c>
    </row>
    <row r="6" spans="2:16" ht="15.75" customHeight="1">
      <c r="B6" s="803" t="s">
        <v>138</v>
      </c>
      <c r="C6" s="39" t="s">
        <v>146</v>
      </c>
      <c r="D6" s="328">
        <v>93</v>
      </c>
      <c r="E6" s="328">
        <v>189.7</v>
      </c>
      <c r="F6" s="329">
        <v>20.397849462365592</v>
      </c>
      <c r="G6" s="39"/>
      <c r="H6" s="39"/>
      <c r="I6" s="39"/>
      <c r="J6" s="39"/>
      <c r="K6" s="39"/>
      <c r="L6" s="39"/>
      <c r="M6" s="39"/>
      <c r="N6" s="39"/>
      <c r="O6" s="39"/>
      <c r="P6" s="39"/>
    </row>
    <row r="7" spans="2:16" ht="15.75" customHeight="1">
      <c r="B7" s="803"/>
      <c r="C7" s="33" t="s">
        <v>147</v>
      </c>
      <c r="D7" s="328">
        <v>2486</v>
      </c>
      <c r="E7" s="328">
        <v>10680.8</v>
      </c>
      <c r="F7" s="329">
        <v>42.963797264682221</v>
      </c>
      <c r="G7" s="39"/>
      <c r="H7" s="39"/>
      <c r="I7" s="39"/>
      <c r="J7" s="39"/>
      <c r="K7" s="39"/>
      <c r="L7" s="39"/>
      <c r="M7" s="39"/>
      <c r="N7" s="39"/>
      <c r="O7" s="39"/>
      <c r="P7" s="39"/>
    </row>
    <row r="8" spans="2:16" ht="15.75" customHeight="1">
      <c r="B8" s="803"/>
      <c r="C8" s="33" t="s">
        <v>148</v>
      </c>
      <c r="D8" s="328">
        <v>3992</v>
      </c>
      <c r="E8" s="328">
        <v>22634.7</v>
      </c>
      <c r="F8" s="329">
        <v>56.700150300601202</v>
      </c>
      <c r="G8" s="39"/>
      <c r="H8" s="39"/>
      <c r="I8" s="39"/>
      <c r="J8" s="39"/>
      <c r="K8" s="39"/>
      <c r="L8" s="39"/>
      <c r="M8" s="39"/>
      <c r="N8" s="39"/>
      <c r="O8" s="39"/>
      <c r="P8" s="39"/>
    </row>
    <row r="9" spans="2:16" ht="15.75" customHeight="1">
      <c r="B9" s="803"/>
      <c r="C9" s="33" t="s">
        <v>149</v>
      </c>
      <c r="D9" s="328">
        <v>4500</v>
      </c>
      <c r="E9" s="328">
        <v>31050.2</v>
      </c>
      <c r="F9" s="329">
        <v>69.00044444444444</v>
      </c>
      <c r="G9" s="39"/>
      <c r="H9" s="39"/>
      <c r="I9" s="39"/>
      <c r="J9" s="39"/>
      <c r="K9" s="39"/>
      <c r="L9" s="39"/>
      <c r="M9" s="39"/>
      <c r="N9" s="39"/>
      <c r="O9" s="39"/>
      <c r="P9" s="39"/>
    </row>
    <row r="10" spans="2:16" ht="15.75" customHeight="1">
      <c r="B10" s="803"/>
      <c r="C10" s="33" t="s">
        <v>150</v>
      </c>
      <c r="D10" s="328">
        <v>4803</v>
      </c>
      <c r="E10" s="328">
        <v>32920.199999999997</v>
      </c>
      <c r="F10" s="329">
        <v>68.54091193004372</v>
      </c>
      <c r="G10" s="79"/>
      <c r="H10" s="79"/>
      <c r="I10" s="79"/>
      <c r="J10" s="79"/>
      <c r="K10" s="79"/>
      <c r="L10" s="79"/>
      <c r="M10" s="79"/>
      <c r="N10" s="79"/>
      <c r="O10" s="79"/>
      <c r="P10" s="79"/>
    </row>
    <row r="11" spans="2:16" ht="15.75" customHeight="1">
      <c r="B11" s="803"/>
      <c r="C11" s="33" t="s">
        <v>151</v>
      </c>
      <c r="D11" s="328">
        <v>5527</v>
      </c>
      <c r="E11" s="328">
        <v>43091.4</v>
      </c>
      <c r="F11" s="329">
        <v>77.965261443821248</v>
      </c>
      <c r="G11" s="82"/>
      <c r="H11" s="82"/>
      <c r="I11" s="82"/>
      <c r="J11" s="82"/>
      <c r="K11" s="82"/>
      <c r="L11" s="82"/>
      <c r="M11" s="80"/>
      <c r="N11" s="80"/>
      <c r="O11" s="80"/>
      <c r="P11" s="80"/>
    </row>
    <row r="12" spans="2:16" ht="15.75" customHeight="1">
      <c r="B12" s="803"/>
      <c r="C12" s="33" t="s">
        <v>152</v>
      </c>
      <c r="D12" s="328">
        <v>562</v>
      </c>
      <c r="E12" s="328">
        <v>4281.3</v>
      </c>
      <c r="F12" s="329">
        <v>76.179715302491104</v>
      </c>
      <c r="G12" s="82"/>
      <c r="H12" s="82"/>
      <c r="I12" s="82"/>
      <c r="J12" s="82"/>
      <c r="K12" s="82"/>
      <c r="L12" s="82"/>
      <c r="M12" s="80"/>
      <c r="N12" s="80"/>
      <c r="O12" s="80"/>
      <c r="P12" s="80"/>
    </row>
    <row r="13" spans="2:16" ht="15.75" customHeight="1">
      <c r="B13" s="804"/>
      <c r="C13" s="33" t="s">
        <v>156</v>
      </c>
      <c r="D13" s="328">
        <v>21963</v>
      </c>
      <c r="E13" s="328">
        <v>144848.29999999999</v>
      </c>
      <c r="F13" s="329">
        <v>65.95105404544006</v>
      </c>
      <c r="G13" s="39"/>
      <c r="H13" s="39"/>
      <c r="I13" s="39"/>
      <c r="J13" s="39"/>
      <c r="K13" s="39"/>
      <c r="L13" s="39"/>
      <c r="M13" s="39"/>
      <c r="N13" s="39"/>
      <c r="O13" s="39"/>
      <c r="P13" s="39"/>
    </row>
    <row r="14" spans="2:16" ht="15.75" customHeight="1">
      <c r="B14" s="803" t="s">
        <v>139</v>
      </c>
      <c r="C14" s="33" t="s">
        <v>146</v>
      </c>
      <c r="D14" s="328">
        <v>87</v>
      </c>
      <c r="E14" s="328">
        <f>D14*F14/10</f>
        <v>611.6099999999999</v>
      </c>
      <c r="F14" s="329">
        <v>70.3</v>
      </c>
      <c r="G14" s="39"/>
      <c r="H14" s="39"/>
      <c r="I14" s="39"/>
      <c r="J14" s="39"/>
      <c r="K14" s="39"/>
      <c r="L14" s="39"/>
      <c r="M14" s="39"/>
      <c r="N14" s="39"/>
      <c r="O14" s="39"/>
      <c r="P14" s="39"/>
    </row>
    <row r="15" spans="2:16" ht="15.75" customHeight="1">
      <c r="B15" s="803"/>
      <c r="C15" s="33" t="s">
        <v>147</v>
      </c>
      <c r="D15" s="328">
        <v>1154</v>
      </c>
      <c r="E15" s="328">
        <f t="shared" ref="E15:E21" si="0">D15*F15/10</f>
        <v>6728.4</v>
      </c>
      <c r="F15" s="329">
        <v>58.305025996533793</v>
      </c>
      <c r="G15" s="39"/>
      <c r="H15" s="39"/>
      <c r="I15" s="39"/>
      <c r="J15" s="39"/>
      <c r="K15" s="39"/>
      <c r="L15" s="39"/>
      <c r="M15" s="39"/>
      <c r="N15" s="39"/>
      <c r="O15" s="39"/>
      <c r="P15" s="39"/>
    </row>
    <row r="16" spans="2:16" ht="15.75" customHeight="1">
      <c r="B16" s="803"/>
      <c r="C16" s="33" t="s">
        <v>148</v>
      </c>
      <c r="D16" s="328">
        <v>3759</v>
      </c>
      <c r="E16" s="328">
        <f t="shared" si="0"/>
        <v>26891.1</v>
      </c>
      <c r="F16" s="329">
        <v>71.537909018355947</v>
      </c>
      <c r="G16" s="39"/>
      <c r="H16" s="39"/>
      <c r="I16" s="39"/>
      <c r="J16" s="39"/>
      <c r="K16" s="39"/>
      <c r="L16" s="39"/>
      <c r="M16" s="39"/>
      <c r="N16" s="39"/>
      <c r="O16" s="39"/>
      <c r="P16" s="39"/>
    </row>
    <row r="17" spans="2:17" ht="15.75" customHeight="1">
      <c r="B17" s="803"/>
      <c r="C17" s="33" t="s">
        <v>149</v>
      </c>
      <c r="D17" s="328">
        <v>3869</v>
      </c>
      <c r="E17" s="328">
        <f t="shared" si="0"/>
        <v>24368.9</v>
      </c>
      <c r="F17" s="329">
        <v>62.985009046265183</v>
      </c>
      <c r="G17" s="39"/>
      <c r="H17" s="39"/>
      <c r="I17" s="39"/>
      <c r="J17" s="39"/>
      <c r="K17" s="39"/>
      <c r="L17" s="39"/>
    </row>
    <row r="18" spans="2:17" ht="15.75" customHeight="1">
      <c r="B18" s="803"/>
      <c r="C18" s="33" t="s">
        <v>150</v>
      </c>
      <c r="D18" s="328">
        <v>4085</v>
      </c>
      <c r="E18" s="328">
        <f t="shared" si="0"/>
        <v>28120.799999999999</v>
      </c>
      <c r="F18" s="329">
        <v>68.839167686658513</v>
      </c>
      <c r="G18" s="39"/>
      <c r="H18" s="39"/>
      <c r="I18" s="39"/>
      <c r="J18" s="39"/>
      <c r="K18" s="39"/>
      <c r="L18" s="39"/>
    </row>
    <row r="19" spans="2:17" ht="15.75" customHeight="1">
      <c r="B19" s="803"/>
      <c r="C19" s="33" t="s">
        <v>151</v>
      </c>
      <c r="D19" s="328">
        <v>7312</v>
      </c>
      <c r="E19" s="328">
        <f t="shared" si="0"/>
        <v>56361.1</v>
      </c>
      <c r="F19" s="329">
        <v>77.080278993435442</v>
      </c>
      <c r="G19" s="39"/>
      <c r="H19" s="39"/>
      <c r="I19" s="39"/>
      <c r="J19" s="39"/>
      <c r="K19" s="39"/>
      <c r="L19" s="39"/>
    </row>
    <row r="20" spans="2:17" ht="15.75" customHeight="1">
      <c r="B20" s="803"/>
      <c r="C20" s="33" t="s">
        <v>152</v>
      </c>
      <c r="D20" s="328">
        <v>1016</v>
      </c>
      <c r="E20" s="328">
        <f t="shared" si="0"/>
        <v>7142.4800000000005</v>
      </c>
      <c r="F20" s="329">
        <v>70.3</v>
      </c>
      <c r="G20" s="39"/>
      <c r="H20" s="39"/>
      <c r="I20" s="39"/>
      <c r="J20" s="39"/>
      <c r="K20" s="39"/>
      <c r="L20" s="39"/>
    </row>
    <row r="21" spans="2:17" ht="15.75" customHeight="1">
      <c r="B21" s="804"/>
      <c r="C21" s="33" t="s">
        <v>156</v>
      </c>
      <c r="D21" s="328">
        <f>SUM(D14:D20)</f>
        <v>21282</v>
      </c>
      <c r="E21" s="328">
        <f t="shared" si="0"/>
        <v>150250.91999999998</v>
      </c>
      <c r="F21" s="329">
        <v>70.599999999999994</v>
      </c>
      <c r="G21" s="132"/>
      <c r="H21" s="28"/>
      <c r="I21" s="39"/>
      <c r="J21" s="39"/>
      <c r="K21" s="39"/>
      <c r="L21" s="39"/>
    </row>
    <row r="22" spans="2:17" ht="15.75" customHeight="1">
      <c r="B22" s="803" t="s">
        <v>659</v>
      </c>
      <c r="C22" s="33" t="s">
        <v>146</v>
      </c>
      <c r="D22" s="328">
        <v>137</v>
      </c>
      <c r="E22" s="328">
        <f>7888.52786174772/10</f>
        <v>788.85278617477195</v>
      </c>
      <c r="F22" s="329">
        <v>57.580495341224236</v>
      </c>
      <c r="G22" s="89"/>
      <c r="H22" s="89"/>
      <c r="I22" s="89"/>
      <c r="J22" s="516"/>
      <c r="K22" s="131"/>
      <c r="L22" s="132"/>
      <c r="M22" s="28"/>
      <c r="N22" s="39"/>
      <c r="O22" s="39"/>
      <c r="P22" s="39"/>
      <c r="Q22" s="39"/>
    </row>
    <row r="23" spans="2:17" ht="15" customHeight="1">
      <c r="B23" s="803"/>
      <c r="C23" s="33" t="s">
        <v>147</v>
      </c>
      <c r="D23" s="328">
        <v>2196</v>
      </c>
      <c r="E23" s="328">
        <f>140453.146278525/10</f>
        <v>14045.3146278525</v>
      </c>
      <c r="F23" s="329">
        <v>63.958627631386413</v>
      </c>
      <c r="G23" s="81"/>
      <c r="H23" s="142"/>
      <c r="I23" s="517"/>
      <c r="J23" s="131"/>
      <c r="K23" s="131"/>
      <c r="L23" s="132"/>
      <c r="M23" s="28"/>
      <c r="N23" s="39"/>
      <c r="O23" s="39"/>
      <c r="P23" s="39"/>
      <c r="Q23" s="39"/>
    </row>
    <row r="24" spans="2:17">
      <c r="B24" s="803"/>
      <c r="C24" s="33" t="s">
        <v>148</v>
      </c>
      <c r="D24" s="328">
        <v>3508</v>
      </c>
      <c r="E24" s="328">
        <f>220297.103651025/10</f>
        <v>22029.710365102503</v>
      </c>
      <c r="F24" s="329">
        <v>62.798490208387875</v>
      </c>
      <c r="G24" s="39"/>
      <c r="H24" s="39"/>
      <c r="I24" s="39"/>
      <c r="J24" s="39"/>
      <c r="K24" s="39"/>
      <c r="L24" s="39"/>
      <c r="M24" s="39"/>
      <c r="N24" s="39"/>
      <c r="O24" s="39"/>
      <c r="P24" s="39"/>
      <c r="Q24" s="39"/>
    </row>
    <row r="25" spans="2:17">
      <c r="B25" s="803"/>
      <c r="C25" s="33" t="s">
        <v>149</v>
      </c>
      <c r="D25" s="328">
        <v>3753</v>
      </c>
      <c r="E25" s="328">
        <f>231075.650113294/10</f>
        <v>23107.5650113294</v>
      </c>
      <c r="F25" s="329">
        <v>61.570916630240752</v>
      </c>
    </row>
    <row r="26" spans="2:17">
      <c r="B26" s="803"/>
      <c r="C26" s="33" t="s">
        <v>150</v>
      </c>
      <c r="D26" s="328">
        <v>1796</v>
      </c>
      <c r="E26" s="328">
        <f>128274.269598208/10</f>
        <v>12827.426959820801</v>
      </c>
      <c r="F26" s="329">
        <v>71.422199108133825</v>
      </c>
    </row>
    <row r="27" spans="2:17">
      <c r="B27" s="803"/>
      <c r="C27" s="33" t="s">
        <v>151</v>
      </c>
      <c r="D27" s="328">
        <v>3094</v>
      </c>
      <c r="E27" s="328">
        <f>223773.835064342/10</f>
        <v>22377.383506434202</v>
      </c>
      <c r="F27" s="329">
        <v>72.3250921345644</v>
      </c>
    </row>
    <row r="28" spans="2:17">
      <c r="B28" s="803"/>
      <c r="C28" s="33" t="s">
        <v>152</v>
      </c>
      <c r="D28" s="328">
        <v>288</v>
      </c>
      <c r="E28" s="328">
        <f>20075.2287868205/10</f>
        <v>2007.5228786820498</v>
      </c>
      <c r="F28" s="329">
        <v>69.705655509793417</v>
      </c>
    </row>
    <row r="29" spans="2:17">
      <c r="B29" s="804"/>
      <c r="C29" s="33" t="s">
        <v>156</v>
      </c>
      <c r="D29" s="328">
        <v>14772</v>
      </c>
      <c r="E29" s="328">
        <f>971837.761353962/10</f>
        <v>97183.776135396198</v>
      </c>
      <c r="F29" s="329">
        <v>65.789179620495645</v>
      </c>
    </row>
    <row r="30" spans="2:17">
      <c r="B30" s="794" t="s">
        <v>161</v>
      </c>
      <c r="C30" s="801"/>
      <c r="D30" s="801"/>
      <c r="E30" s="801"/>
      <c r="F30" s="802"/>
    </row>
    <row r="46" spans="1:7">
      <c r="A46" s="39"/>
      <c r="B46" s="39"/>
      <c r="C46" s="39"/>
      <c r="D46" s="39"/>
      <c r="E46" s="39"/>
      <c r="F46" s="39"/>
      <c r="G46" s="39"/>
    </row>
    <row r="47" spans="1:7" ht="30" customHeight="1">
      <c r="A47" s="35"/>
      <c r="B47" s="39"/>
      <c r="C47" s="39"/>
      <c r="D47" s="39"/>
      <c r="E47" s="39"/>
      <c r="F47" s="39"/>
      <c r="G47" s="39"/>
    </row>
  </sheetData>
  <mergeCells count="7">
    <mergeCell ref="B30:F30"/>
    <mergeCell ref="B14:B21"/>
    <mergeCell ref="B22:B29"/>
    <mergeCell ref="B1:F1"/>
    <mergeCell ref="B3:F3"/>
    <mergeCell ref="B4:F4"/>
    <mergeCell ref="B6:B13"/>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ignoredErrors>
    <ignoredError sqref="D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95b0fff-259e-4803-89dd-5265f121ae21">
      <Terms xmlns="http://schemas.microsoft.com/office/infopath/2007/PartnerControls"/>
    </lcf76f155ced4ddcb4097134ff3c332f>
    <TaxCatchAll xmlns="6a60f5a6-b39c-425c-984f-bf63bb0128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15" ma:contentTypeDescription="Crear nuevo documento." ma:contentTypeScope="" ma:versionID="00aad4bcce484859c0c8a5c20b37ead7">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970b4b33b6c5fc28f7575c036cc4c6df"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5dca69c-ad09-42b3-9c3a-b750c84e99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60eb86e0-e321-42b1-b7b8-37438b3d6a74}" ma:internalName="TaxCatchAll" ma:showField="CatchAllData" ma:web="6a60f5a6-b39c-425c-984f-bf63bb0128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2.xml><?xml version="1.0" encoding="utf-8"?>
<ds:datastoreItem xmlns:ds="http://schemas.openxmlformats.org/officeDocument/2006/customXml" ds:itemID="{39ED896A-8A9A-4928-997A-34DB14CB857B}">
  <ds:schemaRefs>
    <ds:schemaRef ds:uri="http://schemas.openxmlformats.org/package/2006/metadata/core-properties"/>
    <ds:schemaRef ds:uri="http://schemas.microsoft.com/office/2006/documentManagement/types"/>
    <ds:schemaRef ds:uri="095b0fff-259e-4803-89dd-5265f121ae21"/>
    <ds:schemaRef ds:uri="http://schemas.microsoft.com/office/2006/metadata/properties"/>
    <ds:schemaRef ds:uri="http://purl.org/dc/terms/"/>
    <ds:schemaRef ds:uri="http://schemas.microsoft.com/office/infopath/2007/PartnerControls"/>
    <ds:schemaRef ds:uri="http://www.w3.org/XML/1998/namespace"/>
    <ds:schemaRef ds:uri="6a60f5a6-b39c-425c-984f-bf63bb01288b"/>
    <ds:schemaRef ds:uri="http://purl.org/dc/dcmitype/"/>
    <ds:schemaRef ds:uri="http://purl.org/dc/elements/1.1/"/>
  </ds:schemaRefs>
</ds:datastoreItem>
</file>

<file path=customXml/itemProps3.xml><?xml version="1.0" encoding="utf-8"?>
<ds:datastoreItem xmlns:ds="http://schemas.openxmlformats.org/officeDocument/2006/customXml" ds:itemID="{4668907F-EA1C-4929-8FA8-B69ED549AB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104</vt:i4>
      </vt:variant>
    </vt:vector>
  </HeadingPairs>
  <TitlesOfParts>
    <vt:vector size="169"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'10'!Área_de_impresión</vt:lpstr>
      <vt:lpstr>'11'!Área_de_impresión</vt:lpstr>
      <vt:lpstr>'13'!Área_de_impresión</vt:lpstr>
      <vt:lpstr>'14'!Área_de_impresión</vt:lpstr>
      <vt:lpstr>'16'!Área_de_impresión</vt:lpstr>
      <vt:lpstr>'18'!Área_de_impresión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'28'!Área_de_impresión</vt:lpstr>
      <vt:lpstr>'29'!Área_de_impresión</vt:lpstr>
      <vt:lpstr>'30'!Área_de_impresión</vt:lpstr>
      <vt:lpstr>'34'!Área_de_impresión</vt:lpstr>
      <vt:lpstr>'36'!Área_de_impresión</vt:lpstr>
      <vt:lpstr>'37'!Área_de_impresión</vt:lpstr>
      <vt:lpstr>'38'!Área_de_impresión</vt:lpstr>
      <vt:lpstr>'39'!Área_de_impresión</vt:lpstr>
      <vt:lpstr>'4'!Área_de_impresión</vt:lpstr>
      <vt:lpstr>'40'!Área_de_impresión</vt:lpstr>
      <vt:lpstr>'41'!Área_de_impresión</vt:lpstr>
      <vt:lpstr>'42'!Área_de_impresión</vt:lpstr>
      <vt:lpstr>'43'!Área_de_impresión</vt:lpstr>
      <vt:lpstr>'44'!Área_de_impresión</vt:lpstr>
      <vt:lpstr>'45'!Área_de_impresión</vt:lpstr>
      <vt:lpstr>'46'!Área_de_impresión</vt:lpstr>
      <vt:lpstr>'49'!Área_de_impresión</vt:lpstr>
      <vt:lpstr>'5'!Área_de_impresión</vt:lpstr>
      <vt:lpstr>'52'!Área_de_impresión</vt:lpstr>
      <vt:lpstr>'54'!Área_de_impresión</vt:lpstr>
      <vt:lpstr>'56'!Área_de_impresión</vt:lpstr>
      <vt:lpstr>'57'!Área_de_impresión</vt:lpstr>
      <vt:lpstr>'58'!Área_de_impresión</vt:lpstr>
      <vt:lpstr>'6'!Área_de_impresión</vt:lpstr>
      <vt:lpstr>'61'!Área_de_impresión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Portada!Área_de_impresión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Garcia</dc:creator>
  <cp:keywords/>
  <dc:description/>
  <cp:lastModifiedBy>Guillermo Pino González</cp:lastModifiedBy>
  <cp:revision/>
  <cp:lastPrinted>2022-07-28T02:44:52Z</cp:lastPrinted>
  <dcterms:created xsi:type="dcterms:W3CDTF">2008-12-10T19:16:04Z</dcterms:created>
  <dcterms:modified xsi:type="dcterms:W3CDTF">2022-08-31T16:27:29Z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y fmtid="{D5CDD505-2E9C-101B-9397-08002B2CF9AE}" pid="3" name="MediaServiceImageTags">
    <vt:lpwstr/>
  </property>
</Properties>
</file>