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7.xml" ContentType="application/vnd.openxmlformats-officedocument.drawing+xml"/>
  <Override PartName="/xl/drawings/drawing48.xml" ContentType="application/vnd.openxmlformats-officedocument.drawing+xml"/>
  <Override PartName="/xl/charts/chart25.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drawings/drawing61.xml" ContentType="application/vnd.openxmlformats-officedocument.drawingml.chartshapes+xml"/>
  <Override PartName="/xl/charts/chart32.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3.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8.xml" ContentType="application/vnd.openxmlformats-officedocument.drawing+xml"/>
  <Override PartName="/xl/charts/chart39.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40.xml" ContentType="application/vnd.openxmlformats-officedocument.drawingml.chart+xml"/>
  <Override PartName="/xl/drawings/drawing71.xml" ContentType="application/vnd.openxmlformats-officedocument.drawing+xml"/>
  <Override PartName="/xl/charts/chart41.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odepa-my.sharepoint.com/personal/acanales_odepa_gob_cl/Documents/Documentos/"/>
    </mc:Choice>
  </mc:AlternateContent>
  <xr:revisionPtr revIDLastSave="0" documentId="8_{81829CB1-0133-42D7-A0A4-50692A6B63B4}" xr6:coauthVersionLast="47" xr6:coauthVersionMax="47" xr10:uidLastSave="{00000000-0000-0000-0000-000000000000}"/>
  <bookViews>
    <workbookView xWindow="-108" yWindow="-108" windowWidth="23256" windowHeight="12576" tabRatio="824"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'18'!$N$8:$P$8</definedName>
    <definedName name="_xlnm._FilterDatabase" localSheetId="64" hidden="1">'61'!$O$1:$R$1</definedName>
    <definedName name="_xlnm.Print_Area" localSheetId="9">'10'!$B$1:$G$25</definedName>
    <definedName name="_xlnm.Print_Area" localSheetId="10">'11'!$B$1:$J$37</definedName>
    <definedName name="_xlnm.Print_Area" localSheetId="12">'13'!$A$1:$L$40</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'20'!$A$1:$H$47</definedName>
    <definedName name="_xlnm.Print_Area" localSheetId="20">'21'!$B$1:$J$26</definedName>
    <definedName name="_xlnm.Print_Area" localSheetId="21">'22'!$B$1:$O$38</definedName>
    <definedName name="_xlnm.Print_Area" localSheetId="22">'23'!$B$1:$K$37</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'29'!$B$1:$G$37</definedName>
    <definedName name="_xlnm.Print_Area" localSheetId="32">'30'!$B$2:$I$21</definedName>
    <definedName name="_xlnm.Print_Area" localSheetId="36">'34'!$A$1:$F$30</definedName>
    <definedName name="_xlnm.Print_Area" localSheetId="38">'36'!$A$1:$G$40</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2">'40'!$A$1:$H$43</definedName>
    <definedName name="_xlnm.Print_Area" localSheetId="43">'41'!$A$1:$N$20</definedName>
    <definedName name="_xlnm.Print_Area" localSheetId="44">'42'!$B$1:$G$42</definedName>
    <definedName name="_xlnm.Print_Area" localSheetId="45">'43'!$A$1:$E$25</definedName>
    <definedName name="_xlnm.Print_Area" localSheetId="47">'44'!$B$1:$G$35</definedName>
    <definedName name="_xlnm.Print_Area" localSheetId="48">'45'!$B$1:$G$37</definedName>
    <definedName name="_xlnm.Print_Area" localSheetId="49">'46'!$B$2:$O$21</definedName>
    <definedName name="_xlnm.Print_Area" localSheetId="52">'49'!$B$1:$F$20</definedName>
    <definedName name="_xlnm.Print_Area" localSheetId="4">'5'!$A$1:$G$38</definedName>
    <definedName name="_xlnm.Print_Area" localSheetId="55">'52'!$B$1:$M$39</definedName>
    <definedName name="_xlnm.Print_Area" localSheetId="57">'54'!$B$1:$G$33</definedName>
    <definedName name="_xlnm.Print_Area" localSheetId="59">'56'!$A$1:$F$19</definedName>
    <definedName name="_xlnm.Print_Area" localSheetId="60">'57'!$B$1:$I$56</definedName>
    <definedName name="_xlnm.Print_Area" localSheetId="61">'58'!$A$1:$F$24</definedName>
    <definedName name="_xlnm.Print_Area" localSheetId="5">'6'!$B$1:$N$20</definedName>
    <definedName name="_xlnm.Print_Area" localSheetId="64">'61'!$A$1:$F$20</definedName>
    <definedName name="_xlnm.Print_Area" localSheetId="6">'7'!$B$1:$H$37</definedName>
    <definedName name="_xlnm.Print_Area" localSheetId="7">'8'!$A$1:$G$30</definedName>
    <definedName name="_xlnm.Print_Area" localSheetId="8">'9'!$A$1:$G$23</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'11'!$A$1:$K$37</definedName>
    <definedName name="Print_Area" localSheetId="11">'12'!$A$1:$F$38</definedName>
    <definedName name="Print_Area" localSheetId="12">'13'!$A$1:$L$41</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'20'!$B$1:$H$49</definedName>
    <definedName name="Print_Area" localSheetId="21">'22'!$B$1:$O$33</definedName>
    <definedName name="Print_Area" localSheetId="22">'23'!$B$1:$L$32</definedName>
    <definedName name="Print_Area" localSheetId="28">'27'!$A$1:$H$8</definedName>
    <definedName name="Print_Area" localSheetId="30">'28'!$C$1:$H$33</definedName>
    <definedName name="Print_Area" localSheetId="31">'29'!$B$1:$G$38</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6">'34'!$B$1:$E$32</definedName>
    <definedName name="Print_Area" localSheetId="37">'35'!$B$1:$H$39</definedName>
    <definedName name="Print_Area" localSheetId="38">'36'!$A$1:$G$42</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'42'!$B$1:$G$47</definedName>
    <definedName name="Print_Area" localSheetId="47">'44'!$B$1:$G$35</definedName>
    <definedName name="Print_Area" localSheetId="48">'45'!$B$1:$G$37</definedName>
    <definedName name="Print_Area" localSheetId="49">'46'!$B$1:$O$22</definedName>
    <definedName name="Print_Area" localSheetId="50">'47'!$B$1:$E$41</definedName>
    <definedName name="Print_Area" localSheetId="51">'48'!$A$1:$G$21</definedName>
    <definedName name="Print_Area" localSheetId="52">'49'!$B$1:$E$21</definedName>
    <definedName name="Print_Area" localSheetId="4">'5'!$A$1:$G$37</definedName>
    <definedName name="Print_Area" localSheetId="53">'50'!$B$1:$G$37</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'57'!$B$1:$I$55</definedName>
    <definedName name="Print_Area" localSheetId="61">'58'!$A$1:$E$1</definedName>
    <definedName name="Print_Area" localSheetId="62">'59'!$B$1:$H$21</definedName>
    <definedName name="Print_Area" localSheetId="5">'6'!$B$1:$M$21</definedName>
    <definedName name="Print_Area" localSheetId="6">'7'!$A$1:$E$37</definedName>
    <definedName name="Print_Area" localSheetId="7">'8'!$A$1:$G$31</definedName>
    <definedName name="Print_Area" localSheetId="8">'9'!$A$1:$G$22</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'11'!$B$1:$J$35</definedName>
    <definedName name="Z_5CDC6F58_B038_4A0E_A13D_C643B013E119_.wvu.PrintArea" localSheetId="11" hidden="1">'12'!$A$1:$F$37</definedName>
    <definedName name="Z_5CDC6F58_B038_4A0E_A13D_C643B013E119_.wvu.PrintArea" localSheetId="12" hidden="1">'13'!$B$1:$K$41</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'20'!$B$1:$G$45</definedName>
    <definedName name="Z_5CDC6F58_B038_4A0E_A13D_C643B013E119_.wvu.PrintArea" localSheetId="30" hidden="1">'28'!$C$1:$H$32</definedName>
    <definedName name="Z_5CDC6F58_B038_4A0E_A13D_C643B013E119_.wvu.PrintArea" localSheetId="31" hidden="1">'29'!$B$1:$F$38</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'35'!$B$1:$H$37</definedName>
    <definedName name="Z_5CDC6F58_B038_4A0E_A13D_C643B013E119_.wvu.PrintArea" localSheetId="38" hidden="1">'36'!$A$1:$G$39</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'42'!$B$1:$G$43</definedName>
    <definedName name="Z_5CDC6F58_B038_4A0E_A13D_C643B013E119_.wvu.PrintArea" localSheetId="47" hidden="1">'44'!$B$1:$G$35</definedName>
    <definedName name="Z_5CDC6F58_B038_4A0E_A13D_C643B013E119_.wvu.PrintArea" localSheetId="48" hidden="1">'45'!$B$1:$G$33</definedName>
    <definedName name="Z_5CDC6F58_B038_4A0E_A13D_C643B013E119_.wvu.PrintArea" localSheetId="51" hidden="1">'48'!$B$1:$F$17</definedName>
    <definedName name="Z_5CDC6F58_B038_4A0E_A13D_C643B013E119_.wvu.PrintArea" localSheetId="4" hidden="1">'5'!$A$1:$G$34</definedName>
    <definedName name="Z_5CDC6F58_B038_4A0E_A13D_C643B013E119_.wvu.PrintArea" localSheetId="53" hidden="1">'50'!$B$1:$G$35</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'57'!$B$1:$I$51</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8"/>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49" l="1"/>
  <c r="F54" i="89" l="1"/>
  <c r="O54" i="89" s="1"/>
  <c r="G54" i="89"/>
  <c r="H54" i="89" s="1"/>
  <c r="I54" i="89"/>
  <c r="M54" i="89" s="1"/>
  <c r="J54" i="89"/>
  <c r="N54" i="89" s="1"/>
  <c r="L54" i="89"/>
  <c r="P54" i="89"/>
  <c r="Q54" i="89"/>
  <c r="R54" i="89"/>
  <c r="E54" i="89"/>
  <c r="C54" i="89"/>
  <c r="M11" i="65"/>
  <c r="K54" i="89" l="1"/>
  <c r="C29" i="31" l="1"/>
  <c r="N25" i="10"/>
  <c r="O25" i="10"/>
  <c r="P25" i="10"/>
  <c r="K12" i="10"/>
  <c r="Q24" i="7"/>
  <c r="P24" i="7"/>
  <c r="O24" i="7"/>
  <c r="K12" i="7"/>
  <c r="J21" i="80"/>
  <c r="K12" i="3"/>
  <c r="F19" i="4"/>
  <c r="D14" i="46" l="1"/>
  <c r="D16" i="46" l="1"/>
  <c r="Q17" i="5" l="1"/>
  <c r="G15" i="58"/>
  <c r="G14" i="58"/>
  <c r="G13" i="58"/>
  <c r="G16" i="8" l="1"/>
  <c r="G14" i="41"/>
  <c r="G15" i="41"/>
  <c r="G16" i="41"/>
  <c r="N24" i="10" l="1"/>
  <c r="O23" i="7"/>
  <c r="G15" i="8"/>
  <c r="G14" i="8"/>
  <c r="K12" i="49" l="1"/>
  <c r="N8" i="5"/>
  <c r="N9" i="5"/>
  <c r="N10" i="5"/>
  <c r="N11" i="5"/>
  <c r="N12" i="5"/>
  <c r="N13" i="5"/>
  <c r="N14" i="5"/>
  <c r="N15" i="5"/>
  <c r="N16" i="5"/>
  <c r="M8" i="5"/>
  <c r="M9" i="5"/>
  <c r="M10" i="5"/>
  <c r="M11" i="5"/>
  <c r="M12" i="5"/>
  <c r="M13" i="5"/>
  <c r="M14" i="5"/>
  <c r="M15" i="5"/>
  <c r="M16" i="5"/>
  <c r="J53" i="89" l="1"/>
  <c r="R53" i="89" s="1"/>
  <c r="I53" i="89"/>
  <c r="Q53" i="89" s="1"/>
  <c r="G53" i="89"/>
  <c r="E53" i="89"/>
  <c r="C53" i="89"/>
  <c r="F53" i="89" s="1"/>
  <c r="O53" i="89" s="1"/>
  <c r="M10" i="65"/>
  <c r="P53" i="89" l="1"/>
  <c r="O24" i="10"/>
  <c r="P24" i="10"/>
  <c r="K11" i="10"/>
  <c r="P23" i="7"/>
  <c r="Q23" i="7"/>
  <c r="O22" i="7"/>
  <c r="K11" i="7"/>
  <c r="K11" i="27"/>
  <c r="K11" i="3"/>
  <c r="K10" i="3"/>
  <c r="D15" i="46" l="1"/>
  <c r="D22" i="46" l="1"/>
  <c r="D21" i="46"/>
  <c r="D17" i="46"/>
  <c r="G6" i="41" l="1"/>
  <c r="E40" i="89"/>
  <c r="E41" i="89"/>
  <c r="E42" i="89"/>
  <c r="E43" i="89"/>
  <c r="E44" i="89"/>
  <c r="E45" i="89"/>
  <c r="E46" i="89"/>
  <c r="E47" i="89"/>
  <c r="E48" i="89"/>
  <c r="E49" i="89"/>
  <c r="E50" i="89"/>
  <c r="E51" i="89"/>
  <c r="E52" i="89"/>
  <c r="G18" i="64"/>
  <c r="J20" i="49"/>
  <c r="N22" i="10"/>
  <c r="O22" i="10"/>
  <c r="P22" i="10"/>
  <c r="N23" i="10"/>
  <c r="O23" i="10"/>
  <c r="P23" i="10"/>
  <c r="N21" i="10"/>
  <c r="Q22" i="7"/>
  <c r="P22" i="7"/>
  <c r="O21" i="7"/>
  <c r="P21" i="7"/>
  <c r="Q21" i="7"/>
  <c r="O20" i="7"/>
  <c r="Q20" i="7"/>
  <c r="K10" i="27"/>
  <c r="J20" i="3" l="1"/>
  <c r="P1" i="3"/>
  <c r="O1" i="3"/>
  <c r="N1" i="3"/>
  <c r="F10" i="36" l="1"/>
  <c r="E10" i="36"/>
  <c r="D13" i="36"/>
  <c r="C18" i="36"/>
  <c r="D10" i="36"/>
  <c r="D11" i="36" s="1"/>
  <c r="D19" i="36" s="1"/>
  <c r="E18" i="36" l="1"/>
  <c r="D14" i="36"/>
  <c r="F18" i="36"/>
  <c r="D18" i="36"/>
  <c r="R4" i="89"/>
  <c r="R5" i="89"/>
  <c r="R6" i="89"/>
  <c r="R7" i="89"/>
  <c r="R8" i="89"/>
  <c r="R9" i="89"/>
  <c r="R10" i="89"/>
  <c r="R11" i="89"/>
  <c r="R12" i="89"/>
  <c r="R13" i="89"/>
  <c r="R14" i="89"/>
  <c r="R15" i="89"/>
  <c r="R16" i="89"/>
  <c r="R17" i="89"/>
  <c r="R18" i="89"/>
  <c r="R19" i="89"/>
  <c r="R20" i="89"/>
  <c r="R21" i="89"/>
  <c r="R22" i="89"/>
  <c r="R23" i="89"/>
  <c r="R24" i="89"/>
  <c r="R25" i="89"/>
  <c r="R26" i="89"/>
  <c r="R27" i="89"/>
  <c r="R28" i="89"/>
  <c r="R29" i="89"/>
  <c r="R30" i="89"/>
  <c r="R31" i="89"/>
  <c r="R32" i="89"/>
  <c r="R33" i="89"/>
  <c r="R34" i="89"/>
  <c r="R35" i="89"/>
  <c r="R36" i="89"/>
  <c r="R37" i="89"/>
  <c r="R38" i="89"/>
  <c r="R39" i="89"/>
  <c r="R40" i="89"/>
  <c r="R3"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3" i="89"/>
  <c r="O4" i="89"/>
  <c r="O5" i="89"/>
  <c r="O6" i="89"/>
  <c r="O7" i="89"/>
  <c r="O8" i="89"/>
  <c r="O9" i="89"/>
  <c r="O10" i="89"/>
  <c r="O11" i="89"/>
  <c r="O12" i="89"/>
  <c r="O13" i="89"/>
  <c r="O14" i="89"/>
  <c r="O15" i="89"/>
  <c r="O16" i="89"/>
  <c r="O17" i="89"/>
  <c r="O18" i="89"/>
  <c r="O19" i="89"/>
  <c r="O20" i="89"/>
  <c r="O21" i="89"/>
  <c r="O22" i="89"/>
  <c r="O23" i="89"/>
  <c r="O24" i="89"/>
  <c r="O25" i="89"/>
  <c r="O26" i="89"/>
  <c r="O27" i="89"/>
  <c r="O28" i="89"/>
  <c r="O29" i="89"/>
  <c r="O30" i="89"/>
  <c r="O31" i="89"/>
  <c r="O32" i="89"/>
  <c r="O33" i="89"/>
  <c r="O34" i="89"/>
  <c r="O35" i="89"/>
  <c r="O36" i="89"/>
  <c r="O37" i="89"/>
  <c r="O3" i="89"/>
  <c r="J52" i="89"/>
  <c r="I52" i="89"/>
  <c r="I51" i="89"/>
  <c r="Q51" i="89" s="1"/>
  <c r="G52" i="89"/>
  <c r="G51" i="89"/>
  <c r="Q52" i="89" l="1"/>
  <c r="R52" i="89"/>
  <c r="H53" i="89"/>
  <c r="P51" i="89"/>
  <c r="P52" i="89"/>
  <c r="H52" i="89"/>
  <c r="C52" i="89"/>
  <c r="F52" i="89" s="1"/>
  <c r="C51" i="89"/>
  <c r="F51" i="89" s="1"/>
  <c r="O52" i="89" l="1"/>
  <c r="O51" i="89"/>
  <c r="M9" i="65"/>
  <c r="D35" i="44"/>
  <c r="K10" i="10" l="1"/>
  <c r="K10" i="7"/>
  <c r="K9" i="3"/>
  <c r="E17" i="5" l="1"/>
  <c r="C17" i="5"/>
  <c r="K9" i="10"/>
  <c r="K8" i="10"/>
  <c r="K8" i="3"/>
  <c r="F17" i="5" l="1"/>
  <c r="I17" i="5"/>
  <c r="P17" i="5" s="1"/>
  <c r="R17" i="5" s="1"/>
  <c r="D17" i="5"/>
  <c r="M17" i="5" l="1"/>
  <c r="J17" i="5"/>
  <c r="N17" i="5"/>
  <c r="D16" i="5"/>
  <c r="M8" i="65"/>
  <c r="K9" i="7" l="1"/>
  <c r="K9" i="27"/>
  <c r="J51" i="89"/>
  <c r="G13" i="8"/>
  <c r="R51" i="89" l="1"/>
  <c r="C50" i="89"/>
  <c r="F50" i="89" s="1"/>
  <c r="G50" i="89"/>
  <c r="I50" i="89"/>
  <c r="Q50" i="89" s="1"/>
  <c r="J50" i="89"/>
  <c r="R50" i="89" s="1"/>
  <c r="O50" i="89" l="1"/>
  <c r="P50" i="89"/>
  <c r="H51" i="89"/>
  <c r="M7" i="65"/>
  <c r="L19" i="65"/>
  <c r="L20" i="65" s="1"/>
  <c r="J19" i="65"/>
  <c r="J20" i="65" s="1"/>
  <c r="T2" i="65" s="1"/>
  <c r="H19" i="65"/>
  <c r="H20" i="65" s="1"/>
  <c r="U2" i="65" s="1"/>
  <c r="F19" i="65"/>
  <c r="D19" i="65"/>
  <c r="D29" i="31"/>
  <c r="E29" i="31"/>
  <c r="F29" i="31"/>
  <c r="G29" i="31"/>
  <c r="H29" i="31"/>
  <c r="I29" i="31"/>
  <c r="J29" i="31"/>
  <c r="K29" i="31"/>
  <c r="L29" i="31"/>
  <c r="M29" i="31"/>
  <c r="N29" i="31"/>
  <c r="O29" i="31"/>
  <c r="F20" i="65" l="1"/>
  <c r="S2" i="65" s="1"/>
  <c r="D20" i="65"/>
  <c r="R2" i="65" s="1"/>
  <c r="G19" i="48"/>
  <c r="Q9" i="7" l="1"/>
  <c r="Q10" i="7"/>
  <c r="Q11" i="7"/>
  <c r="Q12" i="7"/>
  <c r="Q13" i="7"/>
  <c r="Q14" i="7"/>
  <c r="Q15" i="7"/>
  <c r="Q16" i="7"/>
  <c r="Q17" i="7"/>
  <c r="Q18" i="7"/>
  <c r="Q19" i="7"/>
  <c r="Q8" i="7"/>
  <c r="P20" i="7"/>
  <c r="P9" i="7"/>
  <c r="P10" i="7"/>
  <c r="P11" i="7"/>
  <c r="P12" i="7"/>
  <c r="P13" i="7"/>
  <c r="P14" i="7"/>
  <c r="P15" i="7"/>
  <c r="P16" i="7"/>
  <c r="P17" i="7"/>
  <c r="P18" i="7"/>
  <c r="P19" i="7"/>
  <c r="P8" i="7"/>
  <c r="O9" i="7"/>
  <c r="O10" i="7"/>
  <c r="O11" i="7"/>
  <c r="O12" i="7"/>
  <c r="O13" i="7"/>
  <c r="O14" i="7"/>
  <c r="O15" i="7"/>
  <c r="O16" i="7"/>
  <c r="O18" i="7"/>
  <c r="O19" i="7"/>
  <c r="O8" i="7"/>
  <c r="D20" i="3"/>
  <c r="D21" i="3" s="1"/>
  <c r="N2" i="3" s="1"/>
  <c r="E20" i="3"/>
  <c r="E21" i="3" s="1"/>
  <c r="F20" i="3"/>
  <c r="F21" i="3" s="1"/>
  <c r="O2" i="3" s="1"/>
  <c r="G20" i="3"/>
  <c r="H20" i="3"/>
  <c r="H21" i="3" s="1"/>
  <c r="P2" i="3" s="1"/>
  <c r="I20" i="3"/>
  <c r="C20" i="3"/>
  <c r="F18" i="47"/>
  <c r="D17" i="47"/>
  <c r="D18" i="47"/>
  <c r="D14" i="5"/>
  <c r="D15" i="5"/>
  <c r="H14" i="47"/>
  <c r="H15" i="47"/>
  <c r="H16" i="47"/>
  <c r="H17" i="47"/>
  <c r="F13" i="47"/>
  <c r="F14" i="47"/>
  <c r="F15" i="47"/>
  <c r="F16" i="47"/>
  <c r="F17" i="47"/>
  <c r="D15" i="47"/>
  <c r="D16" i="47"/>
  <c r="C18" i="47"/>
  <c r="Q2" i="3" l="1"/>
  <c r="G21" i="3"/>
  <c r="C21" i="3"/>
  <c r="E18" i="63" l="1"/>
  <c r="C18" i="63"/>
  <c r="E19" i="61"/>
  <c r="E18" i="61"/>
  <c r="C49" i="89"/>
  <c r="F49" i="89" s="1"/>
  <c r="O49" i="89" s="1"/>
  <c r="G49" i="89"/>
  <c r="I49" i="89"/>
  <c r="Q49" i="89" s="1"/>
  <c r="J49" i="89"/>
  <c r="D29" i="37"/>
  <c r="E29" i="37"/>
  <c r="F29" i="37"/>
  <c r="G29" i="37"/>
  <c r="H29" i="37"/>
  <c r="I29" i="37"/>
  <c r="J29" i="37"/>
  <c r="K29" i="37"/>
  <c r="C29" i="37"/>
  <c r="R49" i="89" l="1"/>
  <c r="P49" i="89"/>
  <c r="H50" i="89"/>
  <c r="G13" i="41"/>
  <c r="C48" i="89" l="1"/>
  <c r="F48" i="89" s="1"/>
  <c r="O48" i="89" s="1"/>
  <c r="G48" i="89"/>
  <c r="I48" i="89"/>
  <c r="Q48" i="89" s="1"/>
  <c r="J48" i="89"/>
  <c r="R48" i="89" l="1"/>
  <c r="P48" i="89"/>
  <c r="H49" i="89"/>
  <c r="J21" i="49"/>
  <c r="C47" i="89" l="1"/>
  <c r="F47" i="89" s="1"/>
  <c r="O47" i="89" s="1"/>
  <c r="G47" i="89"/>
  <c r="I47" i="89"/>
  <c r="Q47" i="89" s="1"/>
  <c r="J47" i="89"/>
  <c r="R47" i="89" s="1"/>
  <c r="P47" i="89" l="1"/>
  <c r="H48" i="89"/>
  <c r="C46" i="89"/>
  <c r="F46" i="89" s="1"/>
  <c r="O46" i="89" s="1"/>
  <c r="G46" i="89"/>
  <c r="H47" i="89" s="1"/>
  <c r="I46" i="89"/>
  <c r="Q46" i="89" s="1"/>
  <c r="J46" i="89"/>
  <c r="R46" i="89" s="1"/>
  <c r="P46" i="89" l="1"/>
  <c r="C45" i="89"/>
  <c r="F45" i="89" s="1"/>
  <c r="O45" i="89" s="1"/>
  <c r="G45" i="89"/>
  <c r="I45" i="89"/>
  <c r="Q45" i="89" s="1"/>
  <c r="J45" i="89"/>
  <c r="R45" i="89" s="1"/>
  <c r="D16" i="43"/>
  <c r="H9" i="47"/>
  <c r="H10" i="47"/>
  <c r="H11" i="47"/>
  <c r="H12" i="47"/>
  <c r="H13" i="47"/>
  <c r="P45" i="89" l="1"/>
  <c r="H46" i="89"/>
  <c r="E17" i="45"/>
  <c r="E18" i="45"/>
  <c r="E19" i="45"/>
  <c r="E20" i="45"/>
  <c r="E21" i="45"/>
  <c r="E22" i="45"/>
  <c r="E23" i="45"/>
  <c r="E24" i="45"/>
  <c r="E16" i="45"/>
  <c r="E20" i="61" l="1"/>
  <c r="C44" i="89"/>
  <c r="F44" i="89" s="1"/>
  <c r="O44" i="89" s="1"/>
  <c r="G44" i="89"/>
  <c r="I44" i="89"/>
  <c r="Q44" i="89" s="1"/>
  <c r="J44" i="89"/>
  <c r="R44" i="89" s="1"/>
  <c r="P44" i="89" l="1"/>
  <c r="H45" i="89"/>
  <c r="E15" i="20"/>
  <c r="E16" i="20"/>
  <c r="E17" i="20"/>
  <c r="E18" i="20"/>
  <c r="E19" i="20"/>
  <c r="E20" i="20"/>
  <c r="E21" i="20"/>
  <c r="E14" i="20"/>
  <c r="E18" i="15"/>
  <c r="E19" i="15"/>
  <c r="E20" i="15"/>
  <c r="E21" i="15"/>
  <c r="E22" i="15"/>
  <c r="E23" i="15"/>
  <c r="E24" i="15"/>
  <c r="E25" i="15"/>
  <c r="E26" i="15"/>
  <c r="E27" i="15"/>
  <c r="E28" i="15"/>
  <c r="E17" i="15"/>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I13" i="5" l="1"/>
  <c r="I14" i="5"/>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3" i="89"/>
  <c r="K4" i="89" s="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F18" i="63" s="1"/>
  <c r="D20" i="61"/>
  <c r="K38" i="89" l="1"/>
  <c r="K39" i="89" s="1"/>
  <c r="K40" i="89" s="1"/>
  <c r="K41" i="89" s="1"/>
  <c r="K42" i="89" s="1"/>
  <c r="K43" i="89" s="1"/>
  <c r="K44" i="89" s="1"/>
  <c r="K45" i="89" s="1"/>
  <c r="K46" i="89" s="1"/>
  <c r="K47" i="89" s="1"/>
  <c r="K48" i="89" s="1"/>
  <c r="K49" i="89" s="1"/>
  <c r="K50" i="89" s="1"/>
  <c r="K51" i="89" s="1"/>
  <c r="K52" i="89" s="1"/>
  <c r="K53" i="89" s="1"/>
  <c r="L38" i="89"/>
  <c r="L39" i="89" s="1"/>
  <c r="L40" i="89" s="1"/>
  <c r="L41" i="89" s="1"/>
  <c r="L42" i="89" s="1"/>
  <c r="L43" i="89" s="1"/>
  <c r="L44" i="89" s="1"/>
  <c r="L45" i="89" s="1"/>
  <c r="L46" i="89" s="1"/>
  <c r="L47" i="89" s="1"/>
  <c r="L48" i="89" s="1"/>
  <c r="L49" i="89" s="1"/>
  <c r="L50" i="89" s="1"/>
  <c r="L51" i="89" s="1"/>
  <c r="L52" i="89" s="1"/>
  <c r="L53" i="89" s="1"/>
  <c r="M4" i="89"/>
  <c r="N4" i="89"/>
  <c r="M5" i="89" l="1"/>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D15" i="45"/>
  <c r="E14" i="45"/>
  <c r="E13" i="45"/>
  <c r="E12" i="45"/>
  <c r="E11" i="45"/>
  <c r="E10" i="45"/>
  <c r="E9" i="45"/>
  <c r="E8" i="45"/>
  <c r="E7" i="45"/>
  <c r="E6" i="45"/>
  <c r="E15" i="45" s="1"/>
  <c r="F15" i="45" s="1"/>
  <c r="N29" i="89" l="1"/>
  <c r="M28" i="89"/>
  <c r="D25" i="44"/>
  <c r="D15" i="44"/>
  <c r="E15" i="43"/>
  <c r="M29" i="89" l="1"/>
  <c r="N30" i="89"/>
  <c r="D21" i="20"/>
  <c r="D28" i="15"/>
  <c r="N31" i="89" l="1"/>
  <c r="M30" i="89"/>
  <c r="G12" i="41"/>
  <c r="M31" i="89" l="1"/>
  <c r="N32" i="89"/>
  <c r="N33" i="89" l="1"/>
  <c r="M32" i="89"/>
  <c r="M33" i="89" l="1"/>
  <c r="N34" i="89"/>
  <c r="F12" i="62"/>
  <c r="D18" i="62"/>
  <c r="D12" i="62"/>
  <c r="N35" i="89" l="1"/>
  <c r="M34" i="89"/>
  <c r="M35" i="89" l="1"/>
  <c r="N36" i="89"/>
  <c r="T1" i="65"/>
  <c r="I19" i="65"/>
  <c r="N37" i="89" l="1"/>
  <c r="M36" i="89"/>
  <c r="C19" i="4"/>
  <c r="D19" i="4"/>
  <c r="M37" i="89" l="1"/>
  <c r="N38" i="89"/>
  <c r="N39" i="89" l="1"/>
  <c r="M38" i="89"/>
  <c r="D20" i="49"/>
  <c r="D21" i="49" s="1"/>
  <c r="M11" i="49" s="1"/>
  <c r="E20" i="49"/>
  <c r="F20" i="49"/>
  <c r="F21" i="49" s="1"/>
  <c r="N11" i="49" s="1"/>
  <c r="G20" i="49"/>
  <c r="H20" i="49"/>
  <c r="H21" i="49" s="1"/>
  <c r="O11" i="49" s="1"/>
  <c r="I20" i="49"/>
  <c r="C20" i="49"/>
  <c r="P11" i="49" l="1"/>
  <c r="M39" i="89"/>
  <c r="N40" i="89"/>
  <c r="N41" i="89" s="1"/>
  <c r="N42" i="89" s="1"/>
  <c r="N43" i="89" s="1"/>
  <c r="N44" i="89" s="1"/>
  <c r="N45" i="89" s="1"/>
  <c r="N46" i="89" s="1"/>
  <c r="N47" i="89" s="1"/>
  <c r="N48" i="89" s="1"/>
  <c r="P21" i="10"/>
  <c r="P10" i="10"/>
  <c r="P11" i="10"/>
  <c r="P12" i="10"/>
  <c r="P13" i="10"/>
  <c r="P14" i="10"/>
  <c r="P15" i="10"/>
  <c r="P16" i="10"/>
  <c r="P17" i="10"/>
  <c r="P18" i="10"/>
  <c r="P19" i="10"/>
  <c r="P20" i="10"/>
  <c r="P9" i="10"/>
  <c r="O21" i="10"/>
  <c r="O10" i="10"/>
  <c r="O11" i="10"/>
  <c r="O12" i="10"/>
  <c r="O13" i="10"/>
  <c r="O14" i="10"/>
  <c r="O15" i="10"/>
  <c r="O16" i="10"/>
  <c r="O17" i="10"/>
  <c r="O18" i="10"/>
  <c r="O19" i="10"/>
  <c r="O20" i="10"/>
  <c r="O9" i="10"/>
  <c r="N10" i="10"/>
  <c r="N11" i="10"/>
  <c r="N12" i="10"/>
  <c r="N13" i="10"/>
  <c r="N14" i="10"/>
  <c r="N15" i="10"/>
  <c r="N16" i="10"/>
  <c r="N17" i="10"/>
  <c r="N18" i="10"/>
  <c r="N19" i="10"/>
  <c r="N20" i="10"/>
  <c r="N9" i="10"/>
  <c r="N49" i="89" l="1"/>
  <c r="N50" i="89" s="1"/>
  <c r="N51" i="89" s="1"/>
  <c r="N52" i="89" s="1"/>
  <c r="N53" i="89" s="1"/>
  <c r="M40" i="89"/>
  <c r="M41" i="89" s="1"/>
  <c r="M42" i="89" s="1"/>
  <c r="M43" i="89" s="1"/>
  <c r="M44" i="89" s="1"/>
  <c r="M45" i="89" s="1"/>
  <c r="M46" i="89" s="1"/>
  <c r="M47" i="89" s="1"/>
  <c r="M48" i="89" s="1"/>
  <c r="M49" i="89" s="1"/>
  <c r="M50" i="89" s="1"/>
  <c r="M51" i="89" s="1"/>
  <c r="M52" i="89" s="1"/>
  <c r="M53" i="89" s="1"/>
  <c r="J20" i="27"/>
  <c r="F14" i="5" l="1"/>
  <c r="F15" i="5"/>
  <c r="J13" i="5"/>
  <c r="J14" i="5"/>
  <c r="I15" i="5"/>
  <c r="J15" i="5" s="1"/>
  <c r="C16" i="63" l="1"/>
  <c r="C19" i="65"/>
  <c r="E19" i="65"/>
  <c r="G19" i="65"/>
  <c r="K19" i="65"/>
  <c r="F16" i="61"/>
  <c r="F15" i="61"/>
  <c r="E17" i="61"/>
  <c r="C17" i="63" s="1"/>
  <c r="D17" i="61"/>
  <c r="F13" i="61"/>
  <c r="F12" i="61"/>
  <c r="D25" i="45"/>
  <c r="E18" i="64"/>
  <c r="D17" i="63" s="1"/>
  <c r="D17" i="60"/>
  <c r="G11" i="41"/>
  <c r="I21" i="3"/>
  <c r="D18" i="64"/>
  <c r="D16" i="63" s="1"/>
  <c r="C18" i="64"/>
  <c r="D14" i="63" s="1"/>
  <c r="D20" i="27"/>
  <c r="D21" i="27" s="1"/>
  <c r="E20" i="27"/>
  <c r="F20" i="27"/>
  <c r="G20" i="27"/>
  <c r="H20" i="27"/>
  <c r="I20" i="27"/>
  <c r="C20" i="27"/>
  <c r="G18" i="47"/>
  <c r="H18" i="47" s="1"/>
  <c r="E16" i="60"/>
  <c r="F11" i="36"/>
  <c r="F13" i="36"/>
  <c r="E13" i="36"/>
  <c r="G10" i="41"/>
  <c r="E21" i="80"/>
  <c r="K8" i="27"/>
  <c r="I21" i="80"/>
  <c r="F21" i="80"/>
  <c r="I21" i="49"/>
  <c r="G7" i="41"/>
  <c r="G8" i="41"/>
  <c r="G9" i="41"/>
  <c r="E15" i="63"/>
  <c r="G6" i="58"/>
  <c r="D11" i="61"/>
  <c r="E10" i="61"/>
  <c r="E9" i="61"/>
  <c r="E11" i="61"/>
  <c r="C15" i="63" s="1"/>
  <c r="F11" i="61"/>
  <c r="D8" i="61"/>
  <c r="E7" i="61"/>
  <c r="E6" i="61"/>
  <c r="E8" i="61" s="1"/>
  <c r="K8" i="7"/>
  <c r="U1" i="65"/>
  <c r="S1" i="65"/>
  <c r="R1" i="65"/>
  <c r="H21" i="80"/>
  <c r="D21" i="80"/>
  <c r="C21" i="80"/>
  <c r="G21" i="80"/>
  <c r="F9" i="63"/>
  <c r="F10" i="63"/>
  <c r="F11" i="63"/>
  <c r="F12" i="63"/>
  <c r="G12" i="63" s="1"/>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M1" i="27"/>
  <c r="N1" i="27"/>
  <c r="O1" i="27"/>
  <c r="B7" i="4"/>
  <c r="F10" i="61"/>
  <c r="F9" i="61"/>
  <c r="M10" i="27" l="1"/>
  <c r="M2" i="27"/>
  <c r="C21" i="27"/>
  <c r="I20" i="65"/>
  <c r="F14" i="36"/>
  <c r="E14" i="36"/>
  <c r="G11" i="63"/>
  <c r="G9" i="63"/>
  <c r="G13" i="63"/>
  <c r="G10" i="63"/>
  <c r="C14" i="63"/>
  <c r="F14" i="63" s="1"/>
  <c r="G14" i="63" s="1"/>
  <c r="F8" i="61"/>
  <c r="F17" i="63"/>
  <c r="G18" i="63" s="1"/>
  <c r="F17" i="61"/>
  <c r="F16" i="63"/>
  <c r="J21" i="3"/>
  <c r="D15" i="63"/>
  <c r="F15" i="63" s="1"/>
  <c r="E20" i="65"/>
  <c r="G20" i="65"/>
  <c r="C20" i="65"/>
  <c r="K20" i="65"/>
  <c r="C21" i="49"/>
  <c r="E21" i="49"/>
  <c r="G21" i="27"/>
  <c r="E21" i="27"/>
  <c r="H21" i="27"/>
  <c r="F21" i="27"/>
  <c r="N10" i="27" l="1"/>
  <c r="N2" i="27"/>
  <c r="O2" i="27"/>
  <c r="O10" i="27"/>
  <c r="P10" i="27"/>
  <c r="G17" i="63"/>
  <c r="G15" i="63"/>
  <c r="V2" i="65"/>
  <c r="G16" i="63"/>
  <c r="M2" i="3"/>
  <c r="P2" i="27" l="1"/>
</calcChain>
</file>

<file path=xl/sharedStrings.xml><?xml version="1.0" encoding="utf-8"?>
<sst xmlns="http://schemas.openxmlformats.org/spreadsheetml/2006/main" count="1839" uniqueCount="756">
  <si>
    <t>Boletín de Cereales</t>
  </si>
  <si>
    <t>Cereales: producción, precios y comercio exterior de trigo, maíz y arroz</t>
  </si>
  <si>
    <t>Trigo: Páginas 4-27</t>
  </si>
  <si>
    <t>Maíz: Páginas 28-43</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</si>
  <si>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</si>
  <si>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</si>
  <si>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</si>
  <si>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</si>
  <si>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</si>
  <si>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</si>
  <si>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</si>
  <si>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</si>
  <si>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</si>
  <si>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</si>
  <si>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</si>
  <si>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</si>
  <si>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</si>
  <si>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</si>
  <si>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</si>
  <si>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</si>
  <si>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</si>
  <si>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</si>
  <si>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</si>
  <si>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</si>
  <si>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</si>
  <si>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</si>
  <si>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</si>
  <si>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</si>
  <si>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</si>
  <si>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</si>
  <si>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</si>
  <si>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</si>
  <si>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</si>
  <si>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</si>
  <si>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</si>
  <si>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</si>
  <si>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</si>
  <si>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</si>
  <si>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</si>
  <si>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</si>
  <si>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</si>
  <si>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</si>
  <si>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</si>
  <si>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</si>
  <si>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</si>
  <si>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</si>
  <si>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</si>
  <si>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</si>
  <si>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</si>
  <si>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</si>
  <si>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</si>
  <si>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</si>
  <si>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</si>
  <si>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</si>
  <si>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</si>
  <si>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</si>
  <si>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</si>
  <si>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</si>
  <si>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</si>
  <si>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</si>
  <si>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</si>
  <si>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</si>
  <si>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</si>
  <si>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</si>
  <si>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</si>
  <si>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</si>
  <si>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</si>
  <si>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</si>
  <si>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</si>
  <si>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</si>
  <si>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</si>
  <si>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</si>
  <si>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</si>
  <si>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</si>
  <si>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</si>
  <si>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</si>
  <si>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</si>
  <si>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</si>
  <si>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</si>
  <si>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</si>
  <si>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</si>
  <si>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</si>
  <si>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</si>
  <si>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</si>
  <si>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</si>
  <si>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</si>
  <si>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</si>
  <si>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</si>
  <si>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</si>
  <si>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</si>
  <si>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</si>
  <si>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</si>
  <si>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</si>
  <si>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</si>
  <si>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</si>
  <si>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</si>
  <si>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</si>
  <si>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</si>
  <si>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</si>
  <si>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</si>
  <si>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</si>
  <si>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</si>
  <si>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</si>
  <si>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</si>
  <si>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</si>
  <si>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</si>
  <si>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</si>
  <si>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</si>
  <si>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</si>
  <si>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</si>
  <si>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</si>
  <si>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</si>
  <si>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</si>
  <si>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</si>
  <si>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</si>
  <si>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</si>
  <si>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</si>
  <si>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</si>
  <si>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</si>
  <si>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</si>
  <si>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</si>
  <si>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</si>
  <si>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</si>
  <si>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Importaciones</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</si>
  <si>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</si>
  <si>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</si>
  <si>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</si>
  <si>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</si>
  <si>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</si>
  <si>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</si>
  <si>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</si>
  <si>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</si>
  <si>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</si>
  <si>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</si>
  <si>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</si>
  <si>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</si>
  <si>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</si>
  <si>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</si>
  <si>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</si>
  <si>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</si>
  <si>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</si>
  <si>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</si>
  <si>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Años agrícolas 2019/20 - 2020/21</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</si>
  <si>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</si>
  <si>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</si>
  <si>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</si>
  <si>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</si>
  <si>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</si>
  <si>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</si>
  <si>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</si>
  <si>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</si>
  <si>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</si>
  <si>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</si>
  <si>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</si>
  <si>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</si>
  <si>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</si>
  <si>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</si>
  <si>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</si>
  <si>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</si>
  <si>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</si>
  <si>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</si>
  <si>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</si>
  <si>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</si>
  <si>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</si>
  <si>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</si>
  <si>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</si>
  <si>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</si>
  <si>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</si>
  <si>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</si>
  <si>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</si>
  <si>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</si>
  <si>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</si>
  <si>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</si>
  <si>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</si>
  <si>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</si>
  <si>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</si>
  <si>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</si>
  <si>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</si>
  <si>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</si>
  <si>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</si>
  <si>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</si>
  <si>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</si>
  <si>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</si>
  <si>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</si>
  <si>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</si>
  <si>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</si>
  <si>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</si>
  <si>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</si>
  <si>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Stocks inicial</t>
  </si>
  <si>
    <t>Stock Final</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</si>
  <si>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</si>
  <si>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</si>
  <si>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</si>
  <si>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</si>
  <si>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</si>
  <si>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</si>
  <si>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</si>
  <si>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</si>
  <si>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</si>
  <si>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</si>
  <si>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</si>
  <si>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</si>
  <si>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Var. %</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</si>
  <si>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</si>
  <si>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</si>
  <si>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</si>
  <si>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</si>
  <si>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</si>
  <si>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</si>
  <si>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</si>
  <si>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</si>
  <si>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</si>
  <si>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</si>
  <si>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</si>
  <si>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</si>
  <si>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</si>
  <si>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</si>
  <si>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</si>
  <si>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</si>
  <si>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</si>
  <si>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</si>
  <si>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</si>
  <si>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</si>
  <si>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</si>
  <si>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</si>
  <si>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</si>
  <si>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</si>
  <si>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</si>
  <si>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</si>
  <si>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</si>
  <si>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</si>
  <si>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</si>
  <si>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</si>
  <si>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Fuente: elaborado por Odepa con información del Servicio Nacional de Aduanas.
Nota: se excluye trigo destinado a uso forrajero.</t>
  </si>
  <si>
    <t>Se excluye trigo destinado a uso forrajero.
Fuente: elaborado por Odepa con información del Servicio Nacional de Aduanas.</t>
  </si>
  <si>
    <t>Cuadro Nº 14</t>
  </si>
  <si>
    <t xml:space="preserve">(USD/ tonelada CIF)   </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</si>
  <si>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</si>
  <si>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</si>
  <si>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</si>
  <si>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</si>
  <si>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</si>
  <si>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</si>
  <si>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</si>
  <si>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</si>
  <si>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</si>
  <si>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</si>
  <si>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</si>
  <si>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</si>
  <si>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</si>
  <si>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 xml:space="preserve">*Los precios pueden tener distintas condiciones de pago. 
Para más detalle ver en www.cotrisa.cl.     
Fuente: elaborado por Odepa con información de Cotrisa.    
</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</si>
  <si>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</si>
  <si>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</si>
  <si>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</si>
  <si>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</si>
  <si>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</si>
  <si>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</si>
  <si>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</si>
  <si>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</si>
  <si>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</si>
  <si>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</si>
  <si>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</si>
  <si>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</si>
  <si>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</si>
  <si>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</si>
  <si>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</si>
  <si>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</si>
  <si>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</si>
  <si>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</si>
  <si>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</si>
  <si>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</si>
  <si>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</si>
  <si>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</si>
  <si>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</si>
  <si>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</si>
  <si>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</si>
  <si>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</si>
  <si>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</si>
  <si>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</si>
  <si>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</si>
  <si>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</si>
  <si>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</si>
  <si>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</si>
  <si>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</si>
  <si>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</si>
  <si>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</si>
  <si>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</si>
  <si>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</si>
  <si>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</si>
  <si>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</si>
  <si>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</si>
  <si>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</si>
  <si>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</si>
  <si>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</si>
  <si>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</si>
  <si>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</si>
  <si>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</si>
  <si>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</si>
  <si>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</si>
  <si>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</si>
  <si>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</si>
  <si>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</si>
  <si>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</si>
  <si>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</si>
  <si>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</si>
  <si>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</si>
  <si>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</si>
  <si>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</si>
  <si>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</si>
  <si>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</si>
  <si>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</si>
  <si>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</si>
  <si>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</si>
  <si>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</si>
  <si>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</si>
  <si>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</si>
  <si>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</si>
  <si>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</si>
  <si>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</si>
  <si>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</si>
  <si>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</si>
  <si>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</si>
  <si>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</si>
  <si>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</si>
  <si>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</si>
  <si>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</si>
  <si>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</si>
  <si>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</si>
  <si>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</si>
  <si>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</si>
  <si>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</si>
  <si>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</si>
  <si>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</si>
  <si>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</si>
  <si>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</si>
  <si>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</si>
  <si>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</si>
  <si>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</si>
  <si>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</si>
  <si>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</si>
  <si>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</si>
  <si>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</si>
  <si>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</si>
  <si>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</si>
  <si>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</si>
  <si>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</si>
  <si>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</si>
  <si>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</si>
  <si>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</si>
  <si>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</si>
  <si>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</si>
  <si>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Trigo productor*</t>
  </si>
  <si>
    <t>Harina productor**</t>
  </si>
  <si>
    <t>Pan consumidor***</t>
  </si>
  <si>
    <t xml:space="preserve">Fuente: elaborado por Odepa con información del INE.                               </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</si>
  <si>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</si>
  <si>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</si>
  <si>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</si>
  <si>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</si>
  <si>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</si>
  <si>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</si>
  <si>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</si>
  <si>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</si>
  <si>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</si>
  <si>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</si>
  <si>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</si>
  <si>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</si>
  <si>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</si>
  <si>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</si>
  <si>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</si>
  <si>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</si>
  <si>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</si>
  <si>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</si>
  <si>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</si>
  <si>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</si>
  <si>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</si>
  <si>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</si>
  <si>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</si>
  <si>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</si>
  <si>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</si>
  <si>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</si>
  <si>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</si>
  <si>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</si>
  <si>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</si>
  <si>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</si>
  <si>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</si>
  <si>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</si>
  <si>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</si>
  <si>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</si>
  <si>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</si>
  <si>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</si>
  <si>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</si>
  <si>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</si>
  <si>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</si>
  <si>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</si>
  <si>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</si>
  <si>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</si>
  <si>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</si>
  <si>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</si>
  <si>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</si>
  <si>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</si>
  <si>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2019/19</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</si>
  <si>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</si>
  <si>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</si>
  <si>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</si>
  <si>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</si>
  <si>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</si>
  <si>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Años agrícolas 2019/20 a 2020/21</t>
  </si>
  <si>
    <t>Rendimiento (quintales/hectárea)</t>
  </si>
  <si>
    <t xml:space="preserve">Fuente : elaborado por Odepa con información del INE.           </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</si>
  <si>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</si>
  <si>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</si>
  <si>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</si>
  <si>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</si>
  <si>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</si>
  <si>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</si>
  <si>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</si>
  <si>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</si>
  <si>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</si>
  <si>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 xml:space="preserve">(3) Incluye imprevistos, costo financiero, costo de oportunidad de la tierra (arriendo), administración, impuestos y contribuciones. </t>
  </si>
  <si>
    <t>(5) Representa el precio de venta mínimo para cubrir los costos totales de producción.</t>
  </si>
  <si>
    <t>Toneladas</t>
  </si>
  <si>
    <t>Variación  anual (%)</t>
  </si>
  <si>
    <t xml:space="preserve"> Fuente: elaborado por Odepa con información estimada del INE y Servicio Nacional de Aduanas.</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</si>
  <si>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</si>
  <si>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</si>
  <si>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</si>
  <si>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</si>
  <si>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</si>
  <si>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</si>
  <si>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</si>
  <si>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</si>
  <si>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</si>
  <si>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</si>
  <si>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</si>
  <si>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</si>
  <si>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</si>
  <si>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</si>
  <si>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</si>
  <si>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</si>
  <si>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</si>
  <si>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</si>
  <si>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</si>
  <si>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</si>
  <si>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</si>
  <si>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</si>
  <si>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</si>
  <si>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</si>
  <si>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</si>
  <si>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</si>
  <si>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</si>
  <si>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</si>
  <si>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</si>
  <si>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*Los precios pueden tener distintas condiciones de pago. 
Para más detalle ver en www.cotrisa.cl.  
Las celdas en blanco significa que no se publicaron precios en ese mes.
Fuente: elaborado por Odepa con información de Cotrisa.</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</si>
  <si>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</si>
  <si>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</si>
  <si>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</si>
  <si>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</si>
  <si>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</si>
  <si>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</si>
  <si>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</si>
  <si>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</si>
  <si>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</si>
  <si>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</si>
  <si>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</si>
  <si>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</si>
  <si>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</si>
  <si>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</si>
  <si>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</si>
  <si>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</si>
  <si>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</si>
  <si>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</si>
  <si>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</si>
  <si>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</si>
  <si>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</si>
  <si>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</si>
  <si>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</si>
  <si>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</si>
  <si>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</si>
  <si>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</si>
  <si>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</si>
  <si>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</si>
  <si>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</si>
  <si>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</si>
  <si>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</si>
  <si>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</si>
  <si>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</si>
  <si>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</si>
  <si>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</si>
  <si>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</si>
  <si>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</si>
  <si>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</si>
  <si>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</si>
  <si>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</si>
  <si>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</si>
  <si>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</si>
  <si>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</si>
  <si>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</si>
  <si>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</si>
  <si>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</si>
  <si>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</si>
  <si>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</si>
  <si>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</si>
  <si>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</si>
  <si>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</si>
  <si>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</si>
  <si>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</si>
  <si>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</si>
  <si>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</si>
  <si>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</si>
  <si>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</si>
  <si>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</si>
  <si>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</si>
  <si>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</si>
  <si>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</si>
  <si>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</si>
  <si>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</si>
  <si>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</si>
  <si>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</si>
  <si>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</si>
  <si>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</si>
  <si>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</si>
  <si>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</si>
  <si>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</si>
  <si>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</si>
  <si>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</si>
  <si>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</si>
  <si>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</si>
  <si>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</si>
  <si>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</si>
  <si>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</si>
  <si>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</si>
  <si>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</si>
  <si>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</si>
  <si>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</si>
  <si>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</si>
  <si>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</si>
  <si>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</si>
  <si>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</si>
  <si>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</si>
  <si>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</si>
  <si>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</si>
  <si>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</si>
  <si>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</si>
  <si>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</si>
  <si>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</si>
  <si>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</si>
  <si>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</si>
  <si>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</si>
  <si>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</si>
  <si>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</si>
  <si>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</si>
  <si>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</si>
  <si>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</si>
  <si>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</si>
  <si>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</si>
  <si>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</si>
  <si>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</si>
  <si>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</si>
  <si>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</si>
  <si>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</si>
  <si>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2021/22*</t>
  </si>
  <si>
    <t>Años agrícolas 2016/17 a 2020/21</t>
  </si>
  <si>
    <t>2017/2018</t>
  </si>
  <si>
    <t>2018/2019</t>
  </si>
  <si>
    <t xml:space="preserve"> Fuente: elaborado por Odepa con información del INE.  </t>
  </si>
  <si>
    <t>Arroz. Costos de producción por hectárea según rendimiento esperado ($/ha)</t>
  </si>
  <si>
    <t xml:space="preserve"> Temporada: 2020 - 2021</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</si>
  <si>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</si>
  <si>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</si>
  <si>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</si>
  <si>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</si>
  <si>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</si>
  <si>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</si>
  <si>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</si>
  <si>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</si>
  <si>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</si>
  <si>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</si>
  <si>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</si>
  <si>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</si>
  <si>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</si>
  <si>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 xml:space="preserve">Fuente: elaborado por Odepa. </t>
  </si>
  <si>
    <t>Para mayores detalles y análisis de sensibilidad: https://www.odepa.gob.cl/fichas-de-costo/ficha-de-costo-del-arroz-region-del-maule</t>
  </si>
  <si>
    <t>Producción (rdto. ind. 50 -56%)</t>
  </si>
  <si>
    <t>Importación total (elaborado)</t>
  </si>
  <si>
    <t>Exportación total</t>
  </si>
  <si>
    <t>Variación anual 
%</t>
  </si>
  <si>
    <t xml:space="preserve">Fuente: elaborado por Odepa con información estimada del INE y Servicio Nacional de Aduanas. </t>
  </si>
  <si>
    <t>Chile. Evolución mensual de las importaciones de arroz elaborado (toneladas)</t>
  </si>
  <si>
    <t>Chile. Importaciones de arroz por tipo</t>
  </si>
  <si>
    <t>Volumen (toneladas)</t>
  </si>
  <si>
    <t>10061000
10061090</t>
  </si>
  <si>
    <t>10062000</t>
  </si>
  <si>
    <t>10063010</t>
  </si>
  <si>
    <t>10063020</t>
  </si>
  <si>
    <t>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</si>
  <si>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</si>
  <si>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</si>
  <si>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</si>
  <si>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</si>
  <si>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</si>
  <si>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</si>
  <si>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</si>
  <si>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</si>
  <si>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</si>
  <si>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</si>
  <si>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</si>
  <si>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</si>
  <si>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</si>
  <si>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</si>
  <si>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</si>
  <si>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</si>
  <si>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</si>
  <si>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</si>
  <si>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</si>
  <si>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</si>
  <si>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</si>
  <si>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</si>
  <si>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</si>
  <si>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</si>
  <si>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</si>
  <si>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</si>
  <si>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</si>
  <si>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</si>
  <si>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</si>
  <si>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</si>
  <si>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</si>
  <si>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</si>
  <si>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</si>
  <si>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</si>
  <si>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</si>
  <si>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</si>
  <si>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</si>
  <si>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</si>
  <si>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</si>
  <si>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</si>
  <si>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</si>
  <si>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</si>
  <si>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</si>
  <si>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</si>
  <si>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</si>
  <si>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</si>
  <si>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</si>
  <si>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</si>
  <si>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</si>
  <si>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</si>
  <si>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</si>
  <si>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</si>
  <si>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</si>
  <si>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</si>
  <si>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</si>
  <si>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</si>
  <si>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</si>
  <si>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</si>
  <si>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 xml:space="preserve">
Fuente: elaborado por Odepa con información del Servicio Nacional de Aduanas.</t>
  </si>
  <si>
    <t>2021</t>
  </si>
  <si>
    <t>*Se excluye trigo destinado a uso forrajero.
Fuente: elaborado por Odepa con información del Servicio Nacional de Aduanas.</t>
  </si>
  <si>
    <t>2021 - 2022</t>
  </si>
  <si>
    <t>Período 2019 - 2022</t>
  </si>
  <si>
    <t>2021-2022</t>
  </si>
  <si>
    <t>Se excluye trigo destinado a uso forrajero. 
Fuente: elaborado por Odepa con información del Servicio Nacional de Aduanas.</t>
  </si>
  <si>
    <t>Período 2021 - 2022</t>
  </si>
  <si>
    <t>Var. 2022-2021</t>
  </si>
  <si>
    <t>Período 2018-2022</t>
  </si>
  <si>
    <t>2022</t>
  </si>
  <si>
    <t>Período 2017 - 2022</t>
  </si>
  <si>
    <t>Período 2018 - 2022</t>
  </si>
  <si>
    <t>Período 2015-2022</t>
  </si>
  <si>
    <t>Período 2015 - 2022</t>
  </si>
  <si>
    <t>2022*</t>
  </si>
  <si>
    <t>10 de enero de 2022</t>
  </si>
  <si>
    <t>18 de enero de 2022</t>
  </si>
  <si>
    <t>24 de enero de 2022</t>
  </si>
  <si>
    <t>31 de enero de 2022</t>
  </si>
  <si>
    <t>7 de febrero de 2022</t>
  </si>
  <si>
    <t>Período 2020 - 2022</t>
  </si>
  <si>
    <t>14 de febrero de 2022</t>
  </si>
  <si>
    <t>22 de febrero de 2022</t>
  </si>
  <si>
    <t>28 de febrero de 2022</t>
  </si>
  <si>
    <t xml:space="preserve">*Incluye trigo panadero y candeal. Se excluye trigo destinado a uso forrajero.
En  2021 empresas con giro pecuario han importado 386.122 toneladas de trigo (no consideradas en el cuadro superior). Este año, esa cifra llega a 12.370 toneladas a febrero de 2022.
Fuente: elaborado por Odepa con información del Servicio Nacional de Aduanas.                                </t>
  </si>
  <si>
    <t>2022/P</t>
  </si>
  <si>
    <t>(s) Iván Rodríguez Rojas</t>
  </si>
  <si>
    <t>Período 2012 - 2021</t>
  </si>
  <si>
    <t>Período 2010 - 2021</t>
  </si>
  <si>
    <t xml:space="preserve">
Fuente: elaborado por Odepa con información del Servicio Nacional de Aduanas. 
*Corresponde al costo del mes anterior al mes de publicación.</t>
  </si>
  <si>
    <t>Período 2011 - 2021</t>
  </si>
  <si>
    <t>2021/22</t>
  </si>
  <si>
    <t>Fuente: elaborado por Odepa con información de INE.</t>
  </si>
  <si>
    <t>Años agrícolas 2011/12 a 2021/22</t>
  </si>
  <si>
    <t>Sergio Soto N.</t>
  </si>
  <si>
    <t xml:space="preserve"> </t>
  </si>
  <si>
    <t>12 meses</t>
  </si>
  <si>
    <t>Variación mensual y a 12 meses índices precios a productor (IPP) de trigo-harina y consumidor (IPC) de pan</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</si>
  <si>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</si>
  <si>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</si>
  <si>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</si>
  <si>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</si>
  <si>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</si>
  <si>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</si>
  <si>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t>
  </si>
  <si>
    <t xml:space="preserve">Costo de importación CIF*  </t>
  </si>
  <si>
    <t xml:space="preserve">Costo de importación CIF* (convertido a paddy)  </t>
  </si>
  <si>
    <t>Costo de importación CAI (Odepa)**</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</si>
  <si>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</si>
  <si>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</si>
  <si>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</si>
  <si>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</si>
  <si>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</si>
  <si>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</si>
  <si>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</si>
  <si>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</si>
  <si>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</si>
  <si>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</si>
  <si>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</si>
  <si>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</si>
  <si>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</si>
  <si>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</si>
  <si>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</si>
  <si>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</si>
  <si>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</si>
  <si>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</si>
  <si>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</si>
  <si>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</si>
  <si>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</si>
  <si>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</si>
  <si>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t>(1) Los costos de mano de obra; maquinaria e insumos corresponden aproximadamente a los nominales observados entorno a la siembra 2021</t>
  </si>
  <si>
    <t>Arroz: Páginas 44-61</t>
  </si>
  <si>
    <t>(2) El precio a productor utilizado en el análisis de sensibilidad corresponde al precio promedio de la Región de O´Higgins durante marzo - abril de 2022.</t>
  </si>
  <si>
    <t>Proyección mensual del balance mundial de oferta y demanda de trigo temporada 2022/23</t>
  </si>
  <si>
    <t>2021/22 estimado</t>
  </si>
  <si>
    <t>2022/23 proyectado</t>
  </si>
  <si>
    <t>2022/2023 Proyectado</t>
  </si>
  <si>
    <t>2021/2022 Estimado</t>
  </si>
  <si>
    <t>2 de mayo de 2022</t>
  </si>
  <si>
    <t>9 de mayo de 2022</t>
  </si>
  <si>
    <t>16 de mayo de 2022</t>
  </si>
  <si>
    <t>Proyecciones del balance mundial de oferta y demanda de maíz temporada 2022/23 en cada mes</t>
  </si>
  <si>
    <t xml:space="preserve">2020/21 </t>
  </si>
  <si>
    <t>2021/2022 (estimado)</t>
  </si>
  <si>
    <t>2022/2023 (proyectado)</t>
  </si>
  <si>
    <t>Proyecciones del balance mundial de oferta y demanda de arroz temporada 2022/23 en cada mes</t>
  </si>
  <si>
    <t xml:space="preserve">Cifras acumuladas a abril
Fuente: elaborado por Odepa con información del Servicio Nacional de Aduanas.
</t>
  </si>
  <si>
    <t>(4)  El cuadro de sensibilidad considera una tecnología media.</t>
  </si>
  <si>
    <t>(1) La ficha completa se encuentra publicada en el sitio de internet de Odepa http://www.odepa.cl/ considerando los costos al establecimiento del cultivo de 2021</t>
  </si>
  <si>
    <r>
      <t xml:space="preserve">Chile. Maíz - Temporada 2021/2022 - Costos por hectárea del cultivo 2021 actualizados a </t>
    </r>
    <r>
      <rPr>
        <b/>
        <sz val="11"/>
        <rFont val="Arial"/>
        <family val="2"/>
      </rPr>
      <t>Abril 2022</t>
    </r>
    <r>
      <rPr>
        <b/>
        <sz val="10"/>
        <rFont val="Arial"/>
        <family val="2"/>
      </rPr>
      <t xml:space="preserve"> según rendimiento esperado ($/ha)</t>
    </r>
    <r>
      <rPr>
        <b/>
        <vertAlign val="superscript"/>
        <sz val="10"/>
        <rFont val="Arial"/>
        <family val="2"/>
      </rPr>
      <t xml:space="preserve"> 1</t>
    </r>
  </si>
  <si>
    <t>Junio 2022</t>
  </si>
  <si>
    <t>Avance información general al 31 de mayo 2022
Avance información precios futuros al 13 de junio 2022
Avance información balanza mundial al 10 de junio 2022</t>
  </si>
  <si>
    <t>Junio 2022 (millones de toneladas)</t>
  </si>
  <si>
    <t xml:space="preserve">Fecha de publicación: junio 2022 </t>
  </si>
  <si>
    <r>
      <t xml:space="preserve">Fecha de publicación: febrero 2021 / </t>
    </r>
    <r>
      <rPr>
        <b/>
        <sz val="10"/>
        <color rgb="FFFF0000"/>
        <rFont val="Arial"/>
        <family val="2"/>
      </rPr>
      <t>En proceso de actualización para el boletín de Agosto 2022</t>
    </r>
  </si>
  <si>
    <t>* mayo de 2022
Fuente: elaborado por Odepa con información del Servicio Nacional de Aduanas.</t>
  </si>
  <si>
    <t>Feb 2022 Trigo
Abr 2022 Harina de Trigo
Jun 2022 Pan</t>
  </si>
  <si>
    <t>* IPP. La variación del IPP del trigo harinero es actualizada en los meses de diciembre, enero y febrero de cada año.
** IPP. La variación del IPP de la harina de trigo (industria manufacturera) a mayo 2022
***IPC. La variación del IPC del pan a junio 2022</t>
  </si>
  <si>
    <r>
      <rPr>
        <b/>
        <sz val="10"/>
        <rFont val="Arial"/>
        <family val="2"/>
      </rPr>
      <t xml:space="preserve">*Se excluye trigo importado destinado a uso forrajero.   </t>
    </r>
    <r>
      <rPr>
        <sz val="9"/>
        <rFont val="Arial"/>
        <family val="2"/>
      </rPr>
      <t xml:space="preserve">                        
</t>
    </r>
    <r>
      <rPr>
        <b/>
        <sz val="9"/>
        <rFont val="Arial"/>
        <family val="2"/>
      </rPr>
      <t>Fuente: elaborado por Odepa con información del INE y Servicio Nacional de Aduanas.</t>
    </r>
  </si>
  <si>
    <t>Importación*</t>
  </si>
  <si>
    <r>
      <t xml:space="preserve">Basado en proyecciones realizadas por el Departamento de Agricultura de Estados Unidos (USDA), a través del informe World Agricultural Supply and Demand Estimates (WASDE) y antecedentes del Servicio Nacional de Aduanas. 
</t>
    </r>
    <r>
      <rPr>
        <b/>
        <sz val="10"/>
        <rFont val="Arial"/>
        <family val="2"/>
      </rPr>
      <t>Trigo:</t>
    </r>
    <r>
      <rPr>
        <sz val="10"/>
        <rFont val="Arial"/>
        <family val="2"/>
      </rPr>
      <t xml:space="preserve">
La proyección mundial de junio en trigo para 2022/23 es de un comercio internacional record de 204,6 millones de toneladas. Se estima que la menor producción de India se compensará con el incremento de Rusia. Esto debido a las buenas condiciones climaticas a la fecha.
Las existencias mundiales proyectadas para 2022/23 alcanzaran las 267 millones de toneladas, estando en su nivel más bajo en seis años. 
La demanda mundial proyectada para 2022/23 se reduce 1,5 millones de toneladas respecto a la estimación de mayo, ascendiendo a 786 millones.
</t>
    </r>
    <r>
      <rPr>
        <b/>
        <sz val="10"/>
        <rFont val="Arial"/>
        <family val="2"/>
      </rPr>
      <t>Maíz</t>
    </r>
    <r>
      <rPr>
        <sz val="10"/>
        <rFont val="Arial"/>
        <family val="2"/>
      </rPr>
      <t xml:space="preserve">
En junio la proyección mundial de producción de maíz para la temporada 2022/23 presenta mejores perspectivas que en el pasado mes de mayo. La producción se incrementa en Ucrania, explicado por una mayor superficie según los datos reportados por el gobierno local.
Se proyecta que los stocks iniciales; producción; demanda y stocks finales a nivel mundial se incrementen en la temporada 2022/23 con relación a la temporada 2021/22 en 1%, 5%, 4% y 6% respectivamente.
</t>
    </r>
    <r>
      <rPr>
        <b/>
        <sz val="10"/>
        <rFont val="Arial"/>
        <family val="2"/>
      </rPr>
      <t>Arroz</t>
    </r>
    <r>
      <rPr>
        <sz val="10"/>
        <rFont val="Arial"/>
        <family val="2"/>
      </rPr>
      <t xml:space="preserve">
Se estima que los stocks iniciales; producción; demanda y stocks finales a nivel mundial se mantendran relativamente estables, presentandose pequeñas variaciones respecto a la temporada 2021/22. En el caso de los stocks iniciales y finales disminuiran 0,4% y 0,6% respectivamente. Por su parte la producción y demanda mundial se incrementaran en 0,3% y 0,9%.
La producción se proyecta en un récord de 515,3 millones de toneladas, superando levemente el record de 2021/22, proyectandose una mayor producción en India,Tailandia y Vietnam.Por su parte, China mantendría sus niveles de producción estimados en 2021/22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</si>
</sst>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 numFmtId="212" formatCode="[$-1010C0A]#,##0.000;\-#,##0.000"/>
    <numFmt numFmtId="213" formatCode="[$-10C0A]#,##0.0;\-#,##0.0"/>
  </numFmts>
  <fonts count="234">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10"/>
      <color theme="0"/>
      <name val="Calibri"/>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sz val="10"/>
      <color rgb="FFFF0000"/>
      <name val="Arial"/>
      <family val="2"/>
      <scheme val="minor"/>
    </font>
    <font>
      <sz val="9"/>
      <name val="Arial"/>
      <family val="2"/>
    </font>
    <font>
      <sz val="10"/>
      <name val="Arial"/>
      <family val="2"/>
    </font>
    <font>
      <sz val="10"/>
      <name val="Arial"/>
      <family val="2"/>
    </font>
    <font>
      <sz val="9"/>
      <color theme="0"/>
      <name val="Arial"/>
      <family val="2"/>
    </font>
    <font>
      <sz val="11"/>
      <color theme="0"/>
      <name val="Arial"/>
      <family val="2"/>
    </font>
    <font>
      <sz val="10"/>
      <color theme="0"/>
      <name val="Arial"/>
      <family val="2"/>
    </font>
    <font>
      <sz val="10"/>
      <color indexed="8"/>
      <name val="Arial"/>
      <family val="2"/>
    </font>
    <font>
      <sz val="10"/>
      <color indexed="10"/>
      <name val="Arial"/>
      <family val="2"/>
    </font>
    <font>
      <sz val="10"/>
      <name val="Arial"/>
      <family val="2"/>
      <scheme val="minor"/>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b/>
      <sz val="8"/>
      <color theme="0"/>
      <name val="Verdana"/>
      <family val="2"/>
    </font>
    <font>
      <sz val="11"/>
      <color theme="0"/>
      <name val="Arial MT"/>
      <family val="2"/>
    </font>
    <font>
      <sz val="10"/>
      <color rgb="FFFF0000"/>
      <name val="Arial MT"/>
      <family val="2"/>
    </font>
    <font>
      <sz val="28"/>
      <color theme="0"/>
      <name val="Arial"/>
      <family val="2"/>
    </font>
    <font>
      <sz val="10"/>
      <color theme="0"/>
      <name val="Arial MT"/>
      <family val="2"/>
    </font>
    <font>
      <sz val="8"/>
      <color rgb="FFFF0000"/>
      <name val="Verdana"/>
      <family val="2"/>
    </font>
    <font>
      <sz val="9"/>
      <color rgb="FFFF0000"/>
      <name val="Arial MT"/>
      <family val="2"/>
    </font>
    <font>
      <sz val="8"/>
      <color rgb="FFFF0000"/>
      <name val="Arial"/>
      <family val="2"/>
    </font>
    <font>
      <b/>
      <sz val="8"/>
      <color rgb="FFFF0000"/>
      <name val="Verdana"/>
      <family val="2"/>
    </font>
    <font>
      <b/>
      <sz val="9"/>
      <color rgb="FFFF0000"/>
      <name val="Arial"/>
      <family val="2"/>
    </font>
    <font>
      <sz val="11"/>
      <color rgb="FFFF0000"/>
      <name val="Arial MT"/>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63">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5"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5"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5"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5"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5"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5"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6"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6"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6"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8"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1"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1" fillId="37" borderId="3" applyAlignment="0" applyProtection="0"/>
    <xf numFmtId="0" fontId="129"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30" fillId="0" borderId="46" applyNumberFormat="0" applyFill="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1"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2"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6"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6"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6"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6"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3" fillId="51" borderId="2" applyNumberFormat="0" applyAlignment="0" applyProtection="0"/>
    <xf numFmtId="0" fontId="51" fillId="0" borderId="0"/>
    <xf numFmtId="0" fontId="134"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7"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7"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7" fillId="0" borderId="0" applyFont="0" applyFill="0" applyBorder="0" applyAlignment="0" applyProtection="0"/>
    <xf numFmtId="166"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87"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8" fillId="56" borderId="0" applyNumberFormat="0" applyBorder="0" applyAlignment="0" applyProtection="0"/>
    <xf numFmtId="0" fontId="23" fillId="0" borderId="0"/>
    <xf numFmtId="0" fontId="56" fillId="0" borderId="0"/>
    <xf numFmtId="0" fontId="125" fillId="0" borderId="0"/>
    <xf numFmtId="0" fontId="125" fillId="0" borderId="0"/>
    <xf numFmtId="0" fontId="125" fillId="0" borderId="0"/>
    <xf numFmtId="0" fontId="123" fillId="0" borderId="0"/>
    <xf numFmtId="0" fontId="11" fillId="0" borderId="0"/>
    <xf numFmtId="0" fontId="125" fillId="0" borderId="0"/>
    <xf numFmtId="0" fontId="125" fillId="0" borderId="0"/>
    <xf numFmtId="0" fontId="55" fillId="0" borderId="0"/>
    <xf numFmtId="0" fontId="12" fillId="0" borderId="0"/>
    <xf numFmtId="0" fontId="12" fillId="0" borderId="0"/>
    <xf numFmtId="0" fontId="125"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5" fillId="0" borderId="0"/>
    <xf numFmtId="0" fontId="12" fillId="0" borderId="0">
      <alignment wrapText="1"/>
    </xf>
    <xf numFmtId="0" fontId="24" fillId="0" borderId="0"/>
    <xf numFmtId="0" fontId="12" fillId="0" borderId="0"/>
    <xf numFmtId="0" fontId="125" fillId="0" borderId="0"/>
    <xf numFmtId="0" fontId="125" fillId="0" borderId="0"/>
    <xf numFmtId="0" fontId="12" fillId="0" borderId="0">
      <alignment wrapText="1"/>
    </xf>
    <xf numFmtId="0" fontId="12" fillId="0" borderId="0">
      <alignment wrapText="1"/>
    </xf>
    <xf numFmtId="0" fontId="12" fillId="0" borderId="0"/>
    <xf numFmtId="0" fontId="12" fillId="0" borderId="0"/>
    <xf numFmtId="0" fontId="139" fillId="0" borderId="0"/>
    <xf numFmtId="0" fontId="56" fillId="0" borderId="0"/>
    <xf numFmtId="0" fontId="56" fillId="0" borderId="0"/>
    <xf numFmtId="187" fontId="53" fillId="0" borderId="0"/>
    <xf numFmtId="0" fontId="12" fillId="0" borderId="0"/>
    <xf numFmtId="0" fontId="140"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1"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2" fillId="0" borderId="0"/>
    <xf numFmtId="0" fontId="24" fillId="0" borderId="0"/>
    <xf numFmtId="0" fontId="12" fillId="0" borderId="0"/>
    <xf numFmtId="187" fontId="53" fillId="0" borderId="0"/>
    <xf numFmtId="0" fontId="12" fillId="0" borderId="0"/>
    <xf numFmtId="0" fontId="125" fillId="0" borderId="0"/>
    <xf numFmtId="0" fontId="125" fillId="0" borderId="0"/>
    <xf numFmtId="0" fontId="12" fillId="0" borderId="0"/>
    <xf numFmtId="0" fontId="139" fillId="0" borderId="0"/>
    <xf numFmtId="0" fontId="143" fillId="0" borderId="0"/>
    <xf numFmtId="0" fontId="143" fillId="0" borderId="0"/>
    <xf numFmtId="0" fontId="24" fillId="0" borderId="0"/>
    <xf numFmtId="0" fontId="125" fillId="0" borderId="0"/>
    <xf numFmtId="0" fontId="125" fillId="0" borderId="0"/>
    <xf numFmtId="0" fontId="125" fillId="0" borderId="0"/>
    <xf numFmtId="0" fontId="12" fillId="0" borderId="0"/>
    <xf numFmtId="0" fontId="1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0" fontId="125" fillId="0" borderId="0"/>
    <xf numFmtId="0" fontId="1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187"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5"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7"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9"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7"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4"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7"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1"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6"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2"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7"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2" fillId="0" borderId="16" applyFill="0" applyAlignment="0" applyProtection="0"/>
    <xf numFmtId="187" fontId="122"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2" fillId="0" borderId="17" applyFill="0" applyAlignment="0" applyProtection="0"/>
    <xf numFmtId="188" fontId="122" fillId="0" borderId="17" applyFill="0" applyAlignment="0" applyProtection="0"/>
    <xf numFmtId="0" fontId="148" fillId="0" borderId="18" applyNumberFormat="0" applyFill="0" applyAlignment="0" applyProtection="0"/>
    <xf numFmtId="0" fontId="10" fillId="0" borderId="0"/>
    <xf numFmtId="0" fontId="157" fillId="0" borderId="0"/>
    <xf numFmtId="0" fontId="9" fillId="0" borderId="0"/>
    <xf numFmtId="0" fontId="168"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6"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3" fillId="0" borderId="48" applyNumberFormat="0" applyFill="0" applyAlignment="0" applyProtection="0"/>
    <xf numFmtId="0" fontId="184" fillId="0" borderId="49" applyNumberFormat="0" applyFill="0" applyAlignment="0" applyProtection="0"/>
    <xf numFmtId="0" fontId="185" fillId="0" borderId="50" applyNumberFormat="0" applyFill="0" applyAlignment="0" applyProtection="0"/>
    <xf numFmtId="0" fontId="186" fillId="60" borderId="0" applyNumberFormat="0" applyBorder="0" applyAlignment="0" applyProtection="0"/>
    <xf numFmtId="0" fontId="187" fillId="55" borderId="0" applyNumberFormat="0" applyBorder="0" applyAlignment="0" applyProtection="0"/>
    <xf numFmtId="0" fontId="194" fillId="56" borderId="0" applyNumberFormat="0" applyBorder="0" applyAlignment="0" applyProtection="0"/>
    <xf numFmtId="0" fontId="188" fillId="61" borderId="51" applyNumberFormat="0" applyAlignment="0" applyProtection="0"/>
    <xf numFmtId="0" fontId="189" fillId="62" borderId="47" applyNumberFormat="0" applyAlignment="0" applyProtection="0"/>
    <xf numFmtId="0" fontId="190" fillId="62" borderId="51" applyNumberFormat="0" applyAlignment="0" applyProtection="0"/>
    <xf numFmtId="0" fontId="191" fillId="0" borderId="46" applyNumberFormat="0" applyFill="0" applyAlignment="0" applyProtection="0"/>
    <xf numFmtId="0" fontId="192" fillId="63" borderId="45" applyNumberFormat="0" applyAlignment="0" applyProtection="0"/>
    <xf numFmtId="0" fontId="181" fillId="0" borderId="0" applyNumberFormat="0" applyFill="0" applyBorder="0" applyAlignment="0" applyProtection="0"/>
    <xf numFmtId="0" fontId="193" fillId="0" borderId="0" applyNumberFormat="0" applyFill="0" applyBorder="0" applyAlignment="0" applyProtection="0"/>
    <xf numFmtId="0" fontId="179" fillId="0" borderId="53" applyNumberFormat="0" applyFill="0" applyAlignment="0" applyProtection="0"/>
    <xf numFmtId="0" fontId="176" fillId="64" borderId="0" applyNumberFormat="0" applyBorder="0" applyAlignment="0" applyProtection="0"/>
    <xf numFmtId="0" fontId="4" fillId="65" borderId="0" applyNumberFormat="0" applyBorder="0" applyAlignment="0" applyProtection="0"/>
    <xf numFmtId="0" fontId="180" fillId="0" borderId="0" applyNumberFormat="0" applyFill="0" applyBorder="0" applyAlignment="0" applyProtection="0"/>
    <xf numFmtId="0" fontId="176"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6" fillId="70" borderId="0" applyNumberFormat="0" applyBorder="0" applyAlignment="0" applyProtection="0"/>
    <xf numFmtId="0" fontId="176"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76" fillId="74" borderId="0" applyNumberFormat="0" applyBorder="0" applyAlignment="0" applyProtection="0"/>
    <xf numFmtId="0" fontId="176"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6"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76" fillId="66" borderId="0" applyNumberFormat="0" applyBorder="0" applyAlignment="0" applyProtection="0"/>
    <xf numFmtId="0" fontId="176" fillId="78" borderId="0" applyNumberFormat="0" applyBorder="0" applyAlignment="0" applyProtection="0"/>
    <xf numFmtId="165" fontId="4" fillId="0" borderId="0" applyFont="0" applyFill="0" applyBorder="0" applyAlignment="0" applyProtection="0"/>
    <xf numFmtId="0" fontId="176" fillId="83" borderId="0" applyNumberFormat="0" applyBorder="0" applyAlignment="0" applyProtection="0"/>
    <xf numFmtId="0" fontId="182" fillId="0" borderId="0"/>
    <xf numFmtId="0" fontId="176"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5"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76"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95" fillId="0" borderId="0" applyNumberFormat="0" applyFill="0" applyBorder="0" applyAlignment="0" applyProtection="0"/>
    <xf numFmtId="9" fontId="4" fillId="0" borderId="0" applyFont="0" applyFill="0" applyBorder="0" applyAlignment="0" applyProtection="0"/>
    <xf numFmtId="0" fontId="182"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9" fillId="0" borderId="0"/>
    <xf numFmtId="41" fontId="1" fillId="0" borderId="0" applyFont="0" applyFill="0" applyBorder="0" applyAlignment="0" applyProtection="0"/>
    <xf numFmtId="0" fontId="1" fillId="0" borderId="0"/>
  </cellStyleXfs>
  <cellXfs count="1001">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1" fillId="0" borderId="0" xfId="0" applyFont="1"/>
    <xf numFmtId="0" fontId="92"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3" fillId="0" borderId="0" xfId="1224" applyFont="1" applyAlignment="1">
      <alignment vertical="center"/>
    </xf>
    <xf numFmtId="0" fontId="94"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5" fillId="0" borderId="0" xfId="0" applyFont="1"/>
    <xf numFmtId="0" fontId="96" fillId="0" borderId="0" xfId="0" applyFont="1" applyAlignment="1">
      <alignment wrapText="1"/>
    </xf>
    <xf numFmtId="0" fontId="97" fillId="0" borderId="0" xfId="0" applyFont="1"/>
    <xf numFmtId="0" fontId="98"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9" fillId="0" borderId="0" xfId="1136" applyFont="1" applyBorder="1" applyAlignment="1" applyProtection="1">
      <alignment horizontal="center" vertical="center"/>
    </xf>
    <xf numFmtId="4" fontId="97" fillId="0" borderId="0" xfId="0" applyNumberFormat="1" applyFont="1"/>
    <xf numFmtId="0" fontId="96"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100" fillId="0" borderId="0" xfId="0" applyFont="1"/>
    <xf numFmtId="173" fontId="100" fillId="0" borderId="0" xfId="0" applyNumberFormat="1" applyFont="1"/>
    <xf numFmtId="176" fontId="0" fillId="0" borderId="0" xfId="0" applyNumberFormat="1"/>
    <xf numFmtId="9" fontId="91" fillId="0" borderId="0" xfId="0" applyNumberFormat="1" applyFont="1"/>
    <xf numFmtId="198"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4"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200" fontId="91"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1" fillId="0" borderId="0" xfId="0" applyNumberFormat="1" applyFont="1" applyAlignment="1">
      <alignment wrapText="1"/>
    </xf>
    <xf numFmtId="198" fontId="91" fillId="0" borderId="0" xfId="0" applyNumberFormat="1" applyFont="1"/>
    <xf numFmtId="173" fontId="92" fillId="0" borderId="0" xfId="0" applyNumberFormat="1" applyFont="1"/>
    <xf numFmtId="3" fontId="92"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7" fillId="0" borderId="0" xfId="0" applyNumberFormat="1" applyFont="1"/>
    <xf numFmtId="3" fontId="97" fillId="0" borderId="0" xfId="0" applyNumberFormat="1" applyFont="1"/>
    <xf numFmtId="0" fontId="105" fillId="0" borderId="0" xfId="0" applyFont="1" applyAlignment="1">
      <alignment horizontal="center"/>
    </xf>
    <xf numFmtId="3" fontId="105" fillId="0" borderId="0" xfId="0" applyNumberFormat="1" applyFont="1"/>
    <xf numFmtId="173" fontId="105"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1"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6" fillId="0" borderId="0" xfId="1900" applyNumberFormat="1" applyFont="1" applyAlignment="1">
      <alignment vertical="center"/>
    </xf>
    <xf numFmtId="3" fontId="91" fillId="0" borderId="0" xfId="1153" applyNumberFormat="1" applyFont="1" applyFill="1" applyBorder="1" applyAlignment="1">
      <alignment vertical="center"/>
    </xf>
    <xf numFmtId="0" fontId="12" fillId="0" borderId="19" xfId="0" applyFont="1" applyBorder="1" applyAlignment="1">
      <alignment vertical="center"/>
    </xf>
    <xf numFmtId="176" fontId="91" fillId="0" borderId="0" xfId="0" applyNumberFormat="1" applyFont="1" applyAlignment="1">
      <alignment vertical="center"/>
    </xf>
    <xf numFmtId="0" fontId="91" fillId="0" borderId="0" xfId="0" applyFont="1" applyAlignment="1">
      <alignment vertical="center"/>
    </xf>
    <xf numFmtId="0" fontId="95" fillId="0" borderId="0" xfId="0" applyFont="1" applyAlignment="1">
      <alignment vertical="center"/>
    </xf>
    <xf numFmtId="0" fontId="98"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8" fillId="0" borderId="0" xfId="1153" applyNumberFormat="1" applyFont="1" applyFill="1" applyBorder="1" applyAlignment="1">
      <alignment vertical="center"/>
    </xf>
    <xf numFmtId="3" fontId="98" fillId="0" borderId="0" xfId="0" applyNumberFormat="1" applyFont="1" applyAlignment="1">
      <alignment vertical="center"/>
    </xf>
    <xf numFmtId="0" fontId="98" fillId="0" borderId="0" xfId="0" quotePrefix="1" applyFont="1" applyAlignment="1">
      <alignment vertical="center"/>
    </xf>
    <xf numFmtId="0" fontId="107"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8" fillId="0" borderId="0" xfId="0" applyFont="1" applyAlignment="1">
      <alignment horizontal="left" wrapText="1"/>
    </xf>
    <xf numFmtId="4" fontId="107" fillId="0" borderId="0" xfId="0" applyNumberFormat="1" applyFont="1"/>
    <xf numFmtId="175" fontId="36" fillId="0" borderId="19" xfId="1900" applyNumberFormat="1" applyFont="1" applyFill="1" applyBorder="1" applyAlignment="1" applyProtection="1">
      <alignment horizontal="center" vertical="center"/>
    </xf>
    <xf numFmtId="185" fontId="91" fillId="0" borderId="0" xfId="0" applyNumberFormat="1" applyFont="1"/>
    <xf numFmtId="175" fontId="36" fillId="53" borderId="19" xfId="1900" applyNumberFormat="1" applyFont="1" applyFill="1" applyBorder="1" applyAlignment="1" applyProtection="1">
      <alignment horizontal="center" vertical="center"/>
    </xf>
    <xf numFmtId="0" fontId="92" fillId="0" borderId="0" xfId="0" applyFont="1" applyAlignment="1">
      <alignment horizontal="right"/>
    </xf>
    <xf numFmtId="202" fontId="36" fillId="0" borderId="0" xfId="0" applyNumberFormat="1" applyFont="1"/>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3"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2" fillId="0" borderId="24" xfId="0" applyNumberFormat="1" applyFont="1" applyBorder="1" applyAlignment="1">
      <alignment horizontal="center" vertical="center" wrapText="1"/>
    </xf>
    <xf numFmtId="0" fontId="102" fillId="0" borderId="25" xfId="0" applyFont="1" applyBorder="1" applyAlignment="1">
      <alignment horizontal="right" vertical="center" wrapText="1"/>
    </xf>
    <xf numFmtId="0" fontId="101" fillId="53" borderId="26" xfId="0" applyFont="1" applyFill="1" applyBorder="1" applyAlignment="1">
      <alignment horizontal="right" vertical="center" wrapText="1"/>
    </xf>
    <xf numFmtId="17" fontId="102" fillId="0" borderId="27" xfId="0" applyNumberFormat="1" applyFont="1" applyBorder="1" applyAlignment="1">
      <alignment horizontal="center" vertical="center" wrapText="1"/>
    </xf>
    <xf numFmtId="0" fontId="102"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2"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1"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9"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8" fillId="0" borderId="0" xfId="1136" applyFont="1"/>
    <xf numFmtId="9" fontId="12" fillId="0" borderId="19" xfId="0" applyNumberFormat="1" applyFont="1" applyBorder="1" applyAlignment="1">
      <alignment horizontal="center" vertical="center"/>
    </xf>
    <xf numFmtId="4" fontId="98"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9" fillId="0" borderId="0" xfId="1152" applyNumberFormat="1" applyFont="1" applyFill="1"/>
    <xf numFmtId="1" fontId="32" fillId="0" borderId="0" xfId="1900" applyNumberFormat="1" applyFont="1" applyFill="1"/>
    <xf numFmtId="0" fontId="110" fillId="0" borderId="0" xfId="1226" applyFont="1"/>
    <xf numFmtId="0" fontId="111" fillId="0" borderId="0" xfId="1226" applyFont="1"/>
    <xf numFmtId="0" fontId="104" fillId="0" borderId="0" xfId="1226" applyFont="1" applyAlignment="1">
      <alignment horizontal="center"/>
    </xf>
    <xf numFmtId="17" fontId="104" fillId="0" borderId="0" xfId="1226" quotePrefix="1" applyNumberFormat="1" applyFont="1" applyAlignment="1">
      <alignment horizontal="center"/>
    </xf>
    <xf numFmtId="0" fontId="112" fillId="0" borderId="0" xfId="1226" applyFont="1" applyAlignment="1">
      <alignment horizontal="left" indent="15"/>
    </xf>
    <xf numFmtId="0" fontId="113" fillId="0" borderId="0" xfId="1226" applyFont="1" applyAlignment="1">
      <alignment horizontal="center"/>
    </xf>
    <xf numFmtId="0" fontId="114" fillId="0" borderId="0" xfId="1226" applyFont="1"/>
    <xf numFmtId="0" fontId="110" fillId="0" borderId="0" xfId="1226" quotePrefix="1" applyFont="1"/>
    <xf numFmtId="0" fontId="115" fillId="0" borderId="0" xfId="1226" applyFont="1"/>
    <xf numFmtId="0" fontId="116" fillId="0" borderId="0" xfId="1226" applyFont="1"/>
    <xf numFmtId="0" fontId="117" fillId="0" borderId="0" xfId="1226" applyFont="1"/>
    <xf numFmtId="0" fontId="115" fillId="0" borderId="0" xfId="1226" quotePrefix="1" applyFont="1"/>
    <xf numFmtId="0" fontId="118" fillId="0" borderId="0" xfId="1226" applyFont="1"/>
    <xf numFmtId="49" fontId="36" fillId="0" borderId="19" xfId="1152" applyNumberFormat="1" applyFont="1" applyBorder="1" applyAlignment="1">
      <alignment horizontal="center" vertical="center"/>
    </xf>
    <xf numFmtId="175" fontId="36" fillId="0" borderId="0" xfId="0" applyNumberFormat="1" applyFont="1"/>
    <xf numFmtId="193" fontId="0" fillId="0" borderId="0" xfId="0" applyNumberFormat="1"/>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205" fontId="12" fillId="0" borderId="0" xfId="0" quotePrefix="1" applyNumberFormat="1" applyFont="1" applyAlignment="1">
      <alignment vertical="center"/>
    </xf>
    <xf numFmtId="0" fontId="94" fillId="0" borderId="0" xfId="0" applyFont="1"/>
    <xf numFmtId="0" fontId="12" fillId="0" borderId="0" xfId="1884" applyFont="1" applyAlignment="1">
      <alignment horizontal="center" vertical="center"/>
    </xf>
    <xf numFmtId="0" fontId="36" fillId="0" borderId="0" xfId="0" applyFont="1" applyAlignment="1">
      <alignment vertical="center"/>
    </xf>
    <xf numFmtId="0" fontId="93"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9"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5" fillId="0" borderId="0" xfId="0" applyFont="1"/>
    <xf numFmtId="207" fontId="12" fillId="0" borderId="19" xfId="0" applyNumberFormat="1" applyFont="1" applyBorder="1" applyAlignment="1">
      <alignment horizontal="center" vertical="center"/>
    </xf>
    <xf numFmtId="207"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8" fontId="12" fillId="0" borderId="0" xfId="0" applyNumberFormat="1" applyFont="1" applyAlignment="1">
      <alignment vertical="center"/>
    </xf>
    <xf numFmtId="9" fontId="37" fillId="0" borderId="0" xfId="1900" applyFill="1" applyBorder="1" applyAlignment="1" applyProtection="1">
      <alignment horizontal="right" vertical="top" wrapText="1" readingOrder="1"/>
      <protection locked="0"/>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4" fillId="0" borderId="0" xfId="0" applyFont="1"/>
    <xf numFmtId="0" fontId="71" fillId="0" borderId="19" xfId="0" applyFont="1" applyBorder="1" applyAlignment="1">
      <alignment horizontal="center" vertical="center" wrapText="1"/>
    </xf>
    <xf numFmtId="1" fontId="34" fillId="0" borderId="0" xfId="0" applyNumberFormat="1" applyFont="1"/>
    <xf numFmtId="0" fontId="149"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top"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3" fillId="0" borderId="0" xfId="0" applyFont="1"/>
    <xf numFmtId="1" fontId="39" fillId="0" borderId="19" xfId="1152" applyNumberFormat="1" applyFont="1" applyFill="1" applyBorder="1" applyAlignment="1">
      <alignment horizontal="center" vertical="center"/>
    </xf>
    <xf numFmtId="49" fontId="39" fillId="0" borderId="0" xfId="0" applyNumberFormat="1" applyFont="1" applyAlignment="1">
      <alignment vertical="center"/>
    </xf>
    <xf numFmtId="17" fontId="34" fillId="0" borderId="0" xfId="0" applyNumberFormat="1" applyFont="1" applyAlignment="1">
      <alignment horizontal="center"/>
    </xf>
    <xf numFmtId="1" fontId="155"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1" fontId="150"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173" fontId="37" fillId="0" borderId="0" xfId="1900" applyNumberFormat="1"/>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4"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5"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2" fillId="0" borderId="19" xfId="0" applyFont="1" applyBorder="1"/>
    <xf numFmtId="0" fontId="152" fillId="0" borderId="19" xfId="0" applyFont="1" applyBorder="1" applyAlignment="1">
      <alignment horizontal="center" vertical="center"/>
    </xf>
    <xf numFmtId="0" fontId="158" fillId="0" borderId="0" xfId="0" applyFont="1"/>
    <xf numFmtId="0" fontId="152" fillId="0" borderId="0" xfId="0" applyFont="1" applyAlignment="1">
      <alignment vertical="center"/>
    </xf>
    <xf numFmtId="0" fontId="152" fillId="0" borderId="35" xfId="0" applyFont="1" applyBorder="1" applyAlignment="1">
      <alignment horizontal="center" vertical="center"/>
    </xf>
    <xf numFmtId="175" fontId="12" fillId="0" borderId="19" xfId="0" applyNumberFormat="1" applyFont="1" applyBorder="1" applyAlignment="1">
      <alignment horizontal="right"/>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9" fillId="0" borderId="0" xfId="1136" applyFont="1" applyFill="1" applyBorder="1" applyAlignment="1" applyProtection="1">
      <alignment horizontal="center" vertical="center"/>
    </xf>
    <xf numFmtId="0" fontId="159" fillId="0" borderId="0" xfId="1136" applyFont="1" applyFill="1" applyBorder="1" applyAlignment="1" applyProtection="1">
      <alignment horizontal="center" vertical="center"/>
    </xf>
    <xf numFmtId="0" fontId="152" fillId="0" borderId="35" xfId="0" applyFont="1" applyBorder="1" applyAlignment="1">
      <alignment horizontal="center" vertical="center" wrapText="1"/>
    </xf>
    <xf numFmtId="0" fontId="159"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9" fillId="0" borderId="0" xfId="1136" applyFont="1" applyFill="1" applyBorder="1" applyAlignment="1" applyProtection="1">
      <alignment horizontal="center" vertical="top"/>
    </xf>
    <xf numFmtId="0" fontId="12" fillId="0" borderId="0" xfId="1884" applyFont="1" applyAlignment="1">
      <alignment horizontal="right" vertical="center"/>
    </xf>
    <xf numFmtId="0" fontId="159" fillId="0" borderId="0" xfId="1136" applyFont="1" applyBorder="1" applyAlignment="1" applyProtection="1">
      <alignment horizontal="center" vertical="top"/>
    </xf>
    <xf numFmtId="0" fontId="57" fillId="0" borderId="0" xfId="1225" applyFont="1" applyAlignment="1">
      <alignment vertical="center"/>
    </xf>
    <xf numFmtId="3" fontId="161" fillId="0" borderId="19" xfId="0" applyNumberFormat="1" applyFont="1" applyBorder="1" applyAlignment="1">
      <alignment horizontal="center"/>
    </xf>
    <xf numFmtId="3" fontId="34" fillId="0" borderId="0" xfId="0" applyNumberFormat="1" applyFont="1" applyAlignment="1">
      <alignment horizontal="left" vertical="top" wrapText="1"/>
    </xf>
    <xf numFmtId="173" fontId="150"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5" fillId="59" borderId="19" xfId="0" applyNumberFormat="1" applyFont="1" applyFill="1" applyBorder="1"/>
    <xf numFmtId="0" fontId="151"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6" fillId="0" borderId="0" xfId="0" applyFont="1"/>
    <xf numFmtId="1" fontId="150"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50" fillId="0" borderId="19" xfId="1153" applyNumberFormat="1" applyFont="1" applyFill="1" applyBorder="1" applyAlignment="1">
      <alignment horizontal="center"/>
    </xf>
    <xf numFmtId="17" fontId="149" fillId="0" borderId="0" xfId="0" applyNumberFormat="1" applyFont="1" applyAlignment="1">
      <alignment horizontal="left" vertical="center"/>
    </xf>
    <xf numFmtId="173" fontId="0" fillId="0" borderId="0" xfId="0" applyNumberFormat="1"/>
    <xf numFmtId="3" fontId="0" fillId="0" borderId="0" xfId="0" applyNumberFormat="1" applyAlignment="1">
      <alignment wrapText="1"/>
    </xf>
    <xf numFmtId="175" fontId="150" fillId="0" borderId="19" xfId="0" applyNumberFormat="1" applyFont="1" applyBorder="1" applyAlignment="1">
      <alignment horizontal="center" vertical="center"/>
    </xf>
    <xf numFmtId="0" fontId="162" fillId="0" borderId="0" xfId="0" applyFont="1" applyAlignment="1">
      <alignment vertical="center"/>
    </xf>
    <xf numFmtId="0" fontId="162" fillId="0" borderId="0" xfId="0" applyFont="1" applyAlignment="1">
      <alignment horizontal="justify" vertical="center"/>
    </xf>
    <xf numFmtId="209"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49"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3" fillId="0" borderId="0" xfId="0" applyNumberFormat="1" applyFont="1"/>
    <xf numFmtId="0" fontId="164" fillId="0" borderId="0" xfId="0" applyFont="1" applyAlignment="1">
      <alignment horizontal="right" vertical="center" wrapText="1"/>
    </xf>
    <xf numFmtId="173" fontId="149" fillId="0" borderId="0" xfId="0" applyNumberFormat="1" applyFont="1"/>
    <xf numFmtId="1" fontId="150" fillId="0" borderId="19" xfId="0" applyNumberFormat="1" applyFont="1" applyBorder="1" applyAlignment="1">
      <alignment horizontal="center" vertical="center"/>
    </xf>
    <xf numFmtId="0" fontId="159"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1"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5" fillId="0" borderId="19" xfId="1153" applyFont="1" applyBorder="1" applyAlignment="1">
      <alignment vertical="center" wrapText="1"/>
    </xf>
    <xf numFmtId="177" fontId="165" fillId="0" borderId="19" xfId="1153" applyFont="1" applyBorder="1" applyAlignment="1">
      <alignment vertical="center"/>
    </xf>
    <xf numFmtId="177" fontId="165" fillId="0" borderId="19" xfId="1153" quotePrefix="1" applyFont="1" applyFill="1" applyBorder="1" applyAlignment="1">
      <alignment vertical="center"/>
    </xf>
    <xf numFmtId="177" fontId="165" fillId="0" borderId="19" xfId="1153" applyFont="1" applyFill="1" applyBorder="1" applyAlignment="1">
      <alignment vertical="center"/>
    </xf>
    <xf numFmtId="9" fontId="0" fillId="0" borderId="0" xfId="1900" applyFont="1"/>
    <xf numFmtId="0" fontId="152" fillId="0" borderId="19" xfId="0" applyFont="1" applyBorder="1" applyAlignment="1">
      <alignment horizontal="center"/>
    </xf>
    <xf numFmtId="210"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3" fontId="150" fillId="0" borderId="19" xfId="1153" applyNumberFormat="1" applyFont="1" applyFill="1" applyBorder="1" applyAlignment="1">
      <alignment horizontal="center" vertical="center"/>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7"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5" fillId="0" borderId="0" xfId="1226" applyNumberFormat="1" applyFont="1" applyAlignment="1">
      <alignment horizontal="center" vertical="center"/>
    </xf>
    <xf numFmtId="0" fontId="161" fillId="0" borderId="19" xfId="0" applyFont="1" applyBorder="1" applyAlignment="1">
      <alignment horizont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5" fillId="0" borderId="19" xfId="0" applyNumberFormat="1" applyFont="1" applyBorder="1" applyAlignment="1">
      <alignment horizontal="center" vertical="center"/>
    </xf>
    <xf numFmtId="0" fontId="39" fillId="58" borderId="19" xfId="0" applyFont="1" applyFill="1" applyBorder="1" applyAlignment="1">
      <alignment horizontal="center"/>
    </xf>
    <xf numFmtId="3" fontId="7" fillId="0" borderId="42"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1" fontId="86" fillId="0" borderId="0" xfId="1243" applyNumberFormat="1" applyFont="1" applyAlignment="1">
      <alignment horizontal="center"/>
    </xf>
    <xf numFmtId="198" fontId="153" fillId="0" borderId="0" xfId="0" applyNumberFormat="1" applyFont="1"/>
    <xf numFmtId="9" fontId="169"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0" fontId="0" fillId="0" borderId="19" xfId="0" applyBorder="1"/>
    <xf numFmtId="201" fontId="12" fillId="0" borderId="19" xfId="1153" applyNumberFormat="1" applyFont="1" applyFill="1" applyBorder="1" applyAlignment="1">
      <alignment horizontal="center" vertical="center"/>
    </xf>
    <xf numFmtId="0" fontId="171" fillId="0" borderId="0" xfId="0" applyFont="1" applyAlignment="1">
      <alignment horizontal="center" vertical="center" readingOrder="1"/>
    </xf>
    <xf numFmtId="0" fontId="57" fillId="58" borderId="19" xfId="0" applyFont="1" applyFill="1" applyBorder="1" applyAlignment="1">
      <alignment horizontal="left" wrapText="1"/>
    </xf>
    <xf numFmtId="0" fontId="103"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1" fontId="169" fillId="0" borderId="0" xfId="1900" applyNumberFormat="1" applyFont="1"/>
    <xf numFmtId="0" fontId="151" fillId="58" borderId="0" xfId="0" applyFont="1" applyFill="1"/>
    <xf numFmtId="0" fontId="151" fillId="0" borderId="0" xfId="0" applyFont="1" applyAlignment="1">
      <alignment horizontal="right"/>
    </xf>
    <xf numFmtId="3" fontId="172" fillId="0" borderId="0" xfId="0" applyNumberFormat="1" applyFont="1" applyAlignment="1">
      <alignment horizontal="center" vertical="center"/>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3" fillId="58" borderId="0" xfId="0" applyFont="1" applyFill="1" applyAlignment="1">
      <alignment vertical="top"/>
    </xf>
    <xf numFmtId="0" fontId="173" fillId="0" borderId="0" xfId="0" applyFont="1" applyAlignment="1">
      <alignment vertical="top"/>
    </xf>
    <xf numFmtId="193" fontId="12" fillId="0" borderId="0" xfId="0" applyNumberFormat="1" applyFont="1" applyAlignment="1">
      <alignment vertical="center"/>
    </xf>
    <xf numFmtId="17" fontId="149"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49" fillId="0" borderId="0" xfId="0" applyFont="1" applyAlignment="1">
      <alignment vertical="center" wrapText="1"/>
    </xf>
    <xf numFmtId="177" fontId="36" fillId="0" borderId="0" xfId="1153" applyFont="1"/>
    <xf numFmtId="177" fontId="36" fillId="0" borderId="0" xfId="1153" applyFont="1" applyFill="1"/>
    <xf numFmtId="166" fontId="150" fillId="0" borderId="0" xfId="0" applyNumberFormat="1" applyFont="1"/>
    <xf numFmtId="0" fontId="174" fillId="0" borderId="0" xfId="0" applyFont="1"/>
    <xf numFmtId="4" fontId="174" fillId="0" borderId="0" xfId="0" applyNumberFormat="1" applyFont="1"/>
    <xf numFmtId="0" fontId="170" fillId="0" borderId="0" xfId="0" applyFont="1"/>
    <xf numFmtId="0" fontId="175" fillId="0" borderId="0" xfId="0" applyFont="1"/>
    <xf numFmtId="177" fontId="176" fillId="0" borderId="0" xfId="1153" applyFont="1" applyBorder="1"/>
    <xf numFmtId="3" fontId="175" fillId="0" borderId="0" xfId="0" applyNumberFormat="1" applyFont="1"/>
    <xf numFmtId="0" fontId="176" fillId="0" borderId="0" xfId="0" applyFont="1"/>
    <xf numFmtId="175" fontId="175" fillId="0" borderId="0" xfId="1900" applyNumberFormat="1" applyFont="1" applyBorder="1"/>
    <xf numFmtId="175" fontId="170" fillId="0" borderId="0" xfId="0" applyNumberFormat="1" applyFont="1"/>
    <xf numFmtId="166" fontId="175" fillId="0" borderId="0" xfId="0" applyNumberFormat="1" applyFont="1"/>
    <xf numFmtId="211" fontId="175" fillId="0" borderId="0" xfId="1153" applyNumberFormat="1" applyFont="1" applyFill="1" applyBorder="1" applyAlignment="1"/>
    <xf numFmtId="166" fontId="170" fillId="0" borderId="0" xfId="0" applyNumberFormat="1" applyFont="1"/>
    <xf numFmtId="177" fontId="176" fillId="0" borderId="0" xfId="1153" applyFont="1" applyFill="1" applyBorder="1" applyAlignment="1"/>
    <xf numFmtId="0" fontId="177" fillId="0" borderId="0" xfId="0" applyFont="1"/>
    <xf numFmtId="0" fontId="178" fillId="0" borderId="0" xfId="0" applyFont="1"/>
    <xf numFmtId="199" fontId="149" fillId="0" borderId="0" xfId="0" applyNumberFormat="1" applyFont="1"/>
    <xf numFmtId="191" fontId="149"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166" fontId="197" fillId="0" borderId="0" xfId="0" applyNumberFormat="1" applyFont="1"/>
    <xf numFmtId="211" fontId="37" fillId="0" borderId="0" xfId="1153" applyNumberFormat="1" applyFill="1" applyBorder="1" applyAlignment="1"/>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3" fontId="198" fillId="0" borderId="0" xfId="0" applyNumberFormat="1" applyFont="1" applyAlignment="1">
      <alignment vertical="center" wrapText="1"/>
    </xf>
    <xf numFmtId="0" fontId="198"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1"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1" fillId="0" borderId="0" xfId="0" applyFont="1" applyAlignment="1">
      <alignment vertical="top" wrapText="1"/>
    </xf>
    <xf numFmtId="0" fontId="71" fillId="0" borderId="21" xfId="0" applyFont="1" applyBorder="1" applyAlignment="1">
      <alignment horizontal="center" vertical="center" wrapText="1"/>
    </xf>
    <xf numFmtId="0" fontId="91" fillId="0" borderId="42" xfId="0" applyFont="1" applyBorder="1" applyAlignment="1">
      <alignment horizontal="left" vertical="top" wrapText="1"/>
    </xf>
    <xf numFmtId="0" fontId="71" fillId="0" borderId="19" xfId="0" applyFont="1" applyBorder="1" applyAlignment="1">
      <alignment horizontal="center" vertical="top" wrapText="1"/>
    </xf>
    <xf numFmtId="206"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192" fontId="57" fillId="0" borderId="0" xfId="0" applyNumberFormat="1" applyFont="1" applyAlignment="1">
      <alignment horizontal="center" vertical="top"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1" fontId="12" fillId="0" borderId="19" xfId="1153" applyNumberFormat="1" applyFont="1" applyBorder="1" applyAlignment="1">
      <alignment horizontal="center" vertical="center"/>
    </xf>
    <xf numFmtId="201" fontId="12" fillId="53" borderId="19" xfId="1153" applyNumberFormat="1" applyFont="1" applyFill="1" applyBorder="1" applyAlignment="1">
      <alignment horizontal="center" vertical="center"/>
    </xf>
    <xf numFmtId="204"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3" fontId="57" fillId="0" borderId="0" xfId="0" applyNumberFormat="1" applyFont="1"/>
    <xf numFmtId="212" fontId="57" fillId="58" borderId="19" xfId="0" applyNumberFormat="1" applyFont="1" applyFill="1" applyBorder="1" applyAlignment="1">
      <alignment horizontal="center" vertical="center" wrapText="1"/>
    </xf>
    <xf numFmtId="3" fontId="196" fillId="0" borderId="19" xfId="0" applyNumberFormat="1" applyFont="1" applyBorder="1" applyAlignment="1">
      <alignment horizontal="center" wrapText="1"/>
    </xf>
    <xf numFmtId="3" fontId="196" fillId="0" borderId="19" xfId="0" applyNumberFormat="1" applyFont="1" applyBorder="1" applyAlignment="1">
      <alignment horizontal="center" vertical="center" wrapText="1"/>
    </xf>
    <xf numFmtId="0" fontId="149" fillId="0" borderId="0" xfId="0" applyFont="1" applyAlignment="1">
      <alignment wrapText="1"/>
    </xf>
    <xf numFmtId="1" fontId="170" fillId="0" borderId="0" xfId="1153" applyNumberFormat="1" applyFont="1" applyAlignment="1">
      <alignment horizontal="center"/>
    </xf>
    <xf numFmtId="1" fontId="151" fillId="0" borderId="0" xfId="0" applyNumberFormat="1" applyFont="1"/>
    <xf numFmtId="0" fontId="12" fillId="0" borderId="0" xfId="0" applyNumberFormat="1" applyFont="1"/>
    <xf numFmtId="0" fontId="12" fillId="0" borderId="19" xfId="0" applyFont="1" applyBorder="1" applyAlignment="1">
      <alignment horizontal="center"/>
    </xf>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75" fontId="37" fillId="0" borderId="0" xfId="1900" quotePrefix="1" applyNumberFormat="1" applyAlignment="1">
      <alignment vertical="center"/>
    </xf>
    <xf numFmtId="1" fontId="91" fillId="0" borderId="0" xfId="0" applyNumberFormat="1" applyFont="1"/>
    <xf numFmtId="0" fontId="39" fillId="0" borderId="19" xfId="0" applyFont="1" applyBorder="1" applyAlignment="1">
      <alignment horizontal="center" vertical="center"/>
    </xf>
    <xf numFmtId="0" fontId="39" fillId="0" borderId="19" xfId="0" applyFont="1" applyBorder="1" applyAlignment="1">
      <alignment horizontal="center" vertical="center"/>
    </xf>
    <xf numFmtId="0" fontId="39" fillId="0" borderId="19" xfId="0" applyFont="1" applyBorder="1" applyAlignment="1">
      <alignment horizontal="center" vertical="center"/>
    </xf>
    <xf numFmtId="0" fontId="12" fillId="0" borderId="19" xfId="0" applyFont="1" applyBorder="1" applyAlignment="1">
      <alignment horizontal="center"/>
    </xf>
    <xf numFmtId="3" fontId="12" fillId="0" borderId="19" xfId="0" applyNumberFormat="1" applyFont="1" applyBorder="1"/>
    <xf numFmtId="0" fontId="0" fillId="0" borderId="0" xfId="0" applyAlignment="1">
      <alignment wrapText="1"/>
    </xf>
    <xf numFmtId="0" fontId="57" fillId="0" borderId="19" xfId="0" applyFont="1" applyBorder="1" applyAlignment="1">
      <alignment horizontal="left" vertical="center" wrapText="1"/>
    </xf>
    <xf numFmtId="0" fontId="12" fillId="0" borderId="19" xfId="0" applyFont="1" applyBorder="1" applyAlignment="1">
      <alignment horizontal="center" vertical="center"/>
    </xf>
    <xf numFmtId="172" fontId="39" fillId="0" borderId="0" xfId="0" applyNumberFormat="1" applyFont="1" applyFill="1" applyAlignment="1">
      <alignment horizontal="center"/>
    </xf>
    <xf numFmtId="10" fontId="37" fillId="0" borderId="0" xfId="1900" applyNumberFormat="1"/>
    <xf numFmtId="9" fontId="200" fillId="0" borderId="19" xfId="0" applyNumberFormat="1" applyFont="1" applyBorder="1" applyAlignment="1">
      <alignment horizontal="center" wrapText="1"/>
    </xf>
    <xf numFmtId="0" fontId="201" fillId="0" borderId="0" xfId="0" applyFont="1"/>
    <xf numFmtId="1" fontId="202" fillId="0" borderId="0" xfId="1243" applyNumberFormat="1" applyFont="1" applyAlignment="1">
      <alignment horizontal="center"/>
    </xf>
    <xf numFmtId="3" fontId="203" fillId="0" borderId="0" xfId="0" applyNumberFormat="1" applyFont="1"/>
    <xf numFmtId="0" fontId="203" fillId="0" borderId="0" xfId="0" applyFont="1"/>
    <xf numFmtId="0" fontId="156" fillId="0" borderId="0" xfId="0" applyFont="1" applyAlignment="1">
      <alignment vertical="center"/>
    </xf>
    <xf numFmtId="0" fontId="39" fillId="0" borderId="0" xfId="0" applyFont="1" applyAlignment="1">
      <alignment horizontal="center"/>
    </xf>
    <xf numFmtId="0" fontId="12" fillId="0" borderId="19" xfId="0" applyFont="1" applyBorder="1" applyAlignment="1">
      <alignment horizontal="center" vertical="center"/>
    </xf>
    <xf numFmtId="181" fontId="71" fillId="0" borderId="33" xfId="1152" applyNumberFormat="1" applyFont="1" applyFill="1" applyBorder="1" applyAlignment="1">
      <alignment horizontal="center" vertical="center"/>
    </xf>
    <xf numFmtId="173" fontId="204" fillId="0" borderId="19" xfId="0" applyNumberFormat="1" applyFont="1" applyBorder="1" applyAlignment="1">
      <alignment horizontal="center" vertical="center"/>
    </xf>
    <xf numFmtId="3" fontId="206" fillId="58" borderId="19" xfId="1153" applyNumberFormat="1" applyFont="1" applyFill="1" applyBorder="1" applyAlignment="1">
      <alignment horizontal="center" vertical="center"/>
    </xf>
    <xf numFmtId="0" fontId="39" fillId="0" borderId="0" xfId="0" applyFont="1" applyBorder="1"/>
    <xf numFmtId="0" fontId="200" fillId="0" borderId="0" xfId="0" applyFont="1" applyBorder="1"/>
    <xf numFmtId="0" fontId="205" fillId="0" borderId="0" xfId="0" applyFont="1" applyBorder="1"/>
    <xf numFmtId="1" fontId="155" fillId="0" borderId="0" xfId="0" applyNumberFormat="1" applyFont="1" applyBorder="1" applyAlignment="1">
      <alignment horizontal="center" vertical="center"/>
    </xf>
    <xf numFmtId="4" fontId="200" fillId="0" borderId="0" xfId="0" applyNumberFormat="1" applyFont="1" applyBorder="1"/>
    <xf numFmtId="0" fontId="12" fillId="0" borderId="0" xfId="0" applyFont="1" applyBorder="1"/>
    <xf numFmtId="0" fontId="24" fillId="0" borderId="0" xfId="0" applyFont="1" applyBorder="1"/>
    <xf numFmtId="0" fontId="34" fillId="0" borderId="0" xfId="0" applyFont="1" applyBorder="1"/>
    <xf numFmtId="177" fontId="37" fillId="0" borderId="0" xfId="1153" applyBorder="1"/>
    <xf numFmtId="2" fontId="32" fillId="0" borderId="0" xfId="0" applyNumberFormat="1" applyFont="1" applyBorder="1"/>
    <xf numFmtId="10" fontId="12" fillId="58" borderId="19" xfId="0" applyNumberFormat="1" applyFont="1" applyFill="1" applyBorder="1" applyAlignment="1">
      <alignment horizontal="center" vertical="center"/>
    </xf>
    <xf numFmtId="177" fontId="165" fillId="0" borderId="19" xfId="1153" applyFont="1" applyBorder="1" applyAlignment="1">
      <alignment horizontal="right" vertical="center"/>
    </xf>
    <xf numFmtId="173" fontId="12" fillId="0" borderId="19" xfId="1153" applyNumberFormat="1" applyFont="1" applyFill="1" applyBorder="1" applyAlignment="1">
      <alignment horizontal="right" vertical="center"/>
    </xf>
    <xf numFmtId="1" fontId="12" fillId="0" borderId="0" xfId="0" applyNumberFormat="1" applyFont="1"/>
    <xf numFmtId="4" fontId="153" fillId="0" borderId="0" xfId="0" applyNumberFormat="1" applyFont="1"/>
    <xf numFmtId="4" fontId="151" fillId="0" borderId="0" xfId="0" applyNumberFormat="1" applyFont="1"/>
    <xf numFmtId="193" fontId="149" fillId="0" borderId="0" xfId="0" applyNumberFormat="1" applyFont="1"/>
    <xf numFmtId="0" fontId="213" fillId="0" borderId="0" xfId="0" applyFont="1"/>
    <xf numFmtId="0" fontId="216" fillId="0" borderId="0" xfId="1226" applyFont="1"/>
    <xf numFmtId="0" fontId="214" fillId="0" borderId="0" xfId="1226" applyFont="1" applyAlignment="1">
      <alignment horizontal="center" wrapText="1"/>
    </xf>
    <xf numFmtId="17" fontId="215" fillId="0" borderId="0" xfId="1226" applyNumberFormat="1" applyFont="1" applyAlignment="1">
      <alignment horizontal="center" wrapText="1"/>
    </xf>
    <xf numFmtId="17" fontId="215" fillId="0" borderId="0" xfId="1226" applyNumberFormat="1" applyFont="1" applyAlignment="1">
      <alignment horizontal="center"/>
    </xf>
    <xf numFmtId="0" fontId="71" fillId="0" borderId="19" xfId="0" applyFont="1" applyBorder="1" applyAlignment="1">
      <alignment vertical="center" wrapText="1"/>
    </xf>
    <xf numFmtId="0" fontId="39" fillId="0" borderId="19" xfId="0" applyFont="1" applyBorder="1" applyAlignment="1">
      <alignment horizontal="center" vertical="center"/>
    </xf>
    <xf numFmtId="0" fontId="12" fillId="0" borderId="19" xfId="0" applyFont="1" applyBorder="1" applyAlignment="1">
      <alignment horizontal="left" vertical="center"/>
    </xf>
    <xf numFmtId="0" fontId="39" fillId="0" borderId="19" xfId="0" applyFont="1" applyBorder="1" applyAlignment="1">
      <alignment horizontal="center" vertical="center" wrapText="1"/>
    </xf>
    <xf numFmtId="0" fontId="218" fillId="0" borderId="0" xfId="0" applyFont="1"/>
    <xf numFmtId="0" fontId="219" fillId="0" borderId="0" xfId="0" applyFont="1"/>
    <xf numFmtId="0" fontId="221" fillId="0" borderId="0" xfId="0" applyFont="1"/>
    <xf numFmtId="0" fontId="220" fillId="0" borderId="0" xfId="0" applyFont="1"/>
    <xf numFmtId="0" fontId="141" fillId="0" borderId="19" xfId="0" applyFont="1" applyBorder="1" applyAlignment="1">
      <alignment horizontal="left" vertical="center"/>
    </xf>
    <xf numFmtId="3" fontId="141" fillId="0" borderId="19" xfId="0" applyNumberFormat="1" applyFont="1" applyBorder="1" applyAlignment="1">
      <alignment horizontal="center" vertical="center"/>
    </xf>
    <xf numFmtId="0" fontId="141" fillId="0" borderId="19" xfId="0" applyFont="1" applyBorder="1"/>
    <xf numFmtId="0" fontId="141" fillId="0" borderId="19" xfId="0" applyFont="1" applyBorder="1" applyAlignment="1">
      <alignment vertical="center"/>
    </xf>
    <xf numFmtId="175" fontId="141" fillId="0" borderId="19" xfId="0" applyNumberFormat="1" applyFont="1" applyBorder="1" applyAlignment="1">
      <alignment horizontal="center" vertical="center"/>
    </xf>
    <xf numFmtId="10" fontId="141" fillId="0" borderId="19" xfId="0" applyNumberFormat="1" applyFont="1" applyBorder="1" applyAlignment="1">
      <alignment horizontal="center" vertical="center"/>
    </xf>
    <xf numFmtId="9" fontId="141" fillId="0" borderId="19" xfId="0" applyNumberFormat="1" applyFont="1" applyBorder="1" applyAlignment="1">
      <alignment horizontal="center" vertical="center"/>
    </xf>
    <xf numFmtId="0" fontId="223" fillId="53" borderId="0" xfId="0" applyFont="1" applyFill="1" applyAlignment="1">
      <alignment horizontal="right" vertical="center" wrapText="1"/>
    </xf>
    <xf numFmtId="3" fontId="169" fillId="0" borderId="0" xfId="0" applyNumberFormat="1" applyFont="1" applyAlignment="1">
      <alignment wrapText="1"/>
    </xf>
    <xf numFmtId="0" fontId="169" fillId="0" borderId="0" xfId="0" applyFont="1" applyAlignment="1">
      <alignment wrapText="1"/>
    </xf>
    <xf numFmtId="0" fontId="169" fillId="0" borderId="0" xfId="0" applyFont="1" applyAlignment="1">
      <alignment horizontal="left" wrapText="1"/>
    </xf>
    <xf numFmtId="0" fontId="224" fillId="0" borderId="0" xfId="0" applyFont="1" applyAlignment="1">
      <alignment wrapText="1"/>
    </xf>
    <xf numFmtId="14" fontId="169" fillId="0" borderId="0" xfId="0" applyNumberFormat="1" applyFont="1"/>
    <xf numFmtId="3" fontId="169" fillId="0" borderId="0" xfId="0" applyNumberFormat="1" applyFont="1"/>
    <xf numFmtId="0" fontId="169" fillId="0" borderId="0" xfId="0" applyFont="1"/>
    <xf numFmtId="0" fontId="224" fillId="0" borderId="0" xfId="0" applyFont="1"/>
    <xf numFmtId="176" fontId="169" fillId="0" borderId="0" xfId="0" applyNumberFormat="1" applyFont="1"/>
    <xf numFmtId="2" fontId="169" fillId="0" borderId="0" xfId="0" applyNumberFormat="1" applyFont="1"/>
    <xf numFmtId="175" fontId="169" fillId="0" borderId="0" xfId="1900" applyNumberFormat="1" applyFont="1"/>
    <xf numFmtId="0" fontId="224" fillId="58" borderId="0" xfId="0" applyFont="1" applyFill="1"/>
    <xf numFmtId="165" fontId="224" fillId="58" borderId="0" xfId="0" applyNumberFormat="1" applyFont="1" applyFill="1" applyAlignment="1">
      <alignment horizontal="center"/>
    </xf>
    <xf numFmtId="0" fontId="224" fillId="58" borderId="0" xfId="0" applyFont="1" applyFill="1" applyAlignment="1">
      <alignment horizontal="center"/>
    </xf>
    <xf numFmtId="0" fontId="225" fillId="0" borderId="0" xfId="0" applyFont="1"/>
    <xf numFmtId="14" fontId="225" fillId="0" borderId="0" xfId="0" applyNumberFormat="1" applyFont="1"/>
    <xf numFmtId="14" fontId="225" fillId="0" borderId="0" xfId="0" applyNumberFormat="1" applyFont="1" applyFill="1"/>
    <xf numFmtId="0" fontId="225" fillId="0" borderId="0" xfId="0" applyFont="1" applyFill="1"/>
    <xf numFmtId="0" fontId="225" fillId="0" borderId="0" xfId="0" applyFont="1" applyFill="1" applyAlignment="1">
      <alignment horizontal="right"/>
    </xf>
    <xf numFmtId="15" fontId="225" fillId="0" borderId="0" xfId="0" applyNumberFormat="1" applyFont="1" applyFill="1"/>
    <xf numFmtId="0" fontId="39" fillId="0" borderId="0" xfId="0" applyFont="1" applyAlignment="1">
      <alignment horizontal="center" vertical="center"/>
    </xf>
    <xf numFmtId="0" fontId="12" fillId="0" borderId="19" xfId="0" applyFont="1" applyBorder="1" applyAlignment="1">
      <alignment horizontal="center"/>
    </xf>
    <xf numFmtId="0" fontId="39" fillId="0" borderId="19" xfId="0" applyFont="1" applyBorder="1" applyAlignment="1">
      <alignment horizontal="center" vertical="center" wrapText="1"/>
    </xf>
    <xf numFmtId="0" fontId="0" fillId="0" borderId="0" xfId="0" applyAlignment="1">
      <alignment wrapText="1"/>
    </xf>
    <xf numFmtId="0" fontId="12" fillId="0" borderId="19" xfId="0" applyFont="1" applyBorder="1" applyAlignment="1">
      <alignment vertical="center"/>
    </xf>
    <xf numFmtId="17" fontId="12" fillId="0" borderId="19" xfId="0" applyNumberFormat="1" applyFont="1" applyBorder="1" applyAlignment="1">
      <alignment horizontal="left"/>
    </xf>
    <xf numFmtId="9" fontId="169" fillId="0" borderId="0" xfId="1900" applyNumberFormat="1" applyFont="1"/>
    <xf numFmtId="37" fontId="149" fillId="0" borderId="0" xfId="0" applyNumberFormat="1" applyFont="1"/>
    <xf numFmtId="208" fontId="149" fillId="0" borderId="0" xfId="0" applyNumberFormat="1" applyFont="1"/>
    <xf numFmtId="208" fontId="151" fillId="0" borderId="0" xfId="0" applyNumberFormat="1" applyFont="1"/>
    <xf numFmtId="0" fontId="149" fillId="58" borderId="0" xfId="0" applyFont="1" applyFill="1"/>
    <xf numFmtId="208" fontId="151" fillId="58" borderId="0" xfId="0" applyNumberFormat="1" applyFont="1" applyFill="1"/>
    <xf numFmtId="3" fontId="151" fillId="0" borderId="0" xfId="0" applyNumberFormat="1" applyFont="1"/>
    <xf numFmtId="208" fontId="151" fillId="0" borderId="0" xfId="0" applyNumberFormat="1" applyFont="1" applyAlignment="1">
      <alignment horizontal="right"/>
    </xf>
    <xf numFmtId="17" fontId="12" fillId="0" borderId="19" xfId="0" applyNumberFormat="1" applyFont="1" applyBorder="1" applyAlignment="1">
      <alignment horizontal="left" vertical="center"/>
    </xf>
    <xf numFmtId="1" fontId="12" fillId="58" borderId="19" xfId="0" applyNumberFormat="1" applyFont="1" applyFill="1" applyBorder="1" applyAlignment="1">
      <alignment horizontal="center" vertical="center" wrapText="1"/>
    </xf>
    <xf numFmtId="0" fontId="0" fillId="0" borderId="0" xfId="0" applyBorder="1"/>
    <xf numFmtId="0" fontId="57" fillId="0" borderId="0" xfId="0" applyFont="1" applyBorder="1" applyAlignment="1">
      <alignment horizontal="left"/>
    </xf>
    <xf numFmtId="3" fontId="57" fillId="0" borderId="0" xfId="0" applyNumberFormat="1" applyFont="1" applyBorder="1" applyAlignment="1">
      <alignment horizontal="left" wrapText="1"/>
    </xf>
    <xf numFmtId="176" fontId="0" fillId="0" borderId="0" xfId="0" applyNumberFormat="1" applyBorder="1"/>
    <xf numFmtId="196" fontId="37" fillId="0" borderId="0" xfId="1153" applyNumberFormat="1" applyBorder="1"/>
    <xf numFmtId="1" fontId="12" fillId="53" borderId="19" xfId="0" applyNumberFormat="1" applyFont="1" applyFill="1" applyBorder="1" applyAlignment="1">
      <alignment horizontal="center" vertical="center" wrapText="1"/>
    </xf>
    <xf numFmtId="180" fontId="156" fillId="0" borderId="0" xfId="0" applyNumberFormat="1" applyFont="1"/>
    <xf numFmtId="175" fontId="169" fillId="0" borderId="0" xfId="1900" applyNumberFormat="1" applyFont="1" applyFill="1" applyAlignment="1"/>
    <xf numFmtId="3" fontId="153" fillId="0" borderId="0" xfId="0" applyNumberFormat="1" applyFont="1"/>
    <xf numFmtId="175" fontId="149" fillId="0" borderId="0" xfId="0" applyNumberFormat="1" applyFont="1"/>
    <xf numFmtId="10" fontId="149" fillId="0" borderId="0" xfId="0" applyNumberFormat="1" applyFont="1"/>
    <xf numFmtId="3" fontId="149" fillId="0" borderId="0" xfId="0" applyNumberFormat="1" applyFont="1"/>
    <xf numFmtId="9" fontId="149" fillId="0" borderId="0" xfId="0" applyNumberFormat="1" applyFont="1"/>
    <xf numFmtId="0" fontId="226" fillId="0" borderId="0" xfId="0" applyFont="1"/>
    <xf numFmtId="1" fontId="200" fillId="58" borderId="19" xfId="0" applyNumberFormat="1" applyFont="1" applyFill="1" applyBorder="1" applyAlignment="1">
      <alignment horizontal="center" wrapText="1"/>
    </xf>
    <xf numFmtId="1" fontId="200" fillId="53" borderId="19" xfId="0" applyNumberFormat="1" applyFont="1" applyFill="1" applyBorder="1" applyAlignment="1">
      <alignment horizontal="center" wrapText="1"/>
    </xf>
    <xf numFmtId="0" fontId="34" fillId="0" borderId="0" xfId="0" applyFont="1" applyFill="1"/>
    <xf numFmtId="0" fontId="201" fillId="0" borderId="0" xfId="0" applyFont="1" applyFill="1"/>
    <xf numFmtId="0" fontId="151" fillId="0" borderId="0" xfId="0" applyFont="1" applyFill="1"/>
    <xf numFmtId="0" fontId="149" fillId="0" borderId="0" xfId="0" applyFont="1" applyFill="1"/>
    <xf numFmtId="17" fontId="149" fillId="0" borderId="0" xfId="0" applyNumberFormat="1" applyFont="1" applyFill="1"/>
    <xf numFmtId="14" fontId="149" fillId="0" borderId="0" xfId="0" applyNumberFormat="1" applyFont="1" applyFill="1"/>
    <xf numFmtId="1" fontId="149" fillId="0" borderId="0" xfId="0" applyNumberFormat="1" applyFont="1" applyFill="1" applyAlignment="1">
      <alignment horizontal="center" vertical="center"/>
    </xf>
    <xf numFmtId="1" fontId="149" fillId="0" borderId="0" xfId="0" applyNumberFormat="1" applyFont="1" applyFill="1" applyAlignment="1">
      <alignment horizontal="center"/>
    </xf>
    <xf numFmtId="0" fontId="149" fillId="0" borderId="0" xfId="0" applyFont="1" applyFill="1" applyBorder="1"/>
    <xf numFmtId="3" fontId="126" fillId="0" borderId="0" xfId="0" applyNumberFormat="1" applyFont="1" applyFill="1" applyBorder="1"/>
    <xf numFmtId="3" fontId="149" fillId="0" borderId="0" xfId="0" applyNumberFormat="1" applyFont="1" applyFill="1" applyBorder="1"/>
    <xf numFmtId="0" fontId="39" fillId="0" borderId="0" xfId="0" applyFont="1" applyAlignment="1">
      <alignment horizontal="center"/>
    </xf>
    <xf numFmtId="0" fontId="227" fillId="0" borderId="0" xfId="0" applyFont="1"/>
    <xf numFmtId="17" fontId="227" fillId="0" borderId="0" xfId="0" applyNumberFormat="1" applyFont="1"/>
    <xf numFmtId="14" fontId="227" fillId="0" borderId="0" xfId="0" applyNumberFormat="1" applyFont="1"/>
    <xf numFmtId="1" fontId="227" fillId="0" borderId="0" xfId="0" applyNumberFormat="1" applyFont="1"/>
    <xf numFmtId="14" fontId="227" fillId="0" borderId="0" xfId="0" applyNumberFormat="1" applyFont="1" applyFill="1"/>
    <xf numFmtId="0" fontId="227" fillId="0" borderId="0" xfId="0" applyFont="1" applyFill="1"/>
    <xf numFmtId="1" fontId="227" fillId="0" borderId="0" xfId="0" applyNumberFormat="1" applyFont="1" applyFill="1"/>
    <xf numFmtId="0" fontId="166" fillId="0" borderId="0" xfId="0" applyFont="1"/>
    <xf numFmtId="0" fontId="156" fillId="58" borderId="0" xfId="0" applyFont="1" applyFill="1"/>
    <xf numFmtId="0" fontId="156" fillId="0" borderId="0" xfId="0" applyFont="1" applyAlignment="1">
      <alignment wrapText="1"/>
    </xf>
    <xf numFmtId="0" fontId="34" fillId="0" borderId="0" xfId="1232" applyFont="1" applyAlignment="1">
      <alignment horizontal="left"/>
    </xf>
    <xf numFmtId="177" fontId="149" fillId="0" borderId="0" xfId="1153" applyFont="1" applyFill="1" applyBorder="1" applyAlignment="1">
      <alignment wrapText="1"/>
    </xf>
    <xf numFmtId="177" fontId="149" fillId="0" borderId="0" xfId="1153" applyFont="1" applyFill="1" applyAlignment="1">
      <alignment wrapText="1"/>
    </xf>
    <xf numFmtId="0" fontId="151" fillId="0" borderId="0" xfId="0" applyFont="1" applyAlignment="1">
      <alignment wrapText="1"/>
    </xf>
    <xf numFmtId="0" fontId="151" fillId="58" borderId="0" xfId="0" applyFont="1" applyFill="1" applyAlignment="1">
      <alignment wrapText="1"/>
    </xf>
    <xf numFmtId="3" fontId="149" fillId="0" borderId="0" xfId="1153" applyNumberFormat="1" applyFont="1" applyFill="1" applyAlignment="1">
      <alignment wrapText="1"/>
    </xf>
    <xf numFmtId="0" fontId="149" fillId="0" borderId="0" xfId="1153" applyNumberFormat="1" applyFont="1" applyFill="1" applyAlignment="1">
      <alignment wrapText="1"/>
    </xf>
    <xf numFmtId="2" fontId="12" fillId="0" borderId="19" xfId="0" applyNumberFormat="1" applyFont="1" applyBorder="1" applyAlignment="1">
      <alignment horizontal="center" wrapText="1"/>
    </xf>
    <xf numFmtId="166" fontId="12" fillId="0" borderId="19" xfId="1152" applyNumberFormat="1" applyFont="1" applyFill="1" applyBorder="1" applyAlignment="1">
      <alignment horizontal="center" vertical="center"/>
    </xf>
    <xf numFmtId="0" fontId="12" fillId="0" borderId="19" xfId="1152" applyNumberFormat="1" applyFont="1" applyFill="1" applyBorder="1" applyAlignment="1">
      <alignment horizontal="center" vertical="center"/>
    </xf>
    <xf numFmtId="0" fontId="228" fillId="0" borderId="0" xfId="0" applyFont="1" applyAlignment="1">
      <alignment horizontal="right" vertical="center" wrapText="1"/>
    </xf>
    <xf numFmtId="173" fontId="156" fillId="0" borderId="0" xfId="0" applyNumberFormat="1" applyFont="1"/>
    <xf numFmtId="4" fontId="166" fillId="0" borderId="0" xfId="0" applyNumberFormat="1" applyFont="1"/>
    <xf numFmtId="9" fontId="229" fillId="0" borderId="0" xfId="1900" applyFont="1"/>
    <xf numFmtId="0" fontId="230" fillId="0" borderId="0" xfId="0" applyFont="1"/>
    <xf numFmtId="177" fontId="229" fillId="0" borderId="0" xfId="1153" applyFont="1"/>
    <xf numFmtId="0" fontId="231" fillId="53" borderId="0" xfId="0" applyFont="1" applyFill="1" applyAlignment="1">
      <alignment horizontal="right" vertical="center" wrapText="1"/>
    </xf>
    <xf numFmtId="0" fontId="232" fillId="0" borderId="0" xfId="0" applyFont="1"/>
    <xf numFmtId="3" fontId="230" fillId="0" borderId="0" xfId="0" applyNumberFormat="1" applyFont="1"/>
    <xf numFmtId="0" fontId="150" fillId="0" borderId="19" xfId="0" applyFont="1" applyBorder="1" applyAlignment="1">
      <alignment horizontal="center"/>
    </xf>
    <xf numFmtId="0" fontId="207" fillId="0" borderId="0" xfId="0" applyFont="1"/>
    <xf numFmtId="193" fontId="156" fillId="0" borderId="0" xfId="0" applyNumberFormat="1" applyFont="1"/>
    <xf numFmtId="213" fontId="57" fillId="0" borderId="19" xfId="0" applyNumberFormat="1" applyFont="1" applyBorder="1" applyAlignment="1">
      <alignment horizontal="center" vertical="center" wrapText="1"/>
    </xf>
    <xf numFmtId="1" fontId="12" fillId="0" borderId="19" xfId="1153" applyNumberFormat="1" applyFont="1" applyFill="1" applyBorder="1" applyAlignment="1">
      <alignment horizontal="center" vertical="center"/>
    </xf>
    <xf numFmtId="208" fontId="227" fillId="0" borderId="0" xfId="0" applyNumberFormat="1" applyFont="1"/>
    <xf numFmtId="0" fontId="163" fillId="0" borderId="0" xfId="0" applyFont="1"/>
    <xf numFmtId="0" fontId="233" fillId="0" borderId="0" xfId="0" applyFont="1" applyAlignment="1">
      <alignment wrapText="1"/>
    </xf>
    <xf numFmtId="0" fontId="233" fillId="0" borderId="0" xfId="0" applyFont="1"/>
    <xf numFmtId="9" fontId="37" fillId="0" borderId="0" xfId="1900" applyNumberFormat="1" applyAlignment="1">
      <alignment wrapText="1"/>
    </xf>
    <xf numFmtId="175" fontId="39" fillId="0" borderId="0" xfId="0" applyNumberFormat="1" applyFont="1"/>
    <xf numFmtId="0" fontId="212" fillId="0" borderId="0" xfId="1226" applyFont="1" applyAlignment="1">
      <alignment horizontal="center"/>
    </xf>
    <xf numFmtId="0" fontId="212" fillId="0" borderId="0" xfId="1226" applyFont="1" applyFill="1" applyAlignment="1">
      <alignment horizontal="center"/>
    </xf>
    <xf numFmtId="17" fontId="215" fillId="0" borderId="0" xfId="1226" applyNumberFormat="1" applyFont="1" applyFill="1" applyAlignment="1">
      <alignment horizontal="center" wrapText="1"/>
    </xf>
    <xf numFmtId="17" fontId="215" fillId="0" borderId="0" xfId="1226" applyNumberFormat="1" applyFont="1" applyFill="1" applyAlignment="1">
      <alignment horizontal="center"/>
    </xf>
    <xf numFmtId="0" fontId="216" fillId="0" borderId="0" xfId="1226" applyFont="1" applyAlignment="1">
      <alignment horizontal="center"/>
    </xf>
    <xf numFmtId="0" fontId="215" fillId="53" borderId="0" xfId="1226" applyFont="1" applyFill="1" applyAlignment="1">
      <alignment horizontal="center"/>
    </xf>
    <xf numFmtId="0" fontId="115" fillId="0" borderId="0" xfId="1226" applyFont="1" applyAlignment="1">
      <alignment horizontal="center"/>
    </xf>
    <xf numFmtId="0" fontId="217" fillId="0" borderId="0" xfId="1226" applyFont="1" applyFill="1" applyAlignment="1">
      <alignment horizontal="center"/>
    </xf>
    <xf numFmtId="0" fontId="210" fillId="0" borderId="0" xfId="1226" applyFont="1" applyAlignment="1">
      <alignment horizontal="center" wrapText="1"/>
    </xf>
    <xf numFmtId="0" fontId="41" fillId="0" borderId="0" xfId="1226" applyFont="1" applyAlignment="1">
      <alignment horizontal="left" wrapText="1"/>
    </xf>
    <xf numFmtId="0" fontId="120" fillId="0" borderId="0" xfId="1226" applyFont="1" applyAlignment="1">
      <alignment horizontal="center"/>
    </xf>
    <xf numFmtId="0" fontId="214" fillId="0" borderId="0" xfId="1226" applyFont="1" applyAlignment="1">
      <alignment horizontal="center" wrapText="1"/>
    </xf>
    <xf numFmtId="49" fontId="211"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12"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57" fillId="58" borderId="19" xfId="0" applyFont="1" applyFill="1" applyBorder="1" applyAlignment="1">
      <alignment horizontal="left" vertical="center" wrapText="1"/>
    </xf>
    <xf numFmtId="2" fontId="57"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0" fontId="34" fillId="0" borderId="19" xfId="0" applyFont="1" applyBorder="1" applyAlignment="1">
      <alignment horizontal="left" wrapText="1"/>
    </xf>
    <xf numFmtId="166" fontId="71" fillId="0" borderId="19" xfId="0" applyNumberFormat="1" applyFont="1" applyBorder="1" applyAlignment="1">
      <alignment horizontal="center" vertical="center"/>
    </xf>
    <xf numFmtId="166" fontId="71" fillId="0" borderId="19"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19"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4" fillId="0" borderId="0" xfId="0" applyFont="1" applyAlignment="1">
      <alignment horizontal="left" vertical="center"/>
    </xf>
    <xf numFmtId="0" fontId="34" fillId="0" borderId="19" xfId="0" applyFont="1" applyBorder="1" applyAlignment="1">
      <alignment horizontal="left" vertical="center"/>
    </xf>
    <xf numFmtId="0" fontId="70" fillId="0" borderId="0" xfId="0" applyFont="1" applyAlignment="1">
      <alignment horizontal="center" vertical="center"/>
    </xf>
    <xf numFmtId="49" fontId="39" fillId="0" borderId="19" xfId="0" applyNumberFormat="1" applyFont="1" applyBorder="1" applyAlignment="1">
      <alignment horizontal="center" vertical="center" wrapText="1"/>
    </xf>
    <xf numFmtId="49" fontId="39" fillId="0" borderId="19" xfId="0" applyNumberFormat="1" applyFont="1" applyBorder="1" applyAlignment="1">
      <alignment horizontal="center" vertical="center"/>
    </xf>
    <xf numFmtId="0" fontId="34" fillId="0" borderId="19" xfId="0" applyFont="1" applyBorder="1" applyAlignment="1">
      <alignment horizontal="left" vertical="top" wrapText="1"/>
    </xf>
    <xf numFmtId="192" fontId="57" fillId="0" borderId="19" xfId="0" applyNumberFormat="1" applyFont="1" applyBorder="1" applyAlignment="1">
      <alignment horizontal="left" vertical="center" wrapText="1"/>
    </xf>
    <xf numFmtId="192" fontId="57" fillId="0" borderId="35" xfId="0" applyNumberFormat="1" applyFont="1" applyBorder="1" applyAlignment="1">
      <alignment horizontal="left" vertical="center" wrapText="1"/>
    </xf>
    <xf numFmtId="192" fontId="57" fillId="0" borderId="38" xfId="0" applyNumberFormat="1" applyFont="1" applyBorder="1" applyAlignment="1">
      <alignment horizontal="left" vertical="center" wrapText="1"/>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34" fillId="0" borderId="0" xfId="0" applyFont="1" applyAlignment="1">
      <alignment horizontal="left" wrapText="1"/>
    </xf>
    <xf numFmtId="0" fontId="71" fillId="0" borderId="21"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33" xfId="0" applyFont="1" applyBorder="1" applyAlignment="1">
      <alignment horizontal="center" vertical="center" wrapText="1"/>
    </xf>
    <xf numFmtId="0" fontId="12" fillId="0" borderId="0" xfId="0" applyFont="1" applyAlignment="1">
      <alignment horizontal="left" wrapText="1"/>
    </xf>
    <xf numFmtId="0" fontId="71"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2" fillId="0" borderId="35" xfId="0" applyFont="1" applyBorder="1" applyAlignment="1">
      <alignment horizontal="center" vertical="center"/>
    </xf>
    <xf numFmtId="0" fontId="152" fillId="0" borderId="20" xfId="0" applyFont="1" applyBorder="1" applyAlignment="1">
      <alignment horizontal="center" vertical="center"/>
    </xf>
    <xf numFmtId="0" fontId="152" fillId="0" borderId="38" xfId="0" applyFont="1" applyBorder="1" applyAlignment="1">
      <alignment horizontal="center" vertical="center"/>
    </xf>
    <xf numFmtId="0" fontId="152" fillId="0" borderId="35" xfId="0" applyFont="1" applyBorder="1" applyAlignment="1">
      <alignment horizontal="center" vertical="center" wrapText="1"/>
    </xf>
    <xf numFmtId="0" fontId="152" fillId="0" borderId="3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2" fillId="0" borderId="19" xfId="0" applyFont="1" applyBorder="1" applyAlignment="1">
      <alignment horizontal="center" vertical="center" wrapText="1"/>
    </xf>
    <xf numFmtId="0" fontId="160" fillId="0" borderId="19" xfId="0" applyFont="1" applyBorder="1" applyAlignment="1">
      <alignment horizontal="center" vertical="center"/>
    </xf>
    <xf numFmtId="0" fontId="152" fillId="0" borderId="19" xfId="0" applyFont="1" applyBorder="1" applyAlignment="1">
      <alignment horizontal="center" vertical="center"/>
    </xf>
    <xf numFmtId="183" fontId="34" fillId="0" borderId="0" xfId="0" applyNumberFormat="1" applyFont="1" applyAlignment="1">
      <alignment horizontal="left" wrapText="1"/>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34" fillId="0" borderId="34" xfId="0" applyFont="1" applyBorder="1" applyAlignment="1">
      <alignment horizontal="left" vertical="top"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34" fillId="0" borderId="19" xfId="0" applyFont="1" applyBorder="1" applyAlignment="1">
      <alignment vertical="center" wrapText="1"/>
    </xf>
    <xf numFmtId="0" fontId="12" fillId="0" borderId="33" xfId="0" applyFont="1" applyBorder="1" applyAlignment="1">
      <alignment horizontal="center" vertical="center"/>
    </xf>
    <xf numFmtId="3" fontId="12" fillId="0" borderId="19" xfId="1252" applyNumberFormat="1" applyBorder="1" applyAlignment="1">
      <alignment horizontal="center"/>
    </xf>
    <xf numFmtId="0" fontId="12" fillId="0" borderId="19" xfId="0" applyFont="1" applyBorder="1" applyAlignment="1">
      <alignment horizontal="center" vertical="center" wrapText="1"/>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0" fillId="0" borderId="19" xfId="0" applyBorder="1" applyAlignment="1">
      <alignment horizontal="center"/>
    </xf>
    <xf numFmtId="0" fontId="34" fillId="0" borderId="34" xfId="0" applyFont="1" applyBorder="1" applyAlignment="1">
      <alignment horizontal="left" vertical="center" wrapText="1"/>
    </xf>
    <xf numFmtId="0" fontId="222" fillId="0" borderId="19" xfId="0" applyFont="1" applyBorder="1" applyAlignment="1">
      <alignment horizontal="center" vertical="center" wrapText="1"/>
    </xf>
    <xf numFmtId="0" fontId="222" fillId="0" borderId="19" xfId="0" applyFont="1" applyBorder="1" applyAlignment="1">
      <alignment horizontal="center" vertical="center"/>
    </xf>
    <xf numFmtId="0" fontId="209" fillId="0" borderId="0" xfId="0" applyFont="1" applyAlignment="1">
      <alignment horizontal="left" vertical="center" wrapText="1"/>
    </xf>
    <xf numFmtId="0" fontId="209" fillId="0" borderId="19" xfId="0" applyFont="1" applyBorder="1" applyAlignment="1">
      <alignment horizontal="left" vertical="center" wrapText="1"/>
    </xf>
    <xf numFmtId="172" fontId="222" fillId="0" borderId="0" xfId="0" applyNumberFormat="1" applyFont="1" applyAlignment="1">
      <alignment horizontal="center"/>
    </xf>
    <xf numFmtId="172" fontId="39" fillId="0" borderId="0" xfId="0" applyNumberFormat="1" applyFont="1" applyAlignment="1">
      <alignment horizontal="center" vertical="center"/>
    </xf>
    <xf numFmtId="0" fontId="166" fillId="0" borderId="0" xfId="0" applyFont="1" applyAlignment="1">
      <alignment horizontal="left" vertical="center" wrapText="1"/>
    </xf>
    <xf numFmtId="0" fontId="39" fillId="0" borderId="19" xfId="0" applyFont="1" applyBorder="1" applyAlignment="1">
      <alignment horizontal="left" vertical="center"/>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34" fillId="0" borderId="19" xfId="1882" applyFont="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58" borderId="19" xfId="0" applyFont="1" applyFill="1" applyBorder="1" applyAlignment="1">
      <alignment horizontal="center" vertical="center" wrapText="1"/>
    </xf>
    <xf numFmtId="0" fontId="34" fillId="0" borderId="0" xfId="0" applyFont="1" applyFill="1" applyAlignment="1">
      <alignment horizontal="left" vertical="center" wrapText="1"/>
    </xf>
    <xf numFmtId="172" fontId="39" fillId="0" borderId="0" xfId="0" applyNumberFormat="1" applyFont="1" applyFill="1" applyAlignment="1">
      <alignment horizontal="center"/>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38" xfId="0" applyFont="1" applyFill="1" applyBorder="1" applyAlignment="1">
      <alignment horizontal="center" vertical="center"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3">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199791"/>
      <color rgb="FF000000"/>
      <color rgb="FFFF99CC"/>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9.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2022/23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'4'!$D$6:$D$17</c:f>
              <c:numCache>
                <c:formatCode>0.00</c:formatCode>
                <c:ptCount val="12"/>
                <c:pt idx="0" formatCode="General">
                  <c:v>774.83</c:v>
                </c:pt>
                <c:pt idx="1">
                  <c:v>773.43</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'4'!$E$6:$E$17</c:f>
              <c:numCache>
                <c:formatCode>0.00</c:formatCode>
                <c:ptCount val="12"/>
                <c:pt idx="0" formatCode="General">
                  <c:v>787.52</c:v>
                </c:pt>
                <c:pt idx="1">
                  <c:v>785.99</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'20'!$B$6:$B$22</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'20'!$G$6:$G$22</c:f>
              <c:numCache>
                <c:formatCode>0</c:formatCode>
                <c:ptCount val="17"/>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'20'!$B$6:$B$22</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'20'!$F$6:$F$22</c:f>
              <c:numCache>
                <c:formatCode>0</c:formatCode>
                <c:ptCount val="17"/>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'20'!$B$6:$B$22</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'20'!$H$6:$H$22</c:f>
              <c:numCache>
                <c:formatCode>0</c:formatCode>
                <c:ptCount val="17"/>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460"/>
          <c:min val="16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7.4846970640985042E-2"/>
          <c:y val="0.74910393668762265"/>
          <c:w val="0.88551197981281282"/>
          <c:h val="0.17234070808389063"/>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5 de</a:t>
            </a:r>
            <a:r>
              <a:rPr lang="es-CL" b="1" baseline="0"/>
              <a:t> abril 2021 al 13 de junio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3647235565462632"/>
          <c:w val="0.7849595749924172"/>
          <c:h val="0.5390717056149078"/>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'21'!$L$15:$L$77</c:f>
              <c:numCache>
                <c:formatCode>dd/mm/yyyy;@</c:formatCode>
                <c:ptCount val="63"/>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numCache>
            </c:numRef>
          </c:cat>
          <c:val>
            <c:numRef>
              <c:f>'21'!$R$2:$R$50</c:f>
            </c:numRef>
          </c:val>
          <c:smooth val="0"/>
          <c:extLst>
            <c:ext xmlns:c16="http://schemas.microsoft.com/office/drawing/2014/chart" uri="{C3380CC4-5D6E-409C-BE32-E72D297353CC}">
              <c16:uniqueId val="{00000002-310F-40EF-AE63-BA1D54FE8F9E}"/>
            </c:ext>
          </c:extLst>
        </c:ser>
        <c:ser>
          <c:idx val="5"/>
          <c:order val="1"/>
          <c:tx>
            <c:strRef>
              <c:f>'21'!$W$1</c:f>
              <c:strCache>
                <c:ptCount val="1"/>
                <c:pt idx="0">
                  <c:v>jul-22</c:v>
                </c:pt>
              </c:strCache>
            </c:strRef>
          </c:tx>
          <c:spPr>
            <a:ln w="28575" cap="rnd">
              <a:solidFill>
                <a:schemeClr val="accent6"/>
              </a:solidFill>
              <a:round/>
            </a:ln>
            <a:effectLst/>
          </c:spPr>
          <c:marker>
            <c:symbol val="none"/>
          </c:marker>
          <c:cat>
            <c:numRef>
              <c:f>'21'!$L$15:$L$77</c:f>
              <c:numCache>
                <c:formatCode>dd/mm/yyyy;@</c:formatCode>
                <c:ptCount val="63"/>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numCache>
            </c:numRef>
          </c:cat>
          <c:val>
            <c:numRef>
              <c:f>'21'!$W$15:$W$77</c:f>
              <c:numCache>
                <c:formatCode>General</c:formatCode>
                <c:ptCount val="63"/>
                <c:pt idx="8" formatCode="0">
                  <c:v>244.71503999999999</c:v>
                </c:pt>
                <c:pt idx="9" formatCode="0">
                  <c:v>245.54177999999999</c:v>
                </c:pt>
                <c:pt idx="10" formatCode="#,##0">
                  <c:v>240.58133999999998</c:v>
                </c:pt>
                <c:pt idx="11" formatCode="#,##0">
                  <c:v>233.41625999999999</c:v>
                </c:pt>
                <c:pt idx="12" formatCode="#,##0">
                  <c:v>236.35577999999998</c:v>
                </c:pt>
                <c:pt idx="13" formatCode="#,##0">
                  <c:v>224.68956</c:v>
                </c:pt>
                <c:pt idx="14" formatCode="#,##0">
                  <c:v>233.14068</c:v>
                </c:pt>
                <c:pt idx="15" formatCode="#,##0">
                  <c:v>243.15341999999998</c:v>
                </c:pt>
                <c:pt idx="16" formatCode="#,##0">
                  <c:v>239.75459999999998</c:v>
                </c:pt>
                <c:pt idx="17" formatCode="#,##0">
                  <c:v>258.95333999999997</c:v>
                </c:pt>
                <c:pt idx="18" formatCode="0">
                  <c:v>259.22892000000002</c:v>
                </c:pt>
                <c:pt idx="19" formatCode="0">
                  <c:v>265.93469999999996</c:v>
                </c:pt>
                <c:pt idx="20" formatCode="0">
                  <c:v>259.96379999999999</c:v>
                </c:pt>
                <c:pt idx="21" formatCode="0">
                  <c:v>259.87194</c:v>
                </c:pt>
                <c:pt idx="22" formatCode="0">
                  <c:v>261.06612000000001</c:v>
                </c:pt>
                <c:pt idx="23" formatCode="0">
                  <c:v>254.08475999999999</c:v>
                </c:pt>
                <c:pt idx="24" formatCode="0">
                  <c:v>259.68822</c:v>
                </c:pt>
                <c:pt idx="25" formatCode="0">
                  <c:v>264.28122000000002</c:v>
                </c:pt>
                <c:pt idx="26" formatCode="0">
                  <c:v>276.03929999999997</c:v>
                </c:pt>
                <c:pt idx="27" formatCode="0">
                  <c:v>272.18117999999998</c:v>
                </c:pt>
                <c:pt idx="28" formatCode="0">
                  <c:v>275.58</c:v>
                </c:pt>
                <c:pt idx="29" formatCode="0">
                  <c:v>281.36718000000002</c:v>
                </c:pt>
                <c:pt idx="30" formatCode="#,##0">
                  <c:v>292.02294000000001</c:v>
                </c:pt>
                <c:pt idx="31" formatCode="0">
                  <c:v>285.13344000000001</c:v>
                </c:pt>
                <c:pt idx="32" formatCode="0">
                  <c:v>301.76009999999997</c:v>
                </c:pt>
                <c:pt idx="33" formatCode="0">
                  <c:v>311.86469999999997</c:v>
                </c:pt>
                <c:pt idx="34" formatCode="0">
                  <c:v>307.73099999999999</c:v>
                </c:pt>
                <c:pt idx="35" formatCode="0">
                  <c:v>299.46359999999999</c:v>
                </c:pt>
                <c:pt idx="36" formatCode="0">
                  <c:v>295.23804000000001</c:v>
                </c:pt>
                <c:pt idx="37" formatCode="0">
                  <c:v>295.32990000000001</c:v>
                </c:pt>
                <c:pt idx="38" formatCode="0">
                  <c:v>308.19029999999998</c:v>
                </c:pt>
                <c:pt idx="39" formatCode="0">
                  <c:v>289.91016000000002</c:v>
                </c:pt>
                <c:pt idx="40" formatCode="0">
                  <c:v>285.86831999999998</c:v>
                </c:pt>
                <c:pt idx="41" formatCode="0">
                  <c:v>285.50088</c:v>
                </c:pt>
                <c:pt idx="42" formatCode="0">
                  <c:v>301.30079999999998</c:v>
                </c:pt>
                <c:pt idx="43" formatCode="0">
                  <c:v>288.07295999999997</c:v>
                </c:pt>
                <c:pt idx="44" formatCode="0">
                  <c:v>293.21711999999997</c:v>
                </c:pt>
                <c:pt idx="45" formatCode="0">
                  <c:v>305.80194</c:v>
                </c:pt>
                <c:pt idx="46" formatCode="0">
                  <c:v>325.73555999999996</c:v>
                </c:pt>
                <c:pt idx="47" formatCode="0">
                  <c:v>345.66917999999998</c:v>
                </c:pt>
                <c:pt idx="48" formatCode="0">
                  <c:v>453.32909999999998</c:v>
                </c:pt>
                <c:pt idx="49" formatCode="0">
                  <c:v>398.85611999999998</c:v>
                </c:pt>
                <c:pt idx="50" formatCode="0">
                  <c:v>405.37817999999999</c:v>
                </c:pt>
                <c:pt idx="51" formatCode="0">
                  <c:v>392.97708</c:v>
                </c:pt>
                <c:pt idx="52" formatCode="0">
                  <c:v>381.86201999999997</c:v>
                </c:pt>
                <c:pt idx="53" formatCode="0">
                  <c:v>420.90251999999998</c:v>
                </c:pt>
                <c:pt idx="54" formatCode="0">
                  <c:v>436.88615999999996</c:v>
                </c:pt>
                <c:pt idx="55" formatCode="0">
                  <c:v>423.65832</c:v>
                </c:pt>
                <c:pt idx="56" formatCode="0">
                  <c:v>403.45</c:v>
                </c:pt>
                <c:pt idx="57" formatCode="0">
                  <c:v>427.79201999999998</c:v>
                </c:pt>
                <c:pt idx="58" formatCode="0">
                  <c:v>496.77887999999996</c:v>
                </c:pt>
                <c:pt idx="59" formatCode="0">
                  <c:v>469.03715999999997</c:v>
                </c:pt>
                <c:pt idx="60" formatCode="0">
                  <c:v>428.25131999999996</c:v>
                </c:pt>
                <c:pt idx="61" formatCode="0">
                  <c:v>429.90479999999997</c:v>
                </c:pt>
                <c:pt idx="62" formatCode="0">
                  <c:v>426.87</c:v>
                </c:pt>
              </c:numCache>
            </c:numRef>
          </c:val>
          <c:smooth val="0"/>
          <c:extLst>
            <c:ext xmlns:c16="http://schemas.microsoft.com/office/drawing/2014/chart" uri="{C3380CC4-5D6E-409C-BE32-E72D297353CC}">
              <c16:uniqueId val="{00000003-ADD7-4D8E-8E0A-A6B7DC36B6FE}"/>
            </c:ext>
          </c:extLst>
        </c:ser>
        <c:ser>
          <c:idx val="2"/>
          <c:order val="2"/>
          <c:tx>
            <c:strRef>
              <c:f>'21'!$S$1</c:f>
              <c:strCache>
                <c:ptCount val="1"/>
                <c:pt idx="0">
                  <c:v>mar-22</c:v>
                </c:pt>
              </c:strCache>
            </c:strRef>
          </c:tx>
          <c:spPr>
            <a:ln w="28575" cap="rnd">
              <a:solidFill>
                <a:schemeClr val="accent3"/>
              </a:solidFill>
              <a:round/>
            </a:ln>
            <a:effectLst/>
          </c:spPr>
          <c:marker>
            <c:symbol val="none"/>
          </c:marker>
          <c:cat>
            <c:numRef>
              <c:f>'21'!$L$15:$L$77</c:f>
              <c:numCache>
                <c:formatCode>dd/mm/yyyy;@</c:formatCode>
                <c:ptCount val="63"/>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numCache>
            </c:numRef>
          </c:cat>
          <c:val>
            <c:numRef>
              <c:f>'21'!$S$15:$S$62</c:f>
            </c:numRef>
          </c:val>
          <c:smooth val="0"/>
          <c:extLst>
            <c:ext xmlns:c16="http://schemas.microsoft.com/office/drawing/2014/chart" uri="{C3380CC4-5D6E-409C-BE32-E72D297353CC}">
              <c16:uniqueId val="{00000003-310F-40EF-AE63-BA1D54FE8F9E}"/>
            </c:ext>
          </c:extLst>
        </c:ser>
        <c:ser>
          <c:idx val="3"/>
          <c:order val="3"/>
          <c:tx>
            <c:strRef>
              <c:f>'21'!$AA$1</c:f>
              <c:strCache>
                <c:ptCount val="1"/>
                <c:pt idx="0">
                  <c:v>dic-22</c:v>
                </c:pt>
              </c:strCache>
            </c:strRef>
          </c:tx>
          <c:spPr>
            <a:ln w="28575" cap="rnd">
              <a:solidFill>
                <a:schemeClr val="accent4"/>
              </a:solidFill>
              <a:round/>
            </a:ln>
            <a:effectLst/>
          </c:spPr>
          <c:marker>
            <c:symbol val="none"/>
          </c:marker>
          <c:cat>
            <c:numRef>
              <c:f>'21'!$L$15:$L$77</c:f>
              <c:numCache>
                <c:formatCode>dd/mm/yyyy;@</c:formatCode>
                <c:ptCount val="63"/>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numCache>
            </c:numRef>
          </c:cat>
          <c:val>
            <c:numRef>
              <c:f>'21'!$AA$15:$AA$77</c:f>
              <c:numCache>
                <c:formatCode>General</c:formatCode>
                <c:ptCount val="63"/>
                <c:pt idx="0">
                  <c:v>223.12794</c:v>
                </c:pt>
                <c:pt idx="1">
                  <c:v>226.89419999999998</c:v>
                </c:pt>
                <c:pt idx="2">
                  <c:v>234.79416000000001</c:v>
                </c:pt>
                <c:pt idx="3">
                  <c:v>252.98244</c:v>
                </c:pt>
                <c:pt idx="4">
                  <c:v>248.4813</c:v>
                </c:pt>
                <c:pt idx="5">
                  <c:v>252.06384</c:v>
                </c:pt>
                <c:pt idx="6" formatCode="0">
                  <c:v>241.04064</c:v>
                </c:pt>
                <c:pt idx="7" formatCode="0">
                  <c:v>239.11158</c:v>
                </c:pt>
                <c:pt idx="8" formatCode="0">
                  <c:v>249.30804000000001</c:v>
                </c:pt>
                <c:pt idx="9" formatCode="0">
                  <c:v>250.13478000000001</c:v>
                </c:pt>
                <c:pt idx="10" formatCode="#,##0">
                  <c:v>244.71503999999999</c:v>
                </c:pt>
                <c:pt idx="11" formatCode="#,##0">
                  <c:v>237.82553999999999</c:v>
                </c:pt>
                <c:pt idx="12" formatCode="#,##0">
                  <c:v>239.75459999999998</c:v>
                </c:pt>
                <c:pt idx="13" formatCode="#,##0">
                  <c:v>228.36395999999999</c:v>
                </c:pt>
                <c:pt idx="14" formatCode="#,##0">
                  <c:v>236.90693999999999</c:v>
                </c:pt>
                <c:pt idx="15" formatCode="#,##0">
                  <c:v>246.27665999999999</c:v>
                </c:pt>
                <c:pt idx="16" formatCode="#,##0">
                  <c:v>242.5104</c:v>
                </c:pt>
                <c:pt idx="17" formatCode="#,##0">
                  <c:v>260.97426000000002</c:v>
                </c:pt>
                <c:pt idx="18" formatCode="0">
                  <c:v>261.43356</c:v>
                </c:pt>
                <c:pt idx="19" formatCode="0">
                  <c:v>268.41492</c:v>
                </c:pt>
                <c:pt idx="20" formatCode="0">
                  <c:v>263.63819999999998</c:v>
                </c:pt>
                <c:pt idx="21" formatCode="0">
                  <c:v>263.27076</c:v>
                </c:pt>
                <c:pt idx="22" formatCode="0">
                  <c:v>265.19981999999999</c:v>
                </c:pt>
                <c:pt idx="23" formatCode="0">
                  <c:v>258.40217999999999</c:v>
                </c:pt>
                <c:pt idx="24" formatCode="0">
                  <c:v>264.09749999999997</c:v>
                </c:pt>
                <c:pt idx="25" formatCode="0">
                  <c:v>267.58817999999997</c:v>
                </c:pt>
                <c:pt idx="26" formatCode="0">
                  <c:v>279.07067999999998</c:v>
                </c:pt>
                <c:pt idx="27" formatCode="0">
                  <c:v>275.58</c:v>
                </c:pt>
                <c:pt idx="28" formatCode="0">
                  <c:v>278.70323999999999</c:v>
                </c:pt>
                <c:pt idx="29" formatCode="0">
                  <c:v>283.57182</c:v>
                </c:pt>
                <c:pt idx="30" formatCode="#,##0">
                  <c:v>293.21711999999997</c:v>
                </c:pt>
                <c:pt idx="31" formatCode="0">
                  <c:v>286.69506000000001</c:v>
                </c:pt>
                <c:pt idx="32" formatCode="0">
                  <c:v>301.02521999999999</c:v>
                </c:pt>
                <c:pt idx="33" formatCode="0">
                  <c:v>312.59958</c:v>
                </c:pt>
                <c:pt idx="34" formatCode="0">
                  <c:v>308.09843999999998</c:v>
                </c:pt>
                <c:pt idx="35" formatCode="0">
                  <c:v>301.85195999999996</c:v>
                </c:pt>
                <c:pt idx="36" formatCode="0">
                  <c:v>297.71825999999999</c:v>
                </c:pt>
                <c:pt idx="37" formatCode="0">
                  <c:v>297.1671</c:v>
                </c:pt>
                <c:pt idx="38" formatCode="0">
                  <c:v>309.38448</c:v>
                </c:pt>
                <c:pt idx="39" formatCode="0">
                  <c:v>292.66595999999998</c:v>
                </c:pt>
                <c:pt idx="40" formatCode="0">
                  <c:v>289.54271999999997</c:v>
                </c:pt>
                <c:pt idx="41" formatCode="0">
                  <c:v>289.54271999999997</c:v>
                </c:pt>
                <c:pt idx="42" formatCode="0">
                  <c:v>304.88333999999998</c:v>
                </c:pt>
                <c:pt idx="43" formatCode="0">
                  <c:v>292.20666</c:v>
                </c:pt>
                <c:pt idx="44" formatCode="0">
                  <c:v>297.81011999999998</c:v>
                </c:pt>
                <c:pt idx="45" formatCode="0">
                  <c:v>309.75191999999998</c:v>
                </c:pt>
                <c:pt idx="46" formatCode="0">
                  <c:v>328.39949999999999</c:v>
                </c:pt>
                <c:pt idx="47" formatCode="0">
                  <c:v>341.16803999999996</c:v>
                </c:pt>
                <c:pt idx="48" formatCode="0">
                  <c:v>419.70833999999996</c:v>
                </c:pt>
                <c:pt idx="49" formatCode="0">
                  <c:v>386.63873999999998</c:v>
                </c:pt>
                <c:pt idx="50" formatCode="0">
                  <c:v>392.05847999999997</c:v>
                </c:pt>
                <c:pt idx="51" formatCode="0">
                  <c:v>389.02709999999996</c:v>
                </c:pt>
                <c:pt idx="52" formatCode="0">
                  <c:v>381.40271999999999</c:v>
                </c:pt>
                <c:pt idx="53" formatCode="0">
                  <c:v>419.61647999999997</c:v>
                </c:pt>
                <c:pt idx="54" formatCode="0">
                  <c:v>432.84431999999998</c:v>
                </c:pt>
                <c:pt idx="55" formatCode="0">
                  <c:v>422.37227999999999</c:v>
                </c:pt>
                <c:pt idx="56" formatCode="0">
                  <c:v>405.93</c:v>
                </c:pt>
                <c:pt idx="57" formatCode="0">
                  <c:v>430.63968</c:v>
                </c:pt>
                <c:pt idx="58" formatCode="0">
                  <c:v>497.78933999999998</c:v>
                </c:pt>
                <c:pt idx="59" formatCode="0">
                  <c:v>472.06853999999998</c:v>
                </c:pt>
                <c:pt idx="60" formatCode="0">
                  <c:v>433.94664</c:v>
                </c:pt>
                <c:pt idx="61" formatCode="0">
                  <c:v>435.96755999999999</c:v>
                </c:pt>
                <c:pt idx="62" formatCode="0">
                  <c:v>432.66</c:v>
                </c:pt>
              </c:numCache>
            </c:numRef>
          </c:val>
          <c:smooth val="0"/>
          <c:extLst>
            <c:ext xmlns:c16="http://schemas.microsoft.com/office/drawing/2014/chart" uri="{C3380CC4-5D6E-409C-BE32-E72D297353CC}">
              <c16:uniqueId val="{00000004-310F-40EF-AE63-BA1D54FE8F9E}"/>
            </c:ext>
          </c:extLst>
        </c:ser>
        <c:ser>
          <c:idx val="0"/>
          <c:order val="4"/>
          <c:tx>
            <c:strRef>
              <c:f>'21'!$AB$1</c:f>
              <c:strCache>
                <c:ptCount val="1"/>
                <c:pt idx="0">
                  <c:v>mar-23</c:v>
                </c:pt>
              </c:strCache>
            </c:strRef>
          </c:tx>
          <c:spPr>
            <a:ln w="28575" cap="rnd">
              <a:solidFill>
                <a:schemeClr val="accent1"/>
              </a:solidFill>
              <a:round/>
            </a:ln>
            <a:effectLst/>
          </c:spPr>
          <c:marker>
            <c:symbol val="none"/>
          </c:marker>
          <c:cat>
            <c:numRef>
              <c:f>'21'!$L$15:$L$77</c:f>
              <c:numCache>
                <c:formatCode>dd/mm/yyyy;@</c:formatCode>
                <c:ptCount val="63"/>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numCache>
            </c:numRef>
          </c:cat>
          <c:val>
            <c:numRef>
              <c:f>'21'!$AB$15:$AB$77</c:f>
              <c:numCache>
                <c:formatCode>General</c:formatCode>
                <c:ptCount val="63"/>
                <c:pt idx="39" formatCode="0">
                  <c:v>293.12525999999997</c:v>
                </c:pt>
                <c:pt idx="40" formatCode="0">
                  <c:v>290.55318</c:v>
                </c:pt>
                <c:pt idx="41" formatCode="0">
                  <c:v>290.92061999999999</c:v>
                </c:pt>
                <c:pt idx="42" formatCode="0">
                  <c:v>305.15891999999997</c:v>
                </c:pt>
                <c:pt idx="43" formatCode="0">
                  <c:v>293.21711999999997</c:v>
                </c:pt>
                <c:pt idx="44" formatCode="0">
                  <c:v>299.09616</c:v>
                </c:pt>
                <c:pt idx="45" formatCode="0">
                  <c:v>310.48680000000002</c:v>
                </c:pt>
                <c:pt idx="46" formatCode="0">
                  <c:v>328.30763999999999</c:v>
                </c:pt>
                <c:pt idx="47" formatCode="0">
                  <c:v>336.20760000000001</c:v>
                </c:pt>
                <c:pt idx="48" formatCode="0">
                  <c:v>402.80610000000001</c:v>
                </c:pt>
                <c:pt idx="49" formatCode="0">
                  <c:v>374.97251999999997</c:v>
                </c:pt>
                <c:pt idx="50" formatCode="0">
                  <c:v>382.87248</c:v>
                </c:pt>
                <c:pt idx="51" formatCode="0">
                  <c:v>383.23991999999998</c:v>
                </c:pt>
                <c:pt idx="52" formatCode="0">
                  <c:v>378.92250000000001</c:v>
                </c:pt>
                <c:pt idx="53" formatCode="0">
                  <c:v>417.59555999999998</c:v>
                </c:pt>
                <c:pt idx="54" formatCode="0">
                  <c:v>430.45596</c:v>
                </c:pt>
                <c:pt idx="55" formatCode="0">
                  <c:v>420.71879999999999</c:v>
                </c:pt>
                <c:pt idx="56" formatCode="0">
                  <c:v>405.38</c:v>
                </c:pt>
                <c:pt idx="57" formatCode="0">
                  <c:v>429.90479999999997</c:v>
                </c:pt>
                <c:pt idx="58" formatCode="0">
                  <c:v>492.82889999999998</c:v>
                </c:pt>
                <c:pt idx="59" formatCode="0">
                  <c:v>471.7011</c:v>
                </c:pt>
                <c:pt idx="60" formatCode="0">
                  <c:v>434.77337999999997</c:v>
                </c:pt>
                <c:pt idx="61" formatCode="0">
                  <c:v>437.89661999999998</c:v>
                </c:pt>
                <c:pt idx="62" formatCode="0">
                  <c:v>434.31</c:v>
                </c:pt>
              </c:numCache>
            </c:numRef>
          </c:val>
          <c:smooth val="0"/>
          <c:extLst>
            <c:ext xmlns:c16="http://schemas.microsoft.com/office/drawing/2014/chart" uri="{C3380CC4-5D6E-409C-BE32-E72D297353CC}">
              <c16:uniqueId val="{00000001-ADD7-4D8E-8E0A-A6B7DC36B6FE}"/>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2022/23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'28'!$E$6:$E$17</c:f>
              <c:numCache>
                <c:formatCode>#,##0</c:formatCode>
                <c:ptCount val="12"/>
                <c:pt idx="0">
                  <c:v>1180.72</c:v>
                </c:pt>
                <c:pt idx="1">
                  <c:v>1185.81</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'28'!$F$6:$F$17</c:f>
              <c:numCache>
                <c:formatCode>#,##0</c:formatCode>
                <c:ptCount val="12"/>
                <c:pt idx="0" formatCode="0">
                  <c:v>1184.97</c:v>
                </c:pt>
                <c:pt idx="1">
                  <c:v>1186.28</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mayo 2022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'29'!$D$6:$D$16</c:f>
              <c:numCache>
                <c:formatCode>#,##0</c:formatCode>
                <c:ptCount val="11"/>
                <c:pt idx="0">
                  <c:v>867.96600000000001</c:v>
                </c:pt>
                <c:pt idx="1">
                  <c:v>990.47</c:v>
                </c:pt>
                <c:pt idx="2">
                  <c:v>1015.57</c:v>
                </c:pt>
                <c:pt idx="3">
                  <c:v>972.21</c:v>
                </c:pt>
                <c:pt idx="4">
                  <c:v>1123.4100000000001</c:v>
                </c:pt>
                <c:pt idx="5">
                  <c:v>1080.0899999999999</c:v>
                </c:pt>
                <c:pt idx="6">
                  <c:v>1124.92</c:v>
                </c:pt>
                <c:pt idx="7">
                  <c:v>1120.1300000000001</c:v>
                </c:pt>
                <c:pt idx="8">
                  <c:v>1129</c:v>
                </c:pt>
                <c:pt idx="9">
                  <c:v>1129</c:v>
                </c:pt>
                <c:pt idx="10">
                  <c:v>1185.81</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'29'!$E$6:$E$16</c:f>
              <c:numCache>
                <c:formatCode>#,##0</c:formatCode>
                <c:ptCount val="11"/>
                <c:pt idx="0">
                  <c:v>864.69399999999996</c:v>
                </c:pt>
                <c:pt idx="1">
                  <c:v>948.85</c:v>
                </c:pt>
                <c:pt idx="2">
                  <c:v>980.58</c:v>
                </c:pt>
                <c:pt idx="3">
                  <c:v>968.01</c:v>
                </c:pt>
                <c:pt idx="4">
                  <c:v>1084.1400000000001</c:v>
                </c:pt>
                <c:pt idx="5">
                  <c:v>1090.45</c:v>
                </c:pt>
                <c:pt idx="6">
                  <c:v>1144.82</c:v>
                </c:pt>
                <c:pt idx="7">
                  <c:v>1136.17</c:v>
                </c:pt>
                <c:pt idx="8">
                  <c:v>1143.29</c:v>
                </c:pt>
                <c:pt idx="9">
                  <c:v>1143.22</c:v>
                </c:pt>
                <c:pt idx="10">
                  <c:v>1186.28</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'29'!$G$6:$G$16</c:f>
              <c:numCache>
                <c:formatCode>0%</c:formatCode>
                <c:ptCount val="11"/>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0.25642662841448804</c:v>
                </c:pt>
                <c:pt idx="9">
                  <c:v>0.25651230734241875</c:v>
                </c:pt>
                <c:pt idx="10">
                  <c:v>0.26170044171696394</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'31'!$D$6:$D$16</c:f>
              <c:numCache>
                <c:formatCode>_-* #,##0_-;\-* #,##0_-;_-* \-_-;_-@_-</c:formatCode>
                <c:ptCount val="11"/>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'31'!$E$6:$E$16</c:f>
              <c:numCache>
                <c:formatCode>0.0</c:formatCode>
                <c:ptCount val="11"/>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'35'!$C$7:$C$18</c:f>
              <c:numCache>
                <c:formatCode>#,##0_);\(#,##0\)</c:formatCode>
                <c:ptCount val="12"/>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'35'!$B$7:$B$18</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'35'!$E$7:$E$18</c:f>
              <c:numCache>
                <c:formatCode>#,##0_);\(#,##0\)</c:formatCode>
                <c:ptCount val="12"/>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'35'!$G$7:$G$18</c:f>
              <c:numCache>
                <c:formatCode>#,##0_);\(#,##0\)</c:formatCode>
                <c:ptCount val="12"/>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166933.17012999998</c:v>
                </c:pt>
                <c:pt idx="1">
                  <c:v>152294.36619</c:v>
                </c:pt>
                <c:pt idx="2">
                  <c:v>134324.87856000001</c:v>
                </c:pt>
                <c:pt idx="3">
                  <c:v>109000.40353999998</c:v>
                </c:pt>
                <c:pt idx="4">
                  <c:v>256508.59538999994</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2022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0.21277656396115868"/>
                  <c:y val="1.73194853237423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28351657552268489"/>
                  <c:y val="-7.2050730711760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0.24338967576628975"/>
                  <c:y val="5.299662203165579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0.29012536068206851"/>
                  <c:y val="0.1208388515509464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'37'!$M$11:$P$11</c:f>
              <c:numCache>
                <c:formatCode>0.00%</c:formatCode>
                <c:ptCount val="4"/>
                <c:pt idx="0" formatCode="0.0%">
                  <c:v>0.99699248844046839</c:v>
                </c:pt>
                <c:pt idx="1">
                  <c:v>2.5379468071025629E-4</c:v>
                </c:pt>
                <c:pt idx="2">
                  <c:v>0</c:v>
                </c:pt>
                <c:pt idx="3">
                  <c:v>2.7537168788213497E-3</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mayo 2022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3.2479249368459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'5'!$C$6:$C$16</c:f>
              <c:numCache>
                <c:formatCode>#,##0</c:formatCode>
                <c:ptCount val="11"/>
                <c:pt idx="0">
                  <c:v>658.649</c:v>
                </c:pt>
                <c:pt idx="1">
                  <c:v>715.36</c:v>
                </c:pt>
                <c:pt idx="2">
                  <c:v>728.26</c:v>
                </c:pt>
                <c:pt idx="3">
                  <c:v>735.21</c:v>
                </c:pt>
                <c:pt idx="4">
                  <c:v>756.4</c:v>
                </c:pt>
                <c:pt idx="5">
                  <c:v>762.88</c:v>
                </c:pt>
                <c:pt idx="6">
                  <c:v>731</c:v>
                </c:pt>
                <c:pt idx="7">
                  <c:v>762.37</c:v>
                </c:pt>
                <c:pt idx="8" formatCode="0">
                  <c:v>775.72</c:v>
                </c:pt>
                <c:pt idx="9" formatCode="0">
                  <c:v>779.03</c:v>
                </c:pt>
                <c:pt idx="10" formatCode="0">
                  <c:v>773.43</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'5'!$D$6:$D$16</c:f>
              <c:numCache>
                <c:formatCode>#,##0</c:formatCode>
                <c:ptCount val="11"/>
                <c:pt idx="0">
                  <c:v>679.38300000000004</c:v>
                </c:pt>
                <c:pt idx="1">
                  <c:v>698.33</c:v>
                </c:pt>
                <c:pt idx="2">
                  <c:v>705.74</c:v>
                </c:pt>
                <c:pt idx="3">
                  <c:v>711.16</c:v>
                </c:pt>
                <c:pt idx="4">
                  <c:v>739.09</c:v>
                </c:pt>
                <c:pt idx="5">
                  <c:v>741.98</c:v>
                </c:pt>
                <c:pt idx="6">
                  <c:v>734.81</c:v>
                </c:pt>
                <c:pt idx="7">
                  <c:v>746.75</c:v>
                </c:pt>
                <c:pt idx="8" formatCode="0">
                  <c:v>782.42</c:v>
                </c:pt>
                <c:pt idx="9" formatCode="0">
                  <c:v>791.21</c:v>
                </c:pt>
                <c:pt idx="10" formatCode="0">
                  <c:v>785.99</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'5'!$G$6:$G$16</c:f>
              <c:numCache>
                <c:formatCode>0%</c:formatCode>
                <c:ptCount val="11"/>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0.37220418700953456</c:v>
                </c:pt>
                <c:pt idx="9">
                  <c:v>0.35313001605136435</c:v>
                </c:pt>
                <c:pt idx="10">
                  <c:v>0.33950813623582998</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2017 - 2022</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val>
            <c:numRef>
              <c:f>'38'!$D$13:$F$13</c:f>
              <c:numCache>
                <c:formatCode>#,##0</c:formatCode>
                <c:ptCount val="3"/>
                <c:pt idx="0">
                  <c:v>76184.645489999995</c:v>
                </c:pt>
                <c:pt idx="1">
                  <c:v>2717.4094599999999</c:v>
                </c:pt>
                <c:pt idx="2">
                  <c:v>21367.288250000001</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2017</c:v>
                </c:pt>
                <c:pt idx="1">
                  <c:v>2018</c:v>
                </c:pt>
                <c:pt idx="2">
                  <c:v>2019</c:v>
                </c:pt>
                <c:pt idx="3">
                  <c:v>2020</c:v>
                </c:pt>
                <c:pt idx="4">
                  <c:v>2021</c:v>
                </c:pt>
                <c:pt idx="5">
                  <c:v>2022*</c:v>
                </c:pt>
              </c:strCache>
            </c:strRef>
          </c:cat>
          <c:val>
            <c:numRef>
              <c:f>'39'!$E$8:$E$13</c:f>
              <c:numCache>
                <c:formatCode>#,##0</c:formatCode>
                <c:ptCount val="6"/>
                <c:pt idx="0">
                  <c:v>287</c:v>
                </c:pt>
                <c:pt idx="1">
                  <c:v>342.94811407654373</c:v>
                </c:pt>
                <c:pt idx="2">
                  <c:v>345.8535247035349</c:v>
                </c:pt>
                <c:pt idx="3" formatCode="0">
                  <c:v>257.31901991061619</c:v>
                </c:pt>
                <c:pt idx="4" formatCode="0">
                  <c:v>264.49502859820183</c:v>
                </c:pt>
                <c:pt idx="5" formatCode="0">
                  <c:v>291.90407791226306</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2017</c:v>
                </c:pt>
                <c:pt idx="1">
                  <c:v>2018</c:v>
                </c:pt>
                <c:pt idx="2">
                  <c:v>2019</c:v>
                </c:pt>
                <c:pt idx="3">
                  <c:v>2020</c:v>
                </c:pt>
                <c:pt idx="4">
                  <c:v>2021</c:v>
                </c:pt>
                <c:pt idx="5">
                  <c:v>2022*</c:v>
                </c:pt>
              </c:strCache>
            </c:strRef>
          </c:cat>
          <c:val>
            <c:numRef>
              <c:f>'39'!$F$8:$F$13</c:f>
              <c:numCache>
                <c:formatCode>#,##0</c:formatCode>
                <c:ptCount val="6"/>
                <c:pt idx="0">
                  <c:v>178</c:v>
                </c:pt>
                <c:pt idx="1">
                  <c:v>169.25566820801745</c:v>
                </c:pt>
                <c:pt idx="2">
                  <c:v>207.776432</c:v>
                </c:pt>
                <c:pt idx="3" formatCode="0">
                  <c:v>200.62101157614845</c:v>
                </c:pt>
                <c:pt idx="4" formatCode="0">
                  <c:v>268.66382933764186</c:v>
                </c:pt>
                <c:pt idx="5" formatCode="0">
                  <c:v>425.24382593753063</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2017</c:v>
                </c:pt>
                <c:pt idx="1">
                  <c:v>2018</c:v>
                </c:pt>
                <c:pt idx="2">
                  <c:v>2019</c:v>
                </c:pt>
                <c:pt idx="3">
                  <c:v>2020</c:v>
                </c:pt>
                <c:pt idx="4">
                  <c:v>2021</c:v>
                </c:pt>
                <c:pt idx="5">
                  <c:v>2022*</c:v>
                </c:pt>
              </c:strCache>
            </c:strRef>
          </c:cat>
          <c:val>
            <c:numRef>
              <c:f>'39'!$G$8:$G$13</c:f>
              <c:numCache>
                <c:formatCode>#,##0</c:formatCode>
                <c:ptCount val="6"/>
                <c:pt idx="0">
                  <c:v>351</c:v>
                </c:pt>
                <c:pt idx="1">
                  <c:v>399.55360741689088</c:v>
                </c:pt>
                <c:pt idx="2">
                  <c:v>393.02788645411334</c:v>
                </c:pt>
                <c:pt idx="3" formatCode="0">
                  <c:v>382.46888508762504</c:v>
                </c:pt>
                <c:pt idx="4" formatCode="0">
                  <c:v>470.49695920919117</c:v>
                </c:pt>
                <c:pt idx="5" formatCode="0">
                  <c:v>542.54374866273804</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2017</c:v>
                      </c:pt>
                      <c:pt idx="1">
                        <c:v>2018</c:v>
                      </c:pt>
                      <c:pt idx="2">
                        <c:v>2019</c:v>
                      </c:pt>
                      <c:pt idx="3">
                        <c:v>2020</c:v>
                      </c:pt>
                      <c:pt idx="4">
                        <c:v>2021</c:v>
                      </c:pt>
                      <c:pt idx="5">
                        <c:v>2022*</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2018 - 2022</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'40'!$G$7:$G$17</c:f>
              <c:numCache>
                <c:formatCode>#,##0_ ;\-#,##0\ </c:formatCode>
                <c:ptCount val="11"/>
                <c:pt idx="2">
                  <c:v>30508.333333333332</c:v>
                </c:pt>
                <c:pt idx="3">
                  <c:v>30635.616438356163</c:v>
                </c:pt>
                <c:pt idx="4" formatCode="#,##0">
                  <c:v>30819.512195121952</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2000"/>
          <c:min val="108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'42'!$B$6:$B$22</c:f>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'42'!$C$6:$C$22</c:f>
              <c:numCache>
                <c:formatCode>#,##0</c:formatCode>
                <c:ptCount val="17"/>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'42'!$B$6:$B$22</c:f>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'42'!$D$6:$D$22</c:f>
              <c:numCache>
                <c:formatCode>#,##0</c:formatCode>
                <c:ptCount val="17"/>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'42'!$B$6:$B$22</c:f>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'42'!$E$6:$E$22</c:f>
              <c:numCache>
                <c:formatCode>#,##0</c:formatCode>
                <c:ptCount val="17"/>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'42'!$B$6:$B$22</c:f>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'42'!$F$6:$F$22</c:f>
              <c:numCache>
                <c:formatCode>#,##0</c:formatCode>
                <c:ptCount val="17"/>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'42'!$B$6:$B$22</c:f>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'42'!$G$6:$G$22</c:f>
              <c:numCache>
                <c:formatCode>#,##0</c:formatCode>
                <c:ptCount val="17"/>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ext xmlns:c15="http://schemas.microsoft.com/office/drawing/2012/chart" uri="{02D57815-91ED-43cb-92C2-25804820EDAC}">
            <c15:filteredLineSeries>
              <c15:ser>
                <c:idx val="5"/>
                <c:order val="5"/>
                <c:cat>
                  <c:numRef>
                    <c:extLst>
                      <c:ext uri="{02D57815-91ED-43cb-92C2-25804820EDAC}">
                        <c15:formulaRef>
                          <c15:sqref>'42'!$B$6:$B$22</c15:sqref>
                        </c15:formulaRef>
                      </c:ext>
                    </c:extLst>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Lit>
                    <c:formatCode>General</c:formatCode>
                    <c:ptCount val="1"/>
                    <c:pt idx="0">
                      <c:v>204373.93</c:v>
                    </c:pt>
                  </c:numLit>
                </c:val>
                <c:smooth val="0"/>
                <c:extLst>
                  <c:ext xmlns:c16="http://schemas.microsoft.com/office/drawing/2014/chart" uri="{C3380CC4-5D6E-409C-BE32-E72D297353CC}">
                    <c16:uniqueId val="{00000001-62C6-4DCE-A2E5-38F90A3FE4F0}"/>
                  </c:ext>
                </c:extLst>
              </c15:ser>
            </c15:filteredLineSeries>
            <c15:filteredLineSeries>
              <c15:ser>
                <c:idx val="6"/>
                <c:order val="6"/>
                <c:cat>
                  <c:numRef>
                    <c:extLst xmlns:c15="http://schemas.microsoft.com/office/drawing/2012/chart">
                      <c:ext xmlns:c15="http://schemas.microsoft.com/office/drawing/2012/chart" uri="{02D57815-91ED-43cb-92C2-25804820EDAC}">
                        <c15:formulaRef>
                          <c15:sqref>'42'!$B$6:$B$22</c15:sqref>
                        </c15:formulaRef>
                      </c:ext>
                    </c:extLst>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Lit>
                    <c:formatCode>General</c:formatCode>
                    <c:ptCount val="1"/>
                    <c:pt idx="0">
                      <c:v>217262.08320000002</c:v>
                    </c:pt>
                  </c:numLit>
                </c:val>
                <c:smooth val="0"/>
                <c:extLst xmlns:c15="http://schemas.microsoft.com/office/drawing/2012/chart">
                  <c:ext xmlns:c16="http://schemas.microsoft.com/office/drawing/2014/chart" uri="{C3380CC4-5D6E-409C-BE32-E72D297353CC}">
                    <c16:uniqueId val="{00000002-62C6-4DCE-A2E5-38F90A3FE4F0}"/>
                  </c:ext>
                </c:extLst>
              </c15:ser>
            </c15:filteredLineSeries>
            <c15:filteredLineSeries>
              <c15:ser>
                <c:idx val="7"/>
                <c:order val="7"/>
                <c:cat>
                  <c:numRef>
                    <c:extLst xmlns:c15="http://schemas.microsoft.com/office/drawing/2012/chart">
                      <c:ext xmlns:c15="http://schemas.microsoft.com/office/drawing/2012/chart" uri="{02D57815-91ED-43cb-92C2-25804820EDAC}">
                        <c15:formulaRef>
                          <c15:sqref>'42'!$B$6:$B$22</c15:sqref>
                        </c15:formulaRef>
                      </c:ext>
                    </c:extLst>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Lit>
                    <c:formatCode>General</c:formatCode>
                    <c:ptCount val="1"/>
                    <c:pt idx="0">
                      <c:v>270000</c:v>
                    </c:pt>
                  </c:numLit>
                </c:val>
                <c:smooth val="0"/>
                <c:extLst xmlns:c15="http://schemas.microsoft.com/office/drawing/2012/chart">
                  <c:ext xmlns:c16="http://schemas.microsoft.com/office/drawing/2014/chart" uri="{C3380CC4-5D6E-409C-BE32-E72D297353CC}">
                    <c16:uniqueId val="{00000003-62C6-4DCE-A2E5-38F90A3FE4F0}"/>
                  </c:ext>
                </c:extLst>
              </c15:ser>
            </c15:filteredLineSeries>
            <c15:filteredLineSeries>
              <c15:ser>
                <c:idx val="8"/>
                <c:order val="8"/>
                <c:cat>
                  <c:numRef>
                    <c:extLst xmlns:c15="http://schemas.microsoft.com/office/drawing/2012/chart">
                      <c:ext xmlns:c15="http://schemas.microsoft.com/office/drawing/2012/chart" uri="{02D57815-91ED-43cb-92C2-25804820EDAC}">
                        <c15:formulaRef>
                          <c15:sqref>'42'!$B$6:$B$22</c15:sqref>
                        </c15:formulaRef>
                      </c:ext>
                    </c:extLst>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Lit>
                    <c:formatCode>General</c:formatCode>
                    <c:ptCount val="1"/>
                    <c:pt idx="0">
                      <c:v>257811.95759666667</c:v>
                    </c:pt>
                  </c:numLit>
                </c:val>
                <c:smooth val="0"/>
                <c:extLst xmlns:c15="http://schemas.microsoft.com/office/drawing/2012/chart">
                  <c:ext xmlns:c16="http://schemas.microsoft.com/office/drawing/2014/chart" uri="{C3380CC4-5D6E-409C-BE32-E72D297353CC}">
                    <c16:uniqueId val="{00000004-62C6-4DCE-A2E5-38F90A3FE4F0}"/>
                  </c:ext>
                </c:extLst>
              </c15:ser>
            </c15:filteredLineSeries>
            <c15:filteredLineSeries>
              <c15:ser>
                <c:idx val="9"/>
                <c:order val="9"/>
                <c:cat>
                  <c:numRef>
                    <c:extLst xmlns:c15="http://schemas.microsoft.com/office/drawing/2012/chart">
                      <c:ext xmlns:c15="http://schemas.microsoft.com/office/drawing/2012/chart" uri="{02D57815-91ED-43cb-92C2-25804820EDAC}">
                        <c15:formulaRef>
                          <c15:sqref>'42'!$B$6:$B$22</c15:sqref>
                        </c15:formulaRef>
                      </c:ext>
                    </c:extLst>
                    <c:numCache>
                      <c:formatCode>mmm/yyyy;@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Lit>
                    <c:formatCode>General</c:formatCode>
                    <c:ptCount val="1"/>
                    <c:pt idx="0">
                      <c:v>268216.5852733333</c:v>
                    </c:pt>
                  </c:numLit>
                </c:val>
                <c:smooth val="0"/>
                <c:extLst xmlns:c15="http://schemas.microsoft.com/office/drawing/2012/chart">
                  <c:ext xmlns:c16="http://schemas.microsoft.com/office/drawing/2014/chart" uri="{C3380CC4-5D6E-409C-BE32-E72D297353CC}">
                    <c16:uniqueId val="{00000005-62C6-4DCE-A2E5-38F90A3FE4F0}"/>
                  </c:ext>
                </c:extLst>
              </c15:ser>
            </c15:filteredLineSeries>
          </c:ext>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0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01 de junio de 2021 hasta el 16 de mayo de 2022</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1"/>
          <c:order val="0"/>
          <c:tx>
            <c:strRef>
              <c:f>'43'!$Q$1</c:f>
              <c:strCache>
                <c:ptCount val="1"/>
                <c:pt idx="0">
                  <c:v>jul-22</c:v>
                </c:pt>
              </c:strCache>
            </c:strRef>
          </c:tx>
          <c:spPr>
            <a:ln w="28575" cap="rnd">
              <a:solidFill>
                <a:schemeClr val="accent2"/>
              </a:solidFill>
              <a:round/>
            </a:ln>
            <a:effectLst/>
          </c:spPr>
          <c:marker>
            <c:symbol val="none"/>
          </c:marker>
          <c:cat>
            <c:numRef>
              <c:f>'43'!$G$15:$M$69</c:f>
              <c:numCache>
                <c:formatCode>m/d/yyyy</c:formatCode>
                <c:ptCount val="55"/>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numCache>
            </c:numRef>
          </c:cat>
          <c:val>
            <c:numRef>
              <c:f>'43'!$Q$15:$Q$69</c:f>
              <c:numCache>
                <c:formatCode>0</c:formatCode>
                <c:ptCount val="55"/>
                <c:pt idx="0">
                  <c:v>215.22798</c:v>
                </c:pt>
                <c:pt idx="1">
                  <c:v>224.32211999999998</c:v>
                </c:pt>
                <c:pt idx="2">
                  <c:v>217.89192</c:v>
                </c:pt>
                <c:pt idx="3">
                  <c:v>209.07335999999998</c:v>
                </c:pt>
                <c:pt idx="4">
                  <c:v>205.95012</c:v>
                </c:pt>
                <c:pt idx="5">
                  <c:v>201.72456</c:v>
                </c:pt>
                <c:pt idx="6">
                  <c:v>200.89782</c:v>
                </c:pt>
                <c:pt idx="7">
                  <c:v>207.32801999999998</c:v>
                </c:pt>
                <c:pt idx="8">
                  <c:v>205.39895999999999</c:v>
                </c:pt>
                <c:pt idx="9">
                  <c:v>210.17568</c:v>
                </c:pt>
                <c:pt idx="10">
                  <c:v>208.61405999999999</c:v>
                </c:pt>
                <c:pt idx="11">
                  <c:v>213.11519999999999</c:v>
                </c:pt>
                <c:pt idx="12">
                  <c:v>200.7141</c:v>
                </c:pt>
                <c:pt idx="13">
                  <c:v>204.02106000000001</c:v>
                </c:pt>
                <c:pt idx="14">
                  <c:v>193.91646</c:v>
                </c:pt>
                <c:pt idx="15">
                  <c:v>193.45715999999999</c:v>
                </c:pt>
                <c:pt idx="16">
                  <c:v>196.02923999999999</c:v>
                </c:pt>
                <c:pt idx="17">
                  <c:v>202.5513</c:v>
                </c:pt>
                <c:pt idx="18">
                  <c:v>204.11292</c:v>
                </c:pt>
                <c:pt idx="19">
                  <c:v>201.54084</c:v>
                </c:pt>
                <c:pt idx="20">
                  <c:v>199.97922</c:v>
                </c:pt>
                <c:pt idx="21">
                  <c:v>202.5513</c:v>
                </c:pt>
                <c:pt idx="22">
                  <c:v>216.42215999999999</c:v>
                </c:pt>
                <c:pt idx="23">
                  <c:v>208.79777999999999</c:v>
                </c:pt>
                <c:pt idx="24">
                  <c:v>216.51401999999999</c:v>
                </c:pt>
                <c:pt idx="25">
                  <c:v>216.60587999999998</c:v>
                </c:pt>
                <c:pt idx="26">
                  <c:v>215.50355999999999</c:v>
                </c:pt>
                <c:pt idx="27">
                  <c:v>215.22798</c:v>
                </c:pt>
                <c:pt idx="28">
                  <c:v>215.68727999999999</c:v>
                </c:pt>
                <c:pt idx="29">
                  <c:v>216.69773999999998</c:v>
                </c:pt>
                <c:pt idx="30">
                  <c:v>226.25118000000001</c:v>
                </c:pt>
                <c:pt idx="31">
                  <c:v>216.69773999999998</c:v>
                </c:pt>
                <c:pt idx="32">
                  <c:v>220.09655999999998</c:v>
                </c:pt>
                <c:pt idx="33">
                  <c:v>219.17795999999998</c:v>
                </c:pt>
                <c:pt idx="34">
                  <c:v>224.41397999999998</c:v>
                </c:pt>
                <c:pt idx="35">
                  <c:v>227.53721999999999</c:v>
                </c:pt>
                <c:pt idx="36">
                  <c:v>232.86509999999998</c:v>
                </c:pt>
                <c:pt idx="37">
                  <c:v>239.01972000000001</c:v>
                </c:pt>
                <c:pt idx="38">
                  <c:v>244.43946</c:v>
                </c:pt>
                <c:pt idx="39">
                  <c:v>248.75688</c:v>
                </c:pt>
                <c:pt idx="40">
                  <c:v>267.22073999999998</c:v>
                </c:pt>
                <c:pt idx="41">
                  <c:v>264.00563999999997</c:v>
                </c:pt>
                <c:pt idx="42">
                  <c:v>267.58817999999997</c:v>
                </c:pt>
                <c:pt idx="43">
                  <c:v>268.41492</c:v>
                </c:pt>
                <c:pt idx="44">
                  <c:v>271.63002</c:v>
                </c:pt>
                <c:pt idx="45">
                  <c:v>278.79509999999999</c:v>
                </c:pt>
                <c:pt idx="46">
                  <c:v>296.52407999999997</c:v>
                </c:pt>
                <c:pt idx="47">
                  <c:v>293.21711999999997</c:v>
                </c:pt>
                <c:pt idx="48">
                  <c:v>295.24</c:v>
                </c:pt>
                <c:pt idx="49">
                  <c:v>283.66368</c:v>
                </c:pt>
                <c:pt idx="50">
                  <c:v>297.44268</c:v>
                </c:pt>
                <c:pt idx="51">
                  <c:v>288.8997</c:v>
                </c:pt>
                <c:pt idx="52">
                  <c:v>276.86604</c:v>
                </c:pt>
                <c:pt idx="53">
                  <c:v>272.82420000000002</c:v>
                </c:pt>
                <c:pt idx="54">
                  <c:v>282.64999999999998</c:v>
                </c:pt>
              </c:numCache>
            </c:numRef>
          </c:val>
          <c:smooth val="0"/>
          <c:extLst>
            <c:ext xmlns:c16="http://schemas.microsoft.com/office/drawing/2014/chart" uri="{C3380CC4-5D6E-409C-BE32-E72D297353CC}">
              <c16:uniqueId val="{00000001-1B85-4849-BB64-68DB753FBA4B}"/>
            </c:ext>
          </c:extLst>
        </c:ser>
        <c:ser>
          <c:idx val="2"/>
          <c:order val="1"/>
          <c:tx>
            <c:strRef>
              <c:f>'43'!$M$1</c:f>
              <c:strCache>
                <c:ptCount val="1"/>
                <c:pt idx="0">
                  <c:v>mar-22</c:v>
                </c:pt>
              </c:strCache>
            </c:strRef>
          </c:tx>
          <c:spPr>
            <a:ln w="28575" cap="rnd">
              <a:solidFill>
                <a:schemeClr val="accent3"/>
              </a:solidFill>
              <a:round/>
            </a:ln>
            <a:effectLst/>
          </c:spPr>
          <c:marker>
            <c:symbol val="none"/>
          </c:marker>
          <c:cat>
            <c:numRef>
              <c:f>'43'!$G$15:$M$69</c:f>
              <c:numCache>
                <c:formatCode>m/d/yyyy</c:formatCode>
                <c:ptCount val="55"/>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numCache>
            </c:numRef>
          </c:cat>
          <c:val>
            <c:numRef>
              <c:f>'43'!$M$15:$M$54</c:f>
            </c:numRef>
          </c:val>
          <c:smooth val="0"/>
          <c:extLst>
            <c:ext xmlns:c16="http://schemas.microsoft.com/office/drawing/2014/chart" uri="{C3380CC4-5D6E-409C-BE32-E72D297353CC}">
              <c16:uniqueId val="{00000003-1BC0-4B13-9657-49CA371905FE}"/>
            </c:ext>
          </c:extLst>
        </c:ser>
        <c:ser>
          <c:idx val="3"/>
          <c:order val="2"/>
          <c:tx>
            <c:strRef>
              <c:f>'43'!$U$1</c:f>
              <c:strCache>
                <c:ptCount val="1"/>
                <c:pt idx="0">
                  <c:v>dic-22</c:v>
                </c:pt>
              </c:strCache>
            </c:strRef>
          </c:tx>
          <c:spPr>
            <a:ln w="28575" cap="rnd">
              <a:solidFill>
                <a:schemeClr val="accent4"/>
              </a:solidFill>
              <a:round/>
            </a:ln>
            <a:effectLst/>
          </c:spPr>
          <c:marker>
            <c:symbol val="none"/>
          </c:marker>
          <c:cat>
            <c:numRef>
              <c:f>'43'!$G$15:$M$69</c:f>
              <c:numCache>
                <c:formatCode>m/d/yyyy</c:formatCode>
                <c:ptCount val="55"/>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numCache>
            </c:numRef>
          </c:cat>
          <c:val>
            <c:numRef>
              <c:f>'43'!$U$15:$U$69</c:f>
              <c:numCache>
                <c:formatCode>General</c:formatCode>
                <c:ptCount val="55"/>
                <c:pt idx="10" formatCode="0">
                  <c:v>190.88507999999999</c:v>
                </c:pt>
                <c:pt idx="11" formatCode="0">
                  <c:v>190.15019999999998</c:v>
                </c:pt>
                <c:pt idx="12" formatCode="0">
                  <c:v>183.90371999999999</c:v>
                </c:pt>
                <c:pt idx="13" formatCode="0">
                  <c:v>187.66997999999998</c:v>
                </c:pt>
                <c:pt idx="14" formatCode="0">
                  <c:v>182.70954</c:v>
                </c:pt>
                <c:pt idx="15" formatCode="0">
                  <c:v>183.16883999999999</c:v>
                </c:pt>
                <c:pt idx="16" formatCode="0">
                  <c:v>184.36302000000001</c:v>
                </c:pt>
                <c:pt idx="17" formatCode="0">
                  <c:v>190.33392000000001</c:v>
                </c:pt>
                <c:pt idx="18" formatCode="0">
                  <c:v>196.30482000000001</c:v>
                </c:pt>
                <c:pt idx="19" formatCode="0">
                  <c:v>193.73274000000001</c:v>
                </c:pt>
                <c:pt idx="20" formatCode="0">
                  <c:v>193.91646</c:v>
                </c:pt>
                <c:pt idx="21" formatCode="0">
                  <c:v>195.93737999999999</c:v>
                </c:pt>
                <c:pt idx="22" formatCode="0">
                  <c:v>204.02106000000001</c:v>
                </c:pt>
                <c:pt idx="23" formatCode="0">
                  <c:v>197.86643999999998</c:v>
                </c:pt>
                <c:pt idx="24" formatCode="0">
                  <c:v>202.5513</c:v>
                </c:pt>
                <c:pt idx="25" formatCode="0">
                  <c:v>205.30709999999999</c:v>
                </c:pt>
                <c:pt idx="26" formatCode="0">
                  <c:v>204.38849999999999</c:v>
                </c:pt>
                <c:pt idx="27" formatCode="0">
                  <c:v>203.01059999999998</c:v>
                </c:pt>
                <c:pt idx="28" formatCode="0">
                  <c:v>199.33619999999999</c:v>
                </c:pt>
                <c:pt idx="29" formatCode="0">
                  <c:v>200.16293999999999</c:v>
                </c:pt>
                <c:pt idx="30" formatCode="0">
                  <c:v>204.66407999999998</c:v>
                </c:pt>
                <c:pt idx="31" formatCode="0">
                  <c:v>201.17339999999999</c:v>
                </c:pt>
                <c:pt idx="32" formatCode="0">
                  <c:v>204.66407999999998</c:v>
                </c:pt>
                <c:pt idx="33" formatCode="0">
                  <c:v>204.93966</c:v>
                </c:pt>
                <c:pt idx="34" formatCode="0">
                  <c:v>208.5222</c:v>
                </c:pt>
                <c:pt idx="35" formatCode="0">
                  <c:v>210.72683999999998</c:v>
                </c:pt>
                <c:pt idx="36" formatCode="0">
                  <c:v>213.48264</c:v>
                </c:pt>
                <c:pt idx="37" formatCode="0">
                  <c:v>219.82097999999999</c:v>
                </c:pt>
                <c:pt idx="38" formatCode="0">
                  <c:v>222.57677999999999</c:v>
                </c:pt>
                <c:pt idx="39" formatCode="0">
                  <c:v>223.12794</c:v>
                </c:pt>
                <c:pt idx="40" formatCode="0">
                  <c:v>236.17205999999999</c:v>
                </c:pt>
                <c:pt idx="41" formatCode="0">
                  <c:v>239.75459999999998</c:v>
                </c:pt>
                <c:pt idx="42" formatCode="0">
                  <c:v>243.98015999999998</c:v>
                </c:pt>
                <c:pt idx="43" formatCode="0">
                  <c:v>244.16388000000001</c:v>
                </c:pt>
                <c:pt idx="44" formatCode="0">
                  <c:v>256.84055999999998</c:v>
                </c:pt>
                <c:pt idx="45" formatCode="0">
                  <c:v>263.82191999999998</c:v>
                </c:pt>
                <c:pt idx="46" formatCode="0">
                  <c:v>275.48813999999999</c:v>
                </c:pt>
                <c:pt idx="47" formatCode="0">
                  <c:v>269.70096000000001</c:v>
                </c:pt>
                <c:pt idx="48" formatCode="0">
                  <c:v>272.73</c:v>
                </c:pt>
                <c:pt idx="49" formatCode="0">
                  <c:v>261.15798000000001</c:v>
                </c:pt>
                <c:pt idx="50" formatCode="0">
                  <c:v>281.27531999999997</c:v>
                </c:pt>
                <c:pt idx="51" formatCode="0">
                  <c:v>271.53816</c:v>
                </c:pt>
                <c:pt idx="52" formatCode="0">
                  <c:v>261.43356</c:v>
                </c:pt>
                <c:pt idx="53" formatCode="0">
                  <c:v>258.1266</c:v>
                </c:pt>
                <c:pt idx="54" formatCode="0">
                  <c:v>265.11</c:v>
                </c:pt>
              </c:numCache>
            </c:numRef>
          </c:val>
          <c:smooth val="0"/>
          <c:extLst>
            <c:ext xmlns:c16="http://schemas.microsoft.com/office/drawing/2014/chart" uri="{C3380CC4-5D6E-409C-BE32-E72D297353CC}">
              <c16:uniqueId val="{00000004-1BC0-4B13-9657-49CA371905FE}"/>
            </c:ext>
          </c:extLst>
        </c:ser>
        <c:ser>
          <c:idx val="0"/>
          <c:order val="3"/>
          <c:tx>
            <c:strRef>
              <c:f>'43'!$V$1</c:f>
              <c:strCache>
                <c:ptCount val="1"/>
                <c:pt idx="0">
                  <c:v>mar-23</c:v>
                </c:pt>
              </c:strCache>
            </c:strRef>
          </c:tx>
          <c:spPr>
            <a:ln w="28575" cap="rnd">
              <a:solidFill>
                <a:schemeClr val="accent1"/>
              </a:solidFill>
              <a:round/>
            </a:ln>
            <a:effectLst/>
          </c:spPr>
          <c:marker>
            <c:symbol val="none"/>
          </c:marker>
          <c:val>
            <c:numRef>
              <c:f>'43'!$V$15:$V$69</c:f>
              <c:numCache>
                <c:formatCode>General</c:formatCode>
                <c:ptCount val="55"/>
                <c:pt idx="31" formatCode="0">
                  <c:v>203.83733999999998</c:v>
                </c:pt>
                <c:pt idx="32" formatCode="0">
                  <c:v>207.51174</c:v>
                </c:pt>
                <c:pt idx="33" formatCode="0">
                  <c:v>207.78731999999999</c:v>
                </c:pt>
                <c:pt idx="34" formatCode="0">
                  <c:v>211.27799999999999</c:v>
                </c:pt>
                <c:pt idx="35" formatCode="0">
                  <c:v>213.48264</c:v>
                </c:pt>
                <c:pt idx="36" formatCode="0">
                  <c:v>215.96286000000001</c:v>
                </c:pt>
                <c:pt idx="37" formatCode="0">
                  <c:v>222.39305999999999</c:v>
                </c:pt>
                <c:pt idx="38" formatCode="0">
                  <c:v>225.14885999999998</c:v>
                </c:pt>
                <c:pt idx="39" formatCode="0">
                  <c:v>224.96513999999999</c:v>
                </c:pt>
                <c:pt idx="40" formatCode="0">
                  <c:v>234.97788</c:v>
                </c:pt>
                <c:pt idx="41" formatCode="0">
                  <c:v>239.01972000000001</c:v>
                </c:pt>
                <c:pt idx="42" formatCode="0">
                  <c:v>244.25574</c:v>
                </c:pt>
                <c:pt idx="43" formatCode="0">
                  <c:v>244.80689999999998</c:v>
                </c:pt>
                <c:pt idx="44" formatCode="0">
                  <c:v>257.57544000000001</c:v>
                </c:pt>
                <c:pt idx="45" formatCode="0">
                  <c:v>264.37308000000002</c:v>
                </c:pt>
                <c:pt idx="46" formatCode="0">
                  <c:v>276.03929999999997</c:v>
                </c:pt>
                <c:pt idx="47" formatCode="0">
                  <c:v>270.98699999999997</c:v>
                </c:pt>
                <c:pt idx="48" formatCode="0">
                  <c:v>274.11</c:v>
                </c:pt>
                <c:pt idx="49" formatCode="0">
                  <c:v>262.62774000000002</c:v>
                </c:pt>
                <c:pt idx="50" formatCode="0">
                  <c:v>282.19391999999999</c:v>
                </c:pt>
                <c:pt idx="51" formatCode="0">
                  <c:v>272.64047999999997</c:v>
                </c:pt>
                <c:pt idx="52" formatCode="0">
                  <c:v>263.27076</c:v>
                </c:pt>
                <c:pt idx="53" formatCode="0">
                  <c:v>259.87194</c:v>
                </c:pt>
                <c:pt idx="54" formatCode="0">
                  <c:v>266.95</c:v>
                </c:pt>
              </c:numCache>
            </c:numRef>
          </c:val>
          <c:smooth val="0"/>
          <c:extLst>
            <c:ext xmlns:c16="http://schemas.microsoft.com/office/drawing/2014/chart" uri="{C3380CC4-5D6E-409C-BE32-E72D297353CC}">
              <c16:uniqueId val="{00000000-3D21-4679-A9F7-FC8E57BBF8AD}"/>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3422578285340891"/>
          <c:y val="0.88873075557868653"/>
          <c:w val="0.71529574640845328"/>
          <c:h val="0.1112692444213133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2022/23</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'44'!$D$6:$D$16</c:f>
              <c:numCache>
                <c:formatCode>0</c:formatCode>
                <c:ptCount val="11"/>
                <c:pt idx="0">
                  <c:v>514.63</c:v>
                </c:pt>
                <c:pt idx="1">
                  <c:v>515.35</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'44'!$E$6:$E$17</c:f>
              <c:numCache>
                <c:formatCode>0</c:formatCode>
                <c:ptCount val="12"/>
                <c:pt idx="0">
                  <c:v>518.44000000000005</c:v>
                </c:pt>
                <c:pt idx="1">
                  <c:v>519.22</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mayo 2022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32404412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'45'!$D$6:$D$15</c:f>
              <c:numCache>
                <c:formatCode>0</c:formatCode>
                <c:ptCount val="10"/>
                <c:pt idx="0">
                  <c:v>478.42</c:v>
                </c:pt>
                <c:pt idx="1">
                  <c:v>478.7</c:v>
                </c:pt>
                <c:pt idx="2">
                  <c:v>472.94</c:v>
                </c:pt>
                <c:pt idx="3">
                  <c:v>490.95</c:v>
                </c:pt>
                <c:pt idx="4">
                  <c:v>494.92</c:v>
                </c:pt>
                <c:pt idx="5">
                  <c:v>497.34</c:v>
                </c:pt>
                <c:pt idx="6">
                  <c:v>498.82</c:v>
                </c:pt>
                <c:pt idx="7">
                  <c:v>509.31</c:v>
                </c:pt>
                <c:pt idx="8">
                  <c:v>513.66999999999996</c:v>
                </c:pt>
                <c:pt idx="9">
                  <c:v>515.35</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'45'!$E$6:$E$15</c:f>
              <c:numCache>
                <c:formatCode>0</c:formatCode>
                <c:ptCount val="10"/>
                <c:pt idx="0">
                  <c:v>481.56</c:v>
                </c:pt>
                <c:pt idx="1">
                  <c:v>478.09</c:v>
                </c:pt>
                <c:pt idx="2">
                  <c:v>468.09</c:v>
                </c:pt>
                <c:pt idx="3">
                  <c:v>483.69</c:v>
                </c:pt>
                <c:pt idx="4">
                  <c:v>482.28</c:v>
                </c:pt>
                <c:pt idx="5">
                  <c:v>484.59</c:v>
                </c:pt>
                <c:pt idx="6">
                  <c:v>493.74</c:v>
                </c:pt>
                <c:pt idx="7">
                  <c:v>503.57</c:v>
                </c:pt>
                <c:pt idx="8">
                  <c:v>514.38</c:v>
                </c:pt>
                <c:pt idx="9">
                  <c:v>519.22</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a:prstDash val="sysDot"/>
            </a:ln>
          </c:spPr>
          <c:marker>
            <c:symbol val="none"/>
          </c:marker>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'45'!$G$6:$G$15</c:f>
              <c:numCache>
                <c:formatCode>0%</c:formatCode>
                <c:ptCount val="10"/>
                <c:pt idx="0">
                  <c:v>0.22319129495805301</c:v>
                </c:pt>
                <c:pt idx="1">
                  <c:v>0.23922274048819261</c:v>
                </c:pt>
                <c:pt idx="2">
                  <c:v>0.28357794441239936</c:v>
                </c:pt>
                <c:pt idx="3">
                  <c:v>0.30988856498997291</c:v>
                </c:pt>
                <c:pt idx="4">
                  <c:v>0.33700340051422412</c:v>
                </c:pt>
                <c:pt idx="5">
                  <c:v>0.36420479167956421</c:v>
                </c:pt>
                <c:pt idx="6">
                  <c:v>0.36808846761453395</c:v>
                </c:pt>
                <c:pt idx="7">
                  <c:v>0.37295708640308201</c:v>
                </c:pt>
                <c:pt idx="8">
                  <c:v>0.36414712858198223</c:v>
                </c:pt>
                <c:pt idx="9">
                  <c:v>0.35873040329725353</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'50'!$C$8:$C$18</c:f>
              <c:numCache>
                <c:formatCode>#,##0_);\(#,##0\)</c:formatCode>
                <c:ptCount val="11"/>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'50'!$D$8:$D$18</c:f>
              <c:numCache>
                <c:formatCode>#,##0_);\(#,##0\)</c:formatCode>
                <c:ptCount val="11"/>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'50'!$F$8:$F$18</c:f>
              <c:numCache>
                <c:formatCode>#,##0_);\(#,##0\)</c:formatCode>
                <c:ptCount val="11"/>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numCache>
            </c:numRef>
          </c:val>
          <c:extLst>
            <c:ext xmlns:c16="http://schemas.microsoft.com/office/drawing/2014/chart" uri="{C3380CC4-5D6E-409C-BE32-E72D297353CC}">
              <c16:uniqueId val="{00000001-6043-483F-9B20-8BDF2D1F9613}"/>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331785551798294"/>
          <c:y val="0.74198869788137667"/>
          <c:w val="0.61202099737532811"/>
          <c:h val="0.215429362090608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c:v>1203.3089100000002</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2022 (%)</a:t>
            </a:r>
          </a:p>
        </c:rich>
      </c:tx>
      <c:layout>
        <c:manualLayout>
          <c:xMode val="edge"/>
          <c:yMode val="edge"/>
          <c:x val="0.25903777179367732"/>
          <c:y val="2.7514180791435222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9487844322489992"/>
          <c:y val="0.24043966756023155"/>
          <c:w val="0.48631360473880159"/>
          <c:h val="0.75102244556676945"/>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24"/>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0.13128661947559586"/>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0.5635484985756839</c:v>
                </c:pt>
                <c:pt idx="1">
                  <c:v>8.7897166432103546E-2</c:v>
                </c:pt>
                <c:pt idx="2">
                  <c:v>5.7516147211346957E-3</c:v>
                </c:pt>
                <c:pt idx="3">
                  <c:v>0.33052271882753426</c:v>
                </c:pt>
                <c:pt idx="4">
                  <c:v>1.2280001443543576E-2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'53'!$E$12:$E$15</c15:sqref>
                  </c15:fullRef>
                </c:ext>
              </c:extLst>
              <c:f>'53'!$E$13:$E$15</c:f>
              <c:numCache>
                <c:formatCode>#,##0</c:formatCode>
                <c:ptCount val="3"/>
                <c:pt idx="0">
                  <c:v>52918.822890000003</c:v>
                </c:pt>
                <c:pt idx="1">
                  <c:v>53219.585890000002</c:v>
                </c:pt>
                <c:pt idx="2">
                  <c:v>26037.90984</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'53'!$F$12:$F$15</c15:sqref>
                  </c15:fullRef>
                </c:ext>
              </c:extLst>
              <c:f>'53'!$F$13:$F$15</c:f>
              <c:numCache>
                <c:formatCode>#,##0</c:formatCode>
                <c:ptCount val="3"/>
                <c:pt idx="0">
                  <c:v>100601.82218000002</c:v>
                </c:pt>
                <c:pt idx="1">
                  <c:v>62602.326540000002</c:v>
                </c:pt>
                <c:pt idx="2">
                  <c:v>29209.939480000005</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'53'!$G$12:$G$15</c15:sqref>
                  </c15:fullRef>
                </c:ext>
              </c:extLst>
              <c:f>'53'!$G$13:$G$15</c:f>
              <c:numCache>
                <c:formatCode>#,##0</c:formatCode>
                <c:ptCount val="3"/>
                <c:pt idx="0">
                  <c:v>13833.749479999999</c:v>
                </c:pt>
                <c:pt idx="1">
                  <c:v>15387.177729999999</c:v>
                </c:pt>
                <c:pt idx="2">
                  <c:v>5604.6272399999998</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'53'!$H$12:$H$15</c15:sqref>
                  </c15:fullRef>
                </c:ext>
              </c:extLst>
              <c:f>'53'!$H$13:$H$15</c:f>
              <c:numCache>
                <c:formatCode>#,##0</c:formatCode>
                <c:ptCount val="3"/>
                <c:pt idx="0">
                  <c:v>167354.39455000003</c:v>
                </c:pt>
                <c:pt idx="1">
                  <c:v>131209.09016000002</c:v>
                </c:pt>
                <c:pt idx="2">
                  <c:v>60852.476560000003</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'53'!$I$12:$I$15</c15:sqref>
                  </c15:fullRef>
                </c:ext>
              </c:extLst>
              <c:f>'53'!$I$13:$I$15</c:f>
              <c:numCache>
                <c:formatCode>#,##0</c:formatCode>
                <c:ptCount val="3"/>
                <c:pt idx="0">
                  <c:v>30916.17628</c:v>
                </c:pt>
                <c:pt idx="1">
                  <c:v>41152.463060000002</c:v>
                </c:pt>
                <c:pt idx="2">
                  <c:v>9588.8703299999997</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2020 - 2022</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'54'!$B$14:$B$16</c:f>
              <c:strCache>
                <c:ptCount val="3"/>
                <c:pt idx="0">
                  <c:v>2020</c:v>
                </c:pt>
                <c:pt idx="1">
                  <c:v>2021</c:v>
                </c:pt>
                <c:pt idx="2">
                  <c:v>2022*</c:v>
                </c:pt>
              </c:strCache>
            </c:strRef>
          </c:cat>
          <c:val>
            <c:numRef>
              <c:f>'54'!$C$14:$C$16</c:f>
              <c:numCache>
                <c:formatCode>#,##0</c:formatCode>
                <c:ptCount val="3"/>
                <c:pt idx="0">
                  <c:v>572.19839573180616</c:v>
                </c:pt>
                <c:pt idx="1">
                  <c:v>629.16241319891003</c:v>
                </c:pt>
                <c:pt idx="2">
                  <c:v>618.75085196345185</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'54'!$B$14:$B$16</c:f>
              <c:strCache>
                <c:ptCount val="3"/>
                <c:pt idx="0">
                  <c:v>2020</c:v>
                </c:pt>
                <c:pt idx="1">
                  <c:v>2021</c:v>
                </c:pt>
                <c:pt idx="2">
                  <c:v>2022*</c:v>
                </c:pt>
              </c:strCache>
            </c:strRef>
          </c:cat>
          <c:val>
            <c:numRef>
              <c:f>'54'!$D$14:$D$16</c:f>
              <c:numCache>
                <c:formatCode>#,##0</c:formatCode>
                <c:ptCount val="3"/>
                <c:pt idx="0">
                  <c:v>505.45948706494579</c:v>
                </c:pt>
                <c:pt idx="1">
                  <c:v>534.64074898148556</c:v>
                </c:pt>
                <c:pt idx="2">
                  <c:v>501.93471902152561</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'54'!$B$14:$B$16</c:f>
              <c:strCache>
                <c:ptCount val="3"/>
                <c:pt idx="0">
                  <c:v>2020</c:v>
                </c:pt>
                <c:pt idx="1">
                  <c:v>2021</c:v>
                </c:pt>
                <c:pt idx="2">
                  <c:v>2022*</c:v>
                </c:pt>
              </c:strCache>
            </c:strRef>
          </c:cat>
          <c:val>
            <c:numRef>
              <c:f>'54'!$E$14:$E$16</c:f>
              <c:numCache>
                <c:formatCode>#,##0</c:formatCode>
                <c:ptCount val="3"/>
                <c:pt idx="0">
                  <c:v>574.76875640634387</c:v>
                </c:pt>
                <c:pt idx="1">
                  <c:v>640.48616495179488</c:v>
                </c:pt>
                <c:pt idx="2">
                  <c:v>534.32452945448051</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'54'!$B$14:$B$16</c:f>
              <c:strCache>
                <c:ptCount val="3"/>
                <c:pt idx="0">
                  <c:v>2020</c:v>
                </c:pt>
                <c:pt idx="1">
                  <c:v>2021</c:v>
                </c:pt>
                <c:pt idx="2">
                  <c:v>2022*</c:v>
                </c:pt>
              </c:strCache>
            </c:strRef>
          </c:cat>
          <c:val>
            <c:numRef>
              <c:f>'54'!$G$14:$G$16</c:f>
              <c:numCache>
                <c:formatCode>#,##0</c:formatCode>
                <c:ptCount val="3"/>
                <c:pt idx="0">
                  <c:v>380.60525246744896</c:v>
                </c:pt>
                <c:pt idx="1">
                  <c:v>428.26342897370228</c:v>
                </c:pt>
                <c:pt idx="2">
                  <c:v>429.48411619130059</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2019 - 2022</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'55'!$H$7:$H$16</c:f>
              <c:numCache>
                <c:formatCode>#,##0</c:formatCode>
                <c:ptCount val="10"/>
                <c:pt idx="3">
                  <c:v>258366.66666666663</c:v>
                </c:pt>
                <c:pt idx="4">
                  <c:v>267000.00000000006</c:v>
                </c:pt>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7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622235789628563"/>
          <c:y val="0.83302768836610275"/>
          <c:w val="0.75275231402235554"/>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'57'!$B$6:$B$33</c:f>
              <c:numCache>
                <c:formatCode>mmm\-yy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'57'!$F$6:$F$33</c:f>
              <c:numCache>
                <c:formatCode>#,##0_ ;\-#,##0\ </c:formatCode>
                <c:ptCount val="28"/>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'57'!$B$6:$B$33</c:f>
              <c:numCache>
                <c:formatCode>mmm\-yy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'57'!$H$6:$H$33</c:f>
              <c:numCache>
                <c:formatCode>#,##0_ ;\-#,##0\ </c:formatCode>
                <c:ptCount val="28"/>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'57'!$B$6:$B$33</c:f>
              <c:numCache>
                <c:formatCode>mmm\-yy</c:formatCode>
                <c:ptCount val="28"/>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numCache>
            </c:numRef>
          </c:cat>
          <c:val>
            <c:numRef>
              <c:f>'57'!$I$6:$I$33</c:f>
              <c:numCache>
                <c:formatCode>#,##0_ ;\-#,##0\ </c:formatCode>
                <c:ptCount val="28"/>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2012 - 2021</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'11'!$C$8:$C$17</c:f>
              <c:numCache>
                <c:formatCode>#,##0_);\(#,##0\)</c:formatCode>
                <c:ptCount val="10"/>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'11'!$E$8:$E$17</c:f>
              <c:numCache>
                <c:formatCode>#,##0_);\(#,##0\)</c:formatCode>
                <c:ptCount val="10"/>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1136918.7700699999</c:v>
                </c:pt>
                <c:pt idx="9" formatCode="#,##0">
                  <c:v>941695.05808999995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'11'!$I$8:$I$17</c:f>
              <c:numCache>
                <c:formatCode>#,##0_);\(#,##0\)</c:formatCode>
                <c:ptCount val="10"/>
                <c:pt idx="0">
                  <c:v>1930690</c:v>
                </c:pt>
                <c:pt idx="1">
                  <c:v>2255145.1968999999</c:v>
                </c:pt>
                <c:pt idx="2">
                  <c:v>1982815.0924499999</c:v>
                </c:pt>
                <c:pt idx="3">
                  <c:v>2068460.8859999999</c:v>
                </c:pt>
                <c:pt idx="4">
                  <c:v>2182578.9822200001</c:v>
                </c:pt>
                <c:pt idx="5">
                  <c:v>2276245.93915</c:v>
                </c:pt>
                <c:pt idx="6">
                  <c:v>2351088.2744100001</c:v>
                </c:pt>
                <c:pt idx="7">
                  <c:v>2372113.5389999999</c:v>
                </c:pt>
                <c:pt idx="8">
                  <c:v>2188740.8700700002</c:v>
                </c:pt>
                <c:pt idx="9">
                  <c:v>2145003.9680900001</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13 de junio de 2022</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2"/>
          <c:order val="0"/>
          <c:tx>
            <c:strRef>
              <c:f>'58'!$O$1</c:f>
              <c:strCache>
                <c:ptCount val="1"/>
                <c:pt idx="0">
                  <c:v>jul-22</c:v>
                </c:pt>
              </c:strCache>
            </c:strRef>
          </c:tx>
          <c:marker>
            <c:symbol val="none"/>
          </c:marker>
          <c:cat>
            <c:numRef>
              <c:f>'58'!$G$13:$G$57</c:f>
              <c:numCache>
                <c:formatCode>m/d/yyyy</c:formatCode>
                <c:ptCount val="45"/>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pt idx="30">
                  <c:v>44627</c:v>
                </c:pt>
                <c:pt idx="31">
                  <c:v>44634</c:v>
                </c:pt>
                <c:pt idx="32">
                  <c:v>44641</c:v>
                </c:pt>
                <c:pt idx="33">
                  <c:v>44648</c:v>
                </c:pt>
                <c:pt idx="34">
                  <c:v>44655</c:v>
                </c:pt>
                <c:pt idx="35">
                  <c:v>44662</c:v>
                </c:pt>
                <c:pt idx="36">
                  <c:v>44669</c:v>
                </c:pt>
                <c:pt idx="37">
                  <c:v>44676</c:v>
                </c:pt>
                <c:pt idx="38">
                  <c:v>44683</c:v>
                </c:pt>
                <c:pt idx="39">
                  <c:v>44690</c:v>
                </c:pt>
                <c:pt idx="40">
                  <c:v>44697</c:v>
                </c:pt>
                <c:pt idx="41" formatCode="dd/mm/yyyy;@">
                  <c:v>44704</c:v>
                </c:pt>
                <c:pt idx="42" formatCode="dd/mm/yyyy;@">
                  <c:v>44712</c:v>
                </c:pt>
                <c:pt idx="43" formatCode="dd/mm/yyyy;@">
                  <c:v>44718</c:v>
                </c:pt>
                <c:pt idx="44" formatCode="dd/mm/yyyy;@">
                  <c:v>44725</c:v>
                </c:pt>
              </c:numCache>
            </c:numRef>
          </c:cat>
          <c:val>
            <c:numRef>
              <c:f>'58'!$O$13:$O$57</c:f>
              <c:numCache>
                <c:formatCode>0</c:formatCode>
                <c:ptCount val="45"/>
                <c:pt idx="0">
                  <c:v>308.64741882572883</c:v>
                </c:pt>
                <c:pt idx="1">
                  <c:v>312.61574278205961</c:v>
                </c:pt>
                <c:pt idx="2">
                  <c:v>307.98603149967369</c:v>
                </c:pt>
                <c:pt idx="3">
                  <c:v>305.78140707948995</c:v>
                </c:pt>
                <c:pt idx="4">
                  <c:v>306.77348806857265</c:v>
                </c:pt>
                <c:pt idx="5">
                  <c:v>311.07250568793097</c:v>
                </c:pt>
                <c:pt idx="6">
                  <c:v>314.9305984232526</c:v>
                </c:pt>
                <c:pt idx="7">
                  <c:v>320.33192825270288</c:v>
                </c:pt>
                <c:pt idx="8">
                  <c:v>312.94643644508722</c:v>
                </c:pt>
                <c:pt idx="9">
                  <c:v>319.00915360059258</c:v>
                </c:pt>
                <c:pt idx="10">
                  <c:v>319.33984726362013</c:v>
                </c:pt>
                <c:pt idx="11">
                  <c:v>310.19065591985748</c:v>
                </c:pt>
                <c:pt idx="12">
                  <c:v>306.33256318453584</c:v>
                </c:pt>
                <c:pt idx="13">
                  <c:v>311.29296812994937</c:v>
                </c:pt>
                <c:pt idx="14">
                  <c:v>319.56030970563853</c:v>
                </c:pt>
                <c:pt idx="15">
                  <c:v>329.15042593343793</c:v>
                </c:pt>
                <c:pt idx="16">
                  <c:v>324.85140831407961</c:v>
                </c:pt>
                <c:pt idx="17">
                  <c:v>320.22169703169368</c:v>
                </c:pt>
                <c:pt idx="18">
                  <c:v>315.15106086527095</c:v>
                </c:pt>
                <c:pt idx="19">
                  <c:v>314.37944231820666</c:v>
                </c:pt>
                <c:pt idx="20">
                  <c:v>325.51279564013475</c:v>
                </c:pt>
                <c:pt idx="21">
                  <c:v>327.71742006031849</c:v>
                </c:pt>
                <c:pt idx="22">
                  <c:v>326.72533907123579</c:v>
                </c:pt>
                <c:pt idx="23">
                  <c:v>326.9458015132542</c:v>
                </c:pt>
                <c:pt idx="24">
                  <c:v>336.53591774105365</c:v>
                </c:pt>
                <c:pt idx="25">
                  <c:v>338.96100460325579</c:v>
                </c:pt>
                <c:pt idx="26">
                  <c:v>348.99204571509193</c:v>
                </c:pt>
                <c:pt idx="27">
                  <c:v>340.28377925536603</c:v>
                </c:pt>
                <c:pt idx="28">
                  <c:v>342.70886611756822</c:v>
                </c:pt>
                <c:pt idx="29">
                  <c:v>349.87389548316548</c:v>
                </c:pt>
                <c:pt idx="30">
                  <c:v>362.33002345720377</c:v>
                </c:pt>
                <c:pt idx="31">
                  <c:v>360.45609270004763</c:v>
                </c:pt>
                <c:pt idx="32">
                  <c:v>357.03892484876275</c:v>
                </c:pt>
                <c:pt idx="33">
                  <c:v>357.47984973279949</c:v>
                </c:pt>
                <c:pt idx="34">
                  <c:v>358.25146827986384</c:v>
                </c:pt>
                <c:pt idx="35">
                  <c:v>351.52736379830333</c:v>
                </c:pt>
                <c:pt idx="36">
                  <c:v>372.14060212702162</c:v>
                </c:pt>
                <c:pt idx="37">
                  <c:v>367.4006596236265</c:v>
                </c:pt>
                <c:pt idx="38">
                  <c:v>378.42</c:v>
                </c:pt>
                <c:pt idx="39">
                  <c:v>371.47921480096653</c:v>
                </c:pt>
                <c:pt idx="40">
                  <c:v>393.63569022381347</c:v>
                </c:pt>
                <c:pt idx="41">
                  <c:v>380.73863736573833</c:v>
                </c:pt>
                <c:pt idx="42">
                  <c:v>386.80135452124375</c:v>
                </c:pt>
                <c:pt idx="43">
                  <c:v>379.85678759766483</c:v>
                </c:pt>
                <c:pt idx="44">
                  <c:v>361.12</c:v>
                </c:pt>
              </c:numCache>
            </c:numRef>
          </c:val>
          <c:smooth val="0"/>
          <c:extLst>
            <c:ext xmlns:c16="http://schemas.microsoft.com/office/drawing/2014/chart" uri="{C3380CC4-5D6E-409C-BE32-E72D297353CC}">
              <c16:uniqueId val="{00000006-A34F-49D0-B6B1-1E83FB4BB203}"/>
            </c:ext>
          </c:extLst>
        </c:ser>
        <c:ser>
          <c:idx val="0"/>
          <c:order val="1"/>
          <c:tx>
            <c:strRef>
              <c:f>'58'!$M$1</c:f>
              <c:strCache>
                <c:ptCount val="1"/>
                <c:pt idx="0">
                  <c:v>mar-22</c:v>
                </c:pt>
              </c:strCache>
            </c:strRef>
          </c:tx>
          <c:marker>
            <c:symbol val="none"/>
          </c:marker>
          <c:cat>
            <c:numRef>
              <c:f>'58'!$G$13:$G$57</c:f>
              <c:numCache>
                <c:formatCode>m/d/yyyy</c:formatCode>
                <c:ptCount val="45"/>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pt idx="30">
                  <c:v>44627</c:v>
                </c:pt>
                <c:pt idx="31">
                  <c:v>44634</c:v>
                </c:pt>
                <c:pt idx="32">
                  <c:v>44641</c:v>
                </c:pt>
                <c:pt idx="33">
                  <c:v>44648</c:v>
                </c:pt>
                <c:pt idx="34">
                  <c:v>44655</c:v>
                </c:pt>
                <c:pt idx="35">
                  <c:v>44662</c:v>
                </c:pt>
                <c:pt idx="36">
                  <c:v>44669</c:v>
                </c:pt>
                <c:pt idx="37">
                  <c:v>44676</c:v>
                </c:pt>
                <c:pt idx="38">
                  <c:v>44683</c:v>
                </c:pt>
                <c:pt idx="39">
                  <c:v>44690</c:v>
                </c:pt>
                <c:pt idx="40">
                  <c:v>44697</c:v>
                </c:pt>
                <c:pt idx="41" formatCode="dd/mm/yyyy;@">
                  <c:v>44704</c:v>
                </c:pt>
                <c:pt idx="42" formatCode="dd/mm/yyyy;@">
                  <c:v>44712</c:v>
                </c:pt>
                <c:pt idx="43" formatCode="dd/mm/yyyy;@">
                  <c:v>44718</c:v>
                </c:pt>
                <c:pt idx="44" formatCode="dd/mm/yyyy;@">
                  <c:v>44725</c:v>
                </c:pt>
              </c:numCache>
            </c:numRef>
          </c:cat>
          <c:val>
            <c:numRef>
              <c:f>'58'!$M$13:$M$42</c:f>
            </c:numRef>
          </c:val>
          <c:smooth val="0"/>
          <c:extLst>
            <c:ext xmlns:c16="http://schemas.microsoft.com/office/drawing/2014/chart" uri="{C3380CC4-5D6E-409C-BE32-E72D297353CC}">
              <c16:uniqueId val="{00000005-A34F-49D0-B6B1-1E83FB4BB203}"/>
            </c:ext>
          </c:extLst>
        </c:ser>
        <c:ser>
          <c:idx val="1"/>
          <c:order val="2"/>
          <c:tx>
            <c:strRef>
              <c:f>'58'!$Q$1</c:f>
              <c:strCache>
                <c:ptCount val="1"/>
                <c:pt idx="0">
                  <c:v>nov-22</c:v>
                </c:pt>
              </c:strCache>
            </c:strRef>
          </c:tx>
          <c:marker>
            <c:symbol val="none"/>
          </c:marker>
          <c:val>
            <c:numRef>
              <c:f>'58'!$Q$13:$Q$57</c:f>
              <c:numCache>
                <c:formatCode>General</c:formatCode>
                <c:ptCount val="45"/>
                <c:pt idx="23" formatCode="0">
                  <c:v>314.7101359812342</c:v>
                </c:pt>
                <c:pt idx="24" formatCode="0">
                  <c:v>318.78869115857424</c:v>
                </c:pt>
                <c:pt idx="25" formatCode="0">
                  <c:v>321.10354679976717</c:v>
                </c:pt>
                <c:pt idx="26" formatCode="0">
                  <c:v>329.59135081747473</c:v>
                </c:pt>
                <c:pt idx="27" formatCode="0">
                  <c:v>325.9537205241715</c:v>
                </c:pt>
                <c:pt idx="28" formatCode="0">
                  <c:v>331.90620645866767</c:v>
                </c:pt>
                <c:pt idx="29" formatCode="0">
                  <c:v>337.74846117215469</c:v>
                </c:pt>
                <c:pt idx="30" formatCode="0">
                  <c:v>345.02372175876116</c:v>
                </c:pt>
                <c:pt idx="31" formatCode="0">
                  <c:v>350.53528280922063</c:v>
                </c:pt>
                <c:pt idx="32" formatCode="0">
                  <c:v>351.19667013527572</c:v>
                </c:pt>
                <c:pt idx="33" formatCode="0">
                  <c:v>353.40129455545951</c:v>
                </c:pt>
                <c:pt idx="34" formatCode="0">
                  <c:v>354.94453164958821</c:v>
                </c:pt>
                <c:pt idx="35" formatCode="0">
                  <c:v>353.62175699747786</c:v>
                </c:pt>
                <c:pt idx="36" formatCode="0">
                  <c:v>371.47921480096653</c:v>
                </c:pt>
                <c:pt idx="37" formatCode="0">
                  <c:v>372.14060212702162</c:v>
                </c:pt>
                <c:pt idx="38" formatCode="0">
                  <c:v>380.74</c:v>
                </c:pt>
                <c:pt idx="39" formatCode="0">
                  <c:v>376.43961974637995</c:v>
                </c:pt>
                <c:pt idx="40" formatCode="0">
                  <c:v>395.28915853895126</c:v>
                </c:pt>
                <c:pt idx="41" formatCode="0">
                  <c:v>387.79343551032645</c:v>
                </c:pt>
                <c:pt idx="42" formatCode="0">
                  <c:v>394.07661510785022</c:v>
                </c:pt>
                <c:pt idx="43" formatCode="0">
                  <c:v>388.12412917335399</c:v>
                </c:pt>
                <c:pt idx="44" formatCode="0">
                  <c:v>372.58</c:v>
                </c:pt>
              </c:numCache>
            </c:numRef>
          </c:val>
          <c:smooth val="0"/>
          <c:extLst>
            <c:ext xmlns:c16="http://schemas.microsoft.com/office/drawing/2014/chart" uri="{C3380CC4-5D6E-409C-BE32-E72D297353CC}">
              <c16:uniqueId val="{00000000-E284-4E12-AB1F-66A98FE9BCCA}"/>
            </c:ext>
          </c:extLst>
        </c:ser>
        <c:ser>
          <c:idx val="3"/>
          <c:order val="3"/>
          <c:tx>
            <c:strRef>
              <c:f>'58'!$R$1</c:f>
              <c:strCache>
                <c:ptCount val="1"/>
                <c:pt idx="0">
                  <c:v>ene-23</c:v>
                </c:pt>
              </c:strCache>
            </c:strRef>
          </c:tx>
          <c:marker>
            <c:symbol val="none"/>
          </c:marker>
          <c:cat>
            <c:numRef>
              <c:f>'58'!$G$13:$G$57</c:f>
              <c:numCache>
                <c:formatCode>m/d/yyyy</c:formatCode>
                <c:ptCount val="45"/>
                <c:pt idx="0">
                  <c:v>44417</c:v>
                </c:pt>
                <c:pt idx="1">
                  <c:v>44424</c:v>
                </c:pt>
                <c:pt idx="2">
                  <c:v>44431</c:v>
                </c:pt>
                <c:pt idx="3">
                  <c:v>44438</c:v>
                </c:pt>
                <c:pt idx="4">
                  <c:v>44446</c:v>
                </c:pt>
                <c:pt idx="5">
                  <c:v>44452</c:v>
                </c:pt>
                <c:pt idx="6">
                  <c:v>44459</c:v>
                </c:pt>
                <c:pt idx="7">
                  <c:v>44466</c:v>
                </c:pt>
                <c:pt idx="8">
                  <c:v>44473</c:v>
                </c:pt>
                <c:pt idx="9">
                  <c:v>44480</c:v>
                </c:pt>
                <c:pt idx="10">
                  <c:v>44487</c:v>
                </c:pt>
                <c:pt idx="11">
                  <c:v>44494</c:v>
                </c:pt>
                <c:pt idx="12">
                  <c:v>44501</c:v>
                </c:pt>
                <c:pt idx="13">
                  <c:v>44508</c:v>
                </c:pt>
                <c:pt idx="14">
                  <c:v>44515</c:v>
                </c:pt>
                <c:pt idx="15">
                  <c:v>44522</c:v>
                </c:pt>
                <c:pt idx="16">
                  <c:v>44529</c:v>
                </c:pt>
                <c:pt idx="17">
                  <c:v>44536</c:v>
                </c:pt>
                <c:pt idx="18">
                  <c:v>44543</c:v>
                </c:pt>
                <c:pt idx="19">
                  <c:v>44550</c:v>
                </c:pt>
                <c:pt idx="20">
                  <c:v>44557</c:v>
                </c:pt>
                <c:pt idx="21">
                  <c:v>44564</c:v>
                </c:pt>
                <c:pt idx="22">
                  <c:v>44571</c:v>
                </c:pt>
                <c:pt idx="23">
                  <c:v>44579</c:v>
                </c:pt>
                <c:pt idx="24">
                  <c:v>44585</c:v>
                </c:pt>
                <c:pt idx="25">
                  <c:v>44592</c:v>
                </c:pt>
                <c:pt idx="26">
                  <c:v>44599</c:v>
                </c:pt>
                <c:pt idx="27">
                  <c:v>44606</c:v>
                </c:pt>
                <c:pt idx="28">
                  <c:v>44613</c:v>
                </c:pt>
                <c:pt idx="29">
                  <c:v>44620</c:v>
                </c:pt>
                <c:pt idx="30">
                  <c:v>44627</c:v>
                </c:pt>
                <c:pt idx="31">
                  <c:v>44634</c:v>
                </c:pt>
                <c:pt idx="32">
                  <c:v>44641</c:v>
                </c:pt>
                <c:pt idx="33">
                  <c:v>44648</c:v>
                </c:pt>
                <c:pt idx="34">
                  <c:v>44655</c:v>
                </c:pt>
                <c:pt idx="35">
                  <c:v>44662</c:v>
                </c:pt>
                <c:pt idx="36">
                  <c:v>44669</c:v>
                </c:pt>
                <c:pt idx="37">
                  <c:v>44676</c:v>
                </c:pt>
                <c:pt idx="38">
                  <c:v>44683</c:v>
                </c:pt>
                <c:pt idx="39">
                  <c:v>44690</c:v>
                </c:pt>
                <c:pt idx="40">
                  <c:v>44697</c:v>
                </c:pt>
                <c:pt idx="41" formatCode="dd/mm/yyyy;@">
                  <c:v>44704</c:v>
                </c:pt>
                <c:pt idx="42" formatCode="dd/mm/yyyy;@">
                  <c:v>44712</c:v>
                </c:pt>
                <c:pt idx="43" formatCode="dd/mm/yyyy;@">
                  <c:v>44718</c:v>
                </c:pt>
                <c:pt idx="44" formatCode="dd/mm/yyyy;@">
                  <c:v>44725</c:v>
                </c:pt>
              </c:numCache>
            </c:numRef>
          </c:cat>
          <c:val>
            <c:numRef>
              <c:f>'58'!$R$13:$R$57</c:f>
              <c:numCache>
                <c:formatCode>General</c:formatCode>
                <c:ptCount val="45"/>
                <c:pt idx="23" formatCode="0">
                  <c:v>318.12730383251909</c:v>
                </c:pt>
                <c:pt idx="24" formatCode="0">
                  <c:v>322.20585900985907</c:v>
                </c:pt>
                <c:pt idx="25" formatCode="0">
                  <c:v>324.52071465105206</c:v>
                </c:pt>
                <c:pt idx="26" formatCode="0">
                  <c:v>333.00851866875956</c:v>
                </c:pt>
                <c:pt idx="27" formatCode="0">
                  <c:v>326.50487662921745</c:v>
                </c:pt>
                <c:pt idx="28" formatCode="0">
                  <c:v>332.45736256371362</c:v>
                </c:pt>
                <c:pt idx="29" formatCode="0">
                  <c:v>338.29961727720064</c:v>
                </c:pt>
                <c:pt idx="30" formatCode="0">
                  <c:v>348.77158327307359</c:v>
                </c:pt>
                <c:pt idx="31" formatCode="0">
                  <c:v>354.28314432353301</c:v>
                </c:pt>
                <c:pt idx="32" formatCode="0">
                  <c:v>355.4956877546341</c:v>
                </c:pt>
                <c:pt idx="33" formatCode="0">
                  <c:v>357.7003121748179</c:v>
                </c:pt>
                <c:pt idx="34" formatCode="0">
                  <c:v>356.26730630169845</c:v>
                </c:pt>
                <c:pt idx="35" formatCode="0">
                  <c:v>355.38545653362496</c:v>
                </c:pt>
                <c:pt idx="36" formatCode="0">
                  <c:v>373.68383922115027</c:v>
                </c:pt>
                <c:pt idx="37" formatCode="0">
                  <c:v>374.12476410518701</c:v>
                </c:pt>
                <c:pt idx="38" formatCode="0">
                  <c:v>382.06</c:v>
                </c:pt>
                <c:pt idx="39" formatCode="0">
                  <c:v>377.87262561949944</c:v>
                </c:pt>
                <c:pt idx="40" formatCode="0">
                  <c:v>396.9426268540891</c:v>
                </c:pt>
                <c:pt idx="41" formatCode="0">
                  <c:v>389.99805993051024</c:v>
                </c:pt>
                <c:pt idx="42" formatCode="0">
                  <c:v>396.28123952803401</c:v>
                </c:pt>
                <c:pt idx="43" formatCode="0">
                  <c:v>388.23436039436319</c:v>
                </c:pt>
                <c:pt idx="44" formatCode="0">
                  <c:v>376</c:v>
                </c:pt>
              </c:numCache>
            </c:numRef>
          </c:val>
          <c:smooth val="0"/>
          <c:extLst>
            <c:ext xmlns:c16="http://schemas.microsoft.com/office/drawing/2014/chart" uri="{C3380CC4-5D6E-409C-BE32-E72D297353CC}">
              <c16:uniqueId val="{00000001-46D2-4CB9-BA9E-11AD388298AC}"/>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10"/>
          <c:min val="28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0.14768578713001018"/>
          <c:y val="0.83150726734678471"/>
          <c:w val="0.72217423210899789"/>
          <c:h val="0.12068318365740423"/>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cat>
            <c:numRef>
              <c:f>'59'!$B$7:$B$35</c:f>
              <c:numCache>
                <c:formatCode>mmm\-yy</c:formatCode>
                <c:ptCount val="2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numCache>
            </c:numRef>
          </c:cat>
          <c:val>
            <c:numRef>
              <c:f>'59'!$C$7:$C$35</c:f>
              <c:numCache>
                <c:formatCode>_-* #,##0_-;\-* #,##0_-;_-* \-_-;_-@_-</c:formatCode>
                <c:ptCount val="29"/>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'59'!$B$7:$B$35</c:f>
              <c:numCache>
                <c:formatCode>mmm\-yy</c:formatCode>
                <c:ptCount val="2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numCache>
            </c:numRef>
          </c:cat>
          <c:val>
            <c:numRef>
              <c:f>'59'!$D$7:$D$35</c:f>
              <c:numCache>
                <c:formatCode>_-* #,##0_-;\-* #,##0_-;_-* \-_-;_-@_-</c:formatCode>
                <c:ptCount val="29"/>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'59'!$B$7:$B$35</c:f>
              <c:numCache>
                <c:formatCode>mmm\-yy</c:formatCode>
                <c:ptCount val="2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numCache>
            </c:numRef>
          </c:cat>
          <c:val>
            <c:numRef>
              <c:f>'59'!$E$7:$E$35</c:f>
              <c:numCache>
                <c:formatCode>_-* #,##0_-;\-* #,##0_-;_-* \-_-;_-@_-</c:formatCode>
                <c:ptCount val="29"/>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'59'!$B$7:$B$35</c:f>
              <c:numCache>
                <c:formatCode>mmm\-yy</c:formatCode>
                <c:ptCount val="2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numCache>
            </c:numRef>
          </c:cat>
          <c:val>
            <c:numRef>
              <c:f>'59'!$F$7:$F$35</c:f>
              <c:numCache>
                <c:formatCode>_-* #,##0_-;\-* #,##0_-;_-* \-_-;_-@_-</c:formatCode>
                <c:ptCount val="29"/>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'59'!$B$7:$B$35</c:f>
              <c:numCache>
                <c:formatCode>mmm\-yy</c:formatCode>
                <c:ptCount val="2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numCache>
            </c:numRef>
          </c:cat>
          <c:val>
            <c:numRef>
              <c:f>'59'!$G$7:$G$35</c:f>
              <c:numCache>
                <c:formatCode>_-* #,##0_-;\-* #,##0_-;_-* \-_-;_-@_-</c:formatCode>
                <c:ptCount val="29"/>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'59'!$B$7:$B$35</c:f>
              <c:numCache>
                <c:formatCode>mmm\-yy</c:formatCode>
                <c:ptCount val="2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numCache>
            </c:numRef>
          </c:cat>
          <c:val>
            <c:numRef>
              <c:f>'59'!$H$7:$H$35</c:f>
              <c:numCache>
                <c:formatCode>_-* #,##0_-;\-* #,##0_-;_-* \-_-;_-@_-</c:formatCode>
                <c:ptCount val="29"/>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2019 -2022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'61'!$A$2:$A$54</c:f>
              <c:numCache>
                <c:formatCode>m/d/yyyy</c:formatCode>
                <c:ptCount val="5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numCache>
            </c:numRef>
          </c:cat>
          <c:val>
            <c:numRef>
              <c:f>'61'!$O$2:$O$54</c:f>
              <c:numCache>
                <c:formatCode>0.00</c:formatCode>
                <c:ptCount val="53"/>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'61'!$A$2:$A$54</c:f>
              <c:numCache>
                <c:formatCode>m/d/yyyy</c:formatCode>
                <c:ptCount val="5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numCache>
            </c:numRef>
          </c:cat>
          <c:val>
            <c:numRef>
              <c:f>'61'!$P$2:$P$54</c:f>
              <c:numCache>
                <c:formatCode>0.00</c:formatCode>
                <c:ptCount val="53"/>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'61'!$A$2:$A$54</c:f>
              <c:numCache>
                <c:formatCode>m/d/yyyy</c:formatCode>
                <c:ptCount val="5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numCache>
            </c:numRef>
          </c:cat>
          <c:val>
            <c:numRef>
              <c:f>'61'!$Q$2:$Q$54</c:f>
              <c:numCache>
                <c:formatCode>0.00</c:formatCode>
                <c:ptCount val="53"/>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'61'!$A$2:$A$54</c:f>
              <c:numCache>
                <c:formatCode>m/d/yyyy</c:formatCode>
                <c:ptCount val="5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numCache>
            </c:numRef>
          </c:cat>
          <c:val>
            <c:numRef>
              <c:f>'61'!$R$2:$R$54</c:f>
              <c:numCache>
                <c:formatCode>0.00</c:formatCode>
                <c:ptCount val="53"/>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numCache>
            </c:numRef>
          </c:val>
          <c:extLst>
            <c:ext xmlns:c16="http://schemas.microsoft.com/office/drawing/2014/chart" uri="{C3380CC4-5D6E-409C-BE32-E72D297353CC}">
              <c16:uniqueId val="{00000001-B6D2-4F9E-9E06-31D91556796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6.6172601559133487E-2"/>
          <c:y val="0.83884030943500487"/>
          <c:w val="0.87774168527441532"/>
          <c:h val="0.1611596905649951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2022</a:t>
            </a:r>
          </a:p>
          <a:p>
            <a:pPr>
              <a:defRPr sz="1000"/>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'13'!$M$1</c:f>
              <c:strCache>
                <c:ptCount val="1"/>
                <c:pt idx="0">
                  <c:v>Otros</c:v>
                </c:pt>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0.61371020756510852</c:v>
                </c:pt>
                <c:pt idx="1">
                  <c:v>0.18225082051955832</c:v>
                </c:pt>
                <c:pt idx="2">
                  <c:v>6.8037053781755175E-2</c:v>
                </c:pt>
                <c:pt idx="3" formatCode="#,##0.000">
                  <c:v>0.13600191813357798</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2022</a:t>
            </a:r>
          </a:p>
          <a:p>
            <a:pPr>
              <a:defRPr sz="900" b="1"/>
            </a:pPr>
            <a:endParaRPr lang="es-CL" sz="900" b="1"/>
          </a:p>
        </c:rich>
      </c:tx>
      <c:layout>
        <c:manualLayout>
          <c:xMode val="edge"/>
          <c:yMode val="edge"/>
          <c:x val="0.16864317174028456"/>
          <c:y val="4.6983639240216923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4"/>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'14'!$M$1:$P$1</c:f>
              <c:strCache>
                <c:ptCount val="4"/>
                <c:pt idx="0">
                  <c:v>Suave</c:v>
                </c:pt>
                <c:pt idx="1">
                  <c:v>Intermedio</c:v>
                </c:pt>
                <c:pt idx="2">
                  <c:v>Fuerte</c:v>
                </c:pt>
                <c:pt idx="3">
                  <c:v>Otros</c:v>
                </c:pt>
              </c:strCache>
            </c:strRef>
          </c:cat>
          <c:val>
            <c:numRef>
              <c:f>'14'!$M$10:$P$10</c:f>
              <c:numCache>
                <c:formatCode>0.0%</c:formatCode>
                <c:ptCount val="4"/>
                <c:pt idx="0">
                  <c:v>0.40550779942095355</c:v>
                </c:pt>
                <c:pt idx="1">
                  <c:v>0.41861092825625057</c:v>
                </c:pt>
                <c:pt idx="2">
                  <c:v>0.14159095148092044</c:v>
                </c:pt>
                <c:pt idx="3">
                  <c:v>3.4290320841875443E-2</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2021 - 2022</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079725287019426"/>
          <c:y val="2.5282134688084153E-2"/>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3"/>
          <c:order val="0"/>
          <c:tx>
            <c:strRef>
              <c:f>'16'!$C$6:$D$6</c:f>
              <c:strCache>
                <c:ptCount val="1"/>
                <c:pt idx="0">
                  <c:v>Trigo Pan Argentino</c:v>
                </c:pt>
              </c:strCache>
            </c:strRef>
          </c:tx>
          <c:cat>
            <c:numRef>
              <c:f>'16'!$N$8:$N$24</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'16'!$Q$8:$Q$24</c:f>
              <c:numCache>
                <c:formatCode>0</c:formatCode>
                <c:ptCount val="17"/>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numCache>
            </c:numRef>
          </c:val>
          <c:smooth val="0"/>
          <c:extLst>
            <c:ext xmlns:c16="http://schemas.microsoft.com/office/drawing/2014/chart" uri="{C3380CC4-5D6E-409C-BE32-E72D297353CC}">
              <c16:uniqueId val="{00000007-9850-4FC7-9166-A5DFDC51C342}"/>
            </c:ext>
          </c:extLst>
        </c:ser>
        <c:ser>
          <c:idx val="4"/>
          <c:order val="1"/>
          <c:tx>
            <c:strRef>
              <c:f>'16'!$E$6:$F$6</c:f>
              <c:strCache>
                <c:ptCount val="1"/>
                <c:pt idx="0">
                  <c:v>Fuerte</c:v>
                </c:pt>
              </c:strCache>
            </c:strRef>
          </c:tx>
          <c:cat>
            <c:numRef>
              <c:f>'16'!$N$8:$N$24</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'16'!$O$8:$O$24</c:f>
              <c:numCache>
                <c:formatCode>0</c:formatCode>
                <c:ptCount val="17"/>
                <c:pt idx="0">
                  <c:v>177.09252557740888</c:v>
                </c:pt>
                <c:pt idx="1">
                  <c:v>186.40526781787636</c:v>
                </c:pt>
                <c:pt idx="2">
                  <c:v>195.4833534485978</c:v>
                </c:pt>
                <c:pt idx="3">
                  <c:v>217.17736414688881</c:v>
                </c:pt>
                <c:pt idx="4">
                  <c:v>204.15676618910891</c:v>
                </c:pt>
                <c:pt idx="5">
                  <c:v>214.82520559874493</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numCache>
            </c:numRef>
          </c:val>
          <c:smooth val="0"/>
          <c:extLst>
            <c:ext xmlns:c16="http://schemas.microsoft.com/office/drawing/2014/chart" uri="{C3380CC4-5D6E-409C-BE32-E72D297353CC}">
              <c16:uniqueId val="{00000008-9850-4FC7-9166-A5DFDC51C342}"/>
            </c:ext>
          </c:extLst>
        </c:ser>
        <c:ser>
          <c:idx val="5"/>
          <c:order val="2"/>
          <c:tx>
            <c:strRef>
              <c:f>'16'!$G$6:$H$6</c:f>
              <c:strCache>
                <c:ptCount val="1"/>
                <c:pt idx="0">
                  <c:v>Canadian WRS</c:v>
                </c:pt>
              </c:strCache>
            </c:strRef>
          </c:tx>
          <c:cat>
            <c:numRef>
              <c:f>'16'!$N$8:$N$24</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'16'!$P$8:$P$24</c:f>
              <c:numCache>
                <c:formatCode>0</c:formatCode>
                <c:ptCount val="17"/>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2021-2022</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2641687703535365"/>
          <c:y val="0.22630930044790976"/>
          <c:w val="0.81610305185905396"/>
          <c:h val="0.53352219517270016"/>
        </c:manualLayout>
      </c:layout>
      <c:lineChart>
        <c:grouping val="standard"/>
        <c:varyColors val="0"/>
        <c:ser>
          <c:idx val="5"/>
          <c:order val="0"/>
          <c:tx>
            <c:strRef>
              <c:f>'18'!$N$8</c:f>
              <c:strCache>
                <c:ptCount val="1"/>
                <c:pt idx="0">
                  <c:v>Suave </c:v>
                </c:pt>
              </c:strCache>
            </c:strRef>
          </c:tx>
          <c:marker>
            <c:symbol val="none"/>
          </c:marker>
          <c:cat>
            <c:numRef>
              <c:f>'18'!$M$9:$M$25</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'18'!$N$9:$N$25</c:f>
              <c:numCache>
                <c:formatCode>_-* #,##0_-;\-* #,##0_-;_-* \-??_-;_-@_-</c:formatCode>
                <c:ptCount val="17"/>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numCache>
            </c:numRef>
          </c:val>
          <c:smooth val="0"/>
          <c:extLst>
            <c:ext xmlns:c16="http://schemas.microsoft.com/office/drawing/2014/chart" uri="{C3380CC4-5D6E-409C-BE32-E72D297353CC}">
              <c16:uniqueId val="{00000000-04A0-4971-8DE5-8425A9B76861}"/>
            </c:ext>
          </c:extLst>
        </c:ser>
        <c:ser>
          <c:idx val="1"/>
          <c:order val="1"/>
          <c:tx>
            <c:strRef>
              <c:f>'18'!$O$8</c:f>
              <c:strCache>
                <c:ptCount val="1"/>
                <c:pt idx="0">
                  <c:v>Intermedio</c:v>
                </c:pt>
              </c:strCache>
            </c:strRef>
          </c:tx>
          <c:marker>
            <c:symbol val="none"/>
          </c:marker>
          <c:cat>
            <c:numRef>
              <c:f>'18'!$M$9:$M$25</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'18'!$O$9:$O$25</c:f>
              <c:numCache>
                <c:formatCode>_-* #,##0_-;\-* #,##0_-;_-* \-??_-;_-@_-</c:formatCode>
                <c:ptCount val="17"/>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numCache>
            </c:numRef>
          </c:val>
          <c:smooth val="0"/>
          <c:extLst>
            <c:ext xmlns:c16="http://schemas.microsoft.com/office/drawing/2014/chart" uri="{C3380CC4-5D6E-409C-BE32-E72D297353CC}">
              <c16:uniqueId val="{00000002-04A0-4971-8DE5-8425A9B76861}"/>
            </c:ext>
          </c:extLst>
        </c:ser>
        <c:ser>
          <c:idx val="0"/>
          <c:order val="2"/>
          <c:tx>
            <c:strRef>
              <c:f>'18'!$P$8</c:f>
              <c:strCache>
                <c:ptCount val="1"/>
                <c:pt idx="0">
                  <c:v>Fuerte</c:v>
                </c:pt>
              </c:strCache>
            </c:strRef>
          </c:tx>
          <c:marker>
            <c:symbol val="none"/>
          </c:marker>
          <c:cat>
            <c:numRef>
              <c:f>'18'!$M$9:$M$25</c:f>
              <c:numCache>
                <c:formatCode>mmm\-yy</c:formatCode>
                <c:ptCount val="17"/>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numCache>
            </c:numRef>
          </c:cat>
          <c:val>
            <c:numRef>
              <c:f>'18'!$P$9:$P$25</c:f>
              <c:numCache>
                <c:formatCode>_-* #,##0_-;\-* #,##0_-;_-* \-??_-;_-@_-</c:formatCode>
                <c:ptCount val="17"/>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max val="44652"/>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majorUnit val="1"/>
        <c:majorTimeUnit val="months"/>
      </c:dateAx>
      <c:valAx>
        <c:axId val="244178944"/>
        <c:scaling>
          <c:orientation val="minMax"/>
          <c:max val="320"/>
          <c:min val="16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67762340978"/>
          <c:y val="0.91473162013816289"/>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18</xdr:row>
      <xdr:rowOff>114300</xdr:rowOff>
    </xdr:from>
    <xdr:to>
      <xdr:col>10</xdr:col>
      <xdr:colOff>74814</xdr:colOff>
      <xdr:row>36</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10</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10</xdr:col>
      <xdr:colOff>448734</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32</xdr:row>
      <xdr:rowOff>41564</xdr:rowOff>
    </xdr:to>
    <xdr:graphicFrame macro="">
      <xdr:nvGraphicFramePr>
        <xdr:cNvPr id="4"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24</xdr:row>
      <xdr:rowOff>78451</xdr:rowOff>
    </xdr:from>
    <xdr:to>
      <xdr:col>8</xdr:col>
      <xdr:colOff>1</xdr:colOff>
      <xdr:row>40</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24506</xdr:colOff>
      <xdr:row>1</xdr:row>
      <xdr:rowOff>76199</xdr:rowOff>
    </xdr:from>
    <xdr:to>
      <xdr:col>9</xdr:col>
      <xdr:colOff>526158</xdr:colOff>
      <xdr:row>24</xdr:row>
      <xdr:rowOff>117927</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17</xdr:row>
      <xdr:rowOff>171450</xdr:rowOff>
    </xdr:from>
    <xdr:to>
      <xdr:col>6</xdr:col>
      <xdr:colOff>1104900</xdr:colOff>
      <xdr:row>32</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20</xdr:row>
      <xdr:rowOff>76200</xdr:rowOff>
    </xdr:from>
    <xdr:to>
      <xdr:col>7</xdr:col>
      <xdr:colOff>800100</xdr:colOff>
      <xdr:row>38</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66499</xdr:colOff>
      <xdr:row>23</xdr:row>
      <xdr:rowOff>41565</xdr:rowOff>
    </xdr:from>
    <xdr:to>
      <xdr:col>9</xdr:col>
      <xdr:colOff>532014</xdr:colOff>
      <xdr:row>38</xdr:row>
      <xdr:rowOff>41563</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164003</xdr:colOff>
      <xdr:row>14</xdr:row>
      <xdr:rowOff>159327</xdr:rowOff>
    </xdr:from>
    <xdr:to>
      <xdr:col>7</xdr:col>
      <xdr:colOff>16625</xdr:colOff>
      <xdr:row>36</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76200</xdr:colOff>
      <xdr:row>25</xdr:row>
      <xdr:rowOff>11950</xdr:rowOff>
    </xdr:from>
    <xdr:to>
      <xdr:col>7</xdr:col>
      <xdr:colOff>0</xdr:colOff>
      <xdr:row>42</xdr:row>
      <xdr:rowOff>85898</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93663</xdr:colOff>
      <xdr:row>0</xdr:row>
      <xdr:rowOff>158749</xdr:rowOff>
    </xdr:from>
    <xdr:to>
      <xdr:col>4</xdr:col>
      <xdr:colOff>1524000</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44450</xdr:colOff>
      <xdr:row>16</xdr:row>
      <xdr:rowOff>190500</xdr:rowOff>
    </xdr:from>
    <xdr:to>
      <xdr:col>6</xdr:col>
      <xdr:colOff>955675</xdr:colOff>
      <xdr:row>38</xdr:row>
      <xdr:rowOff>108065</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38100</xdr:colOff>
      <xdr:row>19</xdr:row>
      <xdr:rowOff>123825</xdr:rowOff>
    </xdr:from>
    <xdr:to>
      <xdr:col>6</xdr:col>
      <xdr:colOff>1114425</xdr:colOff>
      <xdr:row>35</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76200</xdr:colOff>
      <xdr:row>19</xdr:row>
      <xdr:rowOff>95249</xdr:rowOff>
    </xdr:from>
    <xdr:to>
      <xdr:col>6</xdr:col>
      <xdr:colOff>838200</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12</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50801</xdr:colOff>
      <xdr:row>18</xdr:row>
      <xdr:rowOff>9525</xdr:rowOff>
    </xdr:from>
    <xdr:to>
      <xdr:col>6</xdr:col>
      <xdr:colOff>920751</xdr:colOff>
      <xdr:row>37</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16</xdr:row>
      <xdr:rowOff>66675</xdr:rowOff>
    </xdr:from>
    <xdr:to>
      <xdr:col>9</xdr:col>
      <xdr:colOff>0</xdr:colOff>
      <xdr:row>32</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59749</xdr:colOff>
      <xdr:row>17</xdr:row>
      <xdr:rowOff>23438</xdr:rowOff>
    </xdr:from>
    <xdr:to>
      <xdr:col>6</xdr:col>
      <xdr:colOff>793173</xdr:colOff>
      <xdr:row>32</xdr:row>
      <xdr:rowOff>937837</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3378" y="3218553"/>
          <a:ext cx="4356119"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mes</a:t>
          </a:r>
          <a:r>
            <a:rPr lang="es-ES" sz="900" i="0" baseline="0">
              <a:latin typeface="Arial" panose="020B0604020202020204" pitchFamily="34" charset="0"/>
              <a:cs typeface="Arial" panose="020B0604020202020204" pitchFamily="34" charset="0"/>
            </a:rPr>
            <a:t> de</a:t>
          </a:r>
          <a:r>
            <a:rPr lang="es-ES" sz="900" i="0">
              <a:latin typeface="Arial" panose="020B0604020202020204" pitchFamily="34" charset="0"/>
              <a:cs typeface="Arial" panose="020B0604020202020204" pitchFamily="34" charset="0"/>
            </a:rPr>
            <a:t> mayo 2022.</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36</xdr:row>
      <xdr:rowOff>47624</xdr:rowOff>
    </xdr:from>
    <xdr:to>
      <xdr:col>8</xdr:col>
      <xdr:colOff>919249</xdr:colOff>
      <xdr:row>54</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24</xdr:row>
      <xdr:rowOff>51568</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340045</xdr:colOff>
      <xdr:row>22</xdr:row>
      <xdr:rowOff>137134</xdr:rowOff>
    </xdr:from>
    <xdr:to>
      <xdr:col>3</xdr:col>
      <xdr:colOff>1006763</xdr:colOff>
      <xdr:row>25</xdr:row>
      <xdr:rowOff>55419</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340045" y="3591534"/>
          <a:ext cx="3640827" cy="389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176646</xdr:colOff>
      <xdr:row>1</xdr:row>
      <xdr:rowOff>10392</xdr:rowOff>
    </xdr:from>
    <xdr:to>
      <xdr:col>6</xdr:col>
      <xdr:colOff>332510</xdr:colOff>
      <xdr:row>20</xdr:row>
      <xdr:rowOff>103908</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row r="19">
          <cell r="F19">
            <v>941695.05808999995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zoomScale="70" zoomScaleNormal="70" workbookViewId="0">
      <selection activeCell="G65" sqref="G65"/>
    </sheetView>
  </sheetViews>
  <sheetFormatPr baseColWidth="10" defaultColWidth="10.921875" defaultRowHeight="17.399999999999999"/>
  <cols>
    <col min="1" max="1" width="7.765625" customWidth="1"/>
    <col min="2" max="3" width="6.921875" customWidth="1"/>
    <col min="4" max="4" width="10.69140625" customWidth="1"/>
    <col min="5" max="5" width="6.15234375" customWidth="1"/>
  </cols>
  <sheetData>
    <row r="1" spans="1:5">
      <c r="A1" s="227"/>
      <c r="B1" s="228"/>
      <c r="C1" s="228"/>
      <c r="D1" s="228"/>
      <c r="E1" s="228"/>
    </row>
    <row r="2" spans="1:5">
      <c r="A2" s="228"/>
      <c r="B2" s="228"/>
      <c r="C2" s="228"/>
      <c r="D2" s="228"/>
      <c r="E2" s="228"/>
    </row>
    <row r="3" spans="1:5">
      <c r="B3" s="228"/>
      <c r="C3" s="228"/>
      <c r="D3" s="228"/>
      <c r="E3" s="228"/>
    </row>
    <row r="4" spans="1:5">
      <c r="A4" s="228"/>
      <c r="B4" s="228"/>
      <c r="C4" s="228"/>
      <c r="D4" s="229"/>
      <c r="E4" s="228"/>
    </row>
    <row r="5" spans="1:5">
      <c r="A5" s="227"/>
      <c r="C5" s="228"/>
      <c r="D5" s="230"/>
      <c r="E5" s="228"/>
    </row>
    <row r="6" spans="1:5">
      <c r="A6" s="227"/>
      <c r="B6" s="228"/>
      <c r="C6" s="228"/>
      <c r="D6" s="228"/>
      <c r="E6" s="228"/>
    </row>
    <row r="7" spans="1:5">
      <c r="A7" s="227"/>
      <c r="B7" s="228"/>
      <c r="C7" s="228"/>
      <c r="D7" s="228"/>
      <c r="E7" s="228"/>
    </row>
    <row r="8" spans="1:5">
      <c r="A8" s="228"/>
      <c r="B8" s="228"/>
      <c r="C8" s="228"/>
      <c r="D8" s="229"/>
      <c r="E8" s="228"/>
    </row>
    <row r="9" spans="1:5">
      <c r="A9" s="231"/>
      <c r="B9" s="228"/>
      <c r="C9" s="228"/>
      <c r="D9" s="228"/>
      <c r="E9" s="228"/>
    </row>
    <row r="10" spans="1:5">
      <c r="A10" s="227"/>
      <c r="B10" s="228"/>
      <c r="C10" s="228"/>
      <c r="D10" s="228"/>
      <c r="E10" s="228"/>
    </row>
    <row r="11" spans="1:5">
      <c r="A11" s="227"/>
      <c r="B11" s="228"/>
      <c r="C11" s="228"/>
      <c r="D11" s="228"/>
      <c r="E11" s="228"/>
    </row>
    <row r="12" spans="1:5">
      <c r="A12" s="227"/>
      <c r="B12" s="228"/>
      <c r="C12" s="228"/>
      <c r="D12" s="228"/>
      <c r="E12" s="228"/>
    </row>
    <row r="13" spans="1:5">
      <c r="A13" s="227"/>
      <c r="B13" s="228"/>
      <c r="C13" s="228"/>
      <c r="D13" s="228"/>
      <c r="E13" s="228"/>
    </row>
    <row r="14" spans="1:5">
      <c r="A14" s="227"/>
      <c r="B14" s="228"/>
      <c r="C14" s="228"/>
      <c r="D14" s="228"/>
      <c r="E14" s="228"/>
    </row>
    <row r="15" spans="1:5">
      <c r="A15" s="227"/>
      <c r="B15" s="228"/>
      <c r="C15" s="228"/>
      <c r="D15" s="228"/>
      <c r="E15" s="228"/>
    </row>
    <row r="16" spans="1:5">
      <c r="A16" s="227"/>
      <c r="B16" s="228"/>
      <c r="C16" s="228"/>
      <c r="D16" s="228"/>
      <c r="E16" s="228"/>
    </row>
    <row r="17" spans="1:5">
      <c r="A17" s="227"/>
      <c r="B17" s="228"/>
      <c r="C17" s="228"/>
      <c r="D17" s="228"/>
      <c r="E17" s="228"/>
    </row>
    <row r="18" spans="1:5" ht="29.1" customHeight="1">
      <c r="A18" s="761" t="s">
        <v>0</v>
      </c>
      <c r="B18" s="761"/>
      <c r="C18" s="761"/>
      <c r="D18" s="761"/>
      <c r="E18" s="761"/>
    </row>
    <row r="19" spans="1:5" ht="19.8">
      <c r="A19" s="228"/>
      <c r="B19" s="228"/>
      <c r="C19" s="762"/>
      <c r="D19" s="762"/>
      <c r="E19" s="762"/>
    </row>
    <row r="20" spans="1:5">
      <c r="A20" s="228"/>
      <c r="B20" s="228"/>
      <c r="C20" s="228"/>
      <c r="D20" s="228"/>
      <c r="E20" s="228"/>
    </row>
    <row r="21" spans="1:5">
      <c r="A21" s="228"/>
      <c r="B21" s="228"/>
      <c r="C21" s="228"/>
      <c r="D21" s="232"/>
      <c r="E21" s="228"/>
    </row>
    <row r="22" spans="1:5">
      <c r="A22" s="763"/>
      <c r="B22" s="763"/>
      <c r="C22" s="763"/>
      <c r="D22" s="763"/>
      <c r="E22" s="763"/>
    </row>
    <row r="23" spans="1:5">
      <c r="A23" s="228"/>
      <c r="B23" s="228"/>
      <c r="C23" s="228"/>
      <c r="D23" s="228"/>
      <c r="E23" s="228"/>
    </row>
    <row r="24" spans="1:5">
      <c r="A24" s="227"/>
      <c r="B24" s="228"/>
      <c r="C24" s="228"/>
      <c r="D24" s="228"/>
      <c r="E24" s="228"/>
    </row>
    <row r="25" spans="1:5">
      <c r="A25" s="227"/>
      <c r="B25" s="228"/>
      <c r="C25" s="228"/>
      <c r="D25" s="229"/>
      <c r="E25" s="228"/>
    </row>
    <row r="26" spans="1:5">
      <c r="A26" s="227"/>
      <c r="B26" s="228"/>
      <c r="C26" s="228"/>
      <c r="D26" s="232"/>
      <c r="E26" s="228"/>
    </row>
    <row r="27" spans="1:5">
      <c r="B27" s="228"/>
      <c r="C27" s="228"/>
      <c r="D27" s="228"/>
      <c r="E27" s="228"/>
    </row>
    <row r="28" spans="1:5">
      <c r="A28" s="227"/>
      <c r="B28" s="228"/>
      <c r="C28" s="228"/>
      <c r="D28" s="228"/>
      <c r="E28" s="228"/>
    </row>
    <row r="29" spans="1:5">
      <c r="A29" s="227"/>
      <c r="B29" s="228"/>
      <c r="C29" s="228"/>
      <c r="D29" s="228"/>
      <c r="E29" s="228"/>
    </row>
    <row r="30" spans="1:5">
      <c r="A30" s="227"/>
      <c r="B30" s="228"/>
      <c r="C30" s="228"/>
      <c r="D30" s="229"/>
      <c r="E30" s="228"/>
    </row>
    <row r="31" spans="1:5">
      <c r="A31" s="227"/>
      <c r="B31" s="228"/>
      <c r="C31" s="228"/>
      <c r="D31" s="228"/>
      <c r="E31" s="228"/>
    </row>
    <row r="32" spans="1:5">
      <c r="A32" s="227"/>
      <c r="B32" s="228"/>
      <c r="C32" s="228"/>
      <c r="D32" s="228"/>
      <c r="E32" s="228"/>
    </row>
    <row r="33" spans="1:5">
      <c r="A33" s="227"/>
      <c r="B33" s="228"/>
      <c r="C33" s="228"/>
      <c r="D33" s="228"/>
      <c r="E33" s="228"/>
    </row>
    <row r="34" spans="1:5">
      <c r="A34" s="227"/>
      <c r="B34" s="228"/>
      <c r="C34" s="228"/>
      <c r="D34" s="228"/>
      <c r="E34" s="228"/>
    </row>
    <row r="35" spans="1:5">
      <c r="A35" s="503"/>
      <c r="B35" s="503"/>
      <c r="C35" s="503"/>
      <c r="D35" s="503"/>
      <c r="E35" s="503"/>
    </row>
    <row r="36" spans="1:5">
      <c r="A36" s="227"/>
      <c r="B36" s="228"/>
      <c r="C36" s="228"/>
      <c r="D36" s="228"/>
      <c r="E36" s="228"/>
    </row>
    <row r="37" spans="1:5">
      <c r="A37" s="227"/>
      <c r="B37" s="228"/>
      <c r="C37" s="228"/>
      <c r="D37" s="228"/>
      <c r="E37" s="228"/>
    </row>
    <row r="38" spans="1:5">
      <c r="A38" s="227"/>
      <c r="B38" s="228"/>
      <c r="C38" s="228"/>
      <c r="D38" s="228"/>
      <c r="E38" s="228"/>
    </row>
    <row r="39" spans="1:5">
      <c r="A39" s="233"/>
      <c r="B39" s="228"/>
      <c r="C39" s="233"/>
      <c r="D39" s="234"/>
      <c r="E39" s="228"/>
    </row>
    <row r="40" spans="1:5" ht="22.8">
      <c r="A40" s="227"/>
      <c r="B40" s="765" t="s">
        <v>745</v>
      </c>
      <c r="C40" s="765"/>
      <c r="D40" s="765"/>
      <c r="E40" s="335"/>
    </row>
    <row r="41" spans="1:5">
      <c r="A41" s="227"/>
      <c r="B41" s="428"/>
      <c r="C41" s="428"/>
      <c r="D41" s="428"/>
      <c r="E41" s="335"/>
    </row>
    <row r="42" spans="1:5">
      <c r="A42" s="503"/>
      <c r="B42" s="503"/>
      <c r="E42" s="228"/>
    </row>
    <row r="43" spans="1:5">
      <c r="A43" s="503"/>
      <c r="B43" s="503"/>
      <c r="C43" s="503"/>
      <c r="D43" s="503"/>
      <c r="E43" s="503"/>
    </row>
    <row r="44" spans="1:5">
      <c r="A44" s="503"/>
      <c r="B44" s="503"/>
      <c r="C44" s="503"/>
      <c r="D44" s="503"/>
      <c r="E44" s="503"/>
    </row>
    <row r="45" spans="1:5">
      <c r="A45" s="503"/>
      <c r="B45" s="503"/>
      <c r="C45" s="503"/>
      <c r="D45" s="503"/>
      <c r="E45" s="503"/>
    </row>
    <row r="46" spans="1:5">
      <c r="A46" s="503"/>
      <c r="B46" s="503"/>
      <c r="C46" s="503"/>
      <c r="D46" s="503"/>
      <c r="E46" s="503"/>
    </row>
    <row r="47" spans="1:5">
      <c r="A47" s="503"/>
      <c r="B47" s="503"/>
      <c r="C47" s="503"/>
      <c r="D47" s="503"/>
      <c r="E47" s="503"/>
    </row>
    <row r="48" spans="1:5">
      <c r="A48" s="235"/>
      <c r="B48" s="235"/>
      <c r="C48" s="235"/>
      <c r="D48" s="235"/>
      <c r="E48" s="235"/>
    </row>
    <row r="49" spans="1:6">
      <c r="A49" s="235"/>
      <c r="B49" s="235"/>
      <c r="C49" s="235"/>
      <c r="D49" s="235"/>
      <c r="E49" s="235"/>
    </row>
    <row r="50" spans="1:6">
      <c r="A50" s="235"/>
      <c r="B50" s="235"/>
      <c r="C50" s="235"/>
      <c r="D50" s="235"/>
      <c r="E50" s="235"/>
    </row>
    <row r="51" spans="1:6" ht="19.2">
      <c r="A51" s="764" t="s">
        <v>1</v>
      </c>
      <c r="B51" s="764"/>
      <c r="C51" s="764"/>
      <c r="D51" s="764"/>
      <c r="E51" s="764"/>
      <c r="F51" s="504"/>
    </row>
    <row r="52" spans="1:6" ht="19.2">
      <c r="A52" s="630"/>
      <c r="B52" s="630"/>
      <c r="C52" s="630"/>
      <c r="D52" s="630"/>
      <c r="E52" s="630"/>
      <c r="F52" s="504"/>
    </row>
    <row r="53" spans="1:6" ht="48" customHeight="1">
      <c r="A53" s="755" t="s">
        <v>746</v>
      </c>
      <c r="B53" s="756"/>
      <c r="C53" s="756"/>
      <c r="D53" s="756"/>
      <c r="E53" s="756"/>
      <c r="F53" s="505"/>
    </row>
    <row r="54" spans="1:6" ht="15.75" customHeight="1">
      <c r="A54" s="631"/>
      <c r="B54" s="632"/>
      <c r="C54" s="632"/>
      <c r="D54" s="632"/>
      <c r="E54" s="632"/>
      <c r="F54" s="505"/>
    </row>
    <row r="55" spans="1:6">
      <c r="A55" s="757" t="s">
        <v>2</v>
      </c>
      <c r="B55" s="757"/>
      <c r="C55" s="757"/>
      <c r="D55" s="757"/>
      <c r="E55" s="757"/>
    </row>
    <row r="56" spans="1:6">
      <c r="A56" s="757" t="s">
        <v>3</v>
      </c>
      <c r="B56" s="757"/>
      <c r="C56" s="757"/>
      <c r="D56" s="757"/>
      <c r="E56" s="757"/>
    </row>
    <row r="57" spans="1:6">
      <c r="A57" s="757" t="s">
        <v>726</v>
      </c>
      <c r="B57" s="757"/>
      <c r="C57" s="757"/>
      <c r="D57" s="757"/>
      <c r="E57" s="757"/>
    </row>
    <row r="58" spans="1:6">
      <c r="A58" s="628"/>
      <c r="B58" s="628"/>
      <c r="C58" s="628"/>
      <c r="D58" s="628"/>
      <c r="E58" s="628"/>
    </row>
    <row r="59" spans="1:6">
      <c r="A59" s="759"/>
      <c r="B59" s="759"/>
      <c r="C59" s="759"/>
      <c r="D59" s="759"/>
      <c r="E59" s="759"/>
    </row>
    <row r="60" spans="1:6">
      <c r="A60" s="760"/>
      <c r="B60" s="760"/>
      <c r="C60" s="760"/>
      <c r="D60" s="760"/>
      <c r="E60" s="760"/>
    </row>
    <row r="61" spans="1:6">
      <c r="A61" s="760" t="s">
        <v>689</v>
      </c>
      <c r="B61" s="760"/>
      <c r="C61" s="760"/>
      <c r="D61" s="760"/>
      <c r="E61" s="760"/>
    </row>
    <row r="62" spans="1:6">
      <c r="A62" s="629"/>
      <c r="B62" s="629"/>
      <c r="C62" s="629"/>
      <c r="D62" s="629"/>
      <c r="E62" s="629"/>
    </row>
    <row r="63" spans="1:6">
      <c r="A63" s="758" t="s">
        <v>4</v>
      </c>
      <c r="B63" s="758"/>
      <c r="C63" s="758"/>
      <c r="D63" s="758"/>
      <c r="E63" s="758"/>
    </row>
    <row r="64" spans="1:6">
      <c r="A64" s="757" t="s">
        <v>5</v>
      </c>
      <c r="B64" s="757"/>
      <c r="C64" s="757"/>
      <c r="D64" s="757"/>
      <c r="E64" s="757"/>
    </row>
    <row r="65" spans="1:5">
      <c r="A65" s="235"/>
      <c r="B65" s="235"/>
      <c r="C65" s="235"/>
      <c r="D65" s="235"/>
      <c r="E65" s="235"/>
    </row>
    <row r="66" spans="1:5">
      <c r="A66" s="235"/>
      <c r="B66" s="235"/>
      <c r="C66" s="235"/>
      <c r="D66" s="235"/>
      <c r="E66" s="235"/>
    </row>
    <row r="67" spans="1:5">
      <c r="A67" s="235"/>
      <c r="B67" s="235"/>
      <c r="C67" s="235"/>
      <c r="D67" s="235"/>
      <c r="E67" s="235"/>
    </row>
    <row r="68" spans="1:5">
      <c r="A68" s="235"/>
      <c r="B68" s="235"/>
      <c r="C68" s="235"/>
      <c r="D68" s="235"/>
      <c r="E68" s="235"/>
    </row>
    <row r="69" spans="1:5">
      <c r="A69" s="235"/>
      <c r="B69" s="235"/>
      <c r="C69" s="235"/>
      <c r="D69" s="235"/>
      <c r="E69" s="235"/>
    </row>
    <row r="70" spans="1:5">
      <c r="A70" s="753" t="s">
        <v>6</v>
      </c>
      <c r="B70" s="753"/>
      <c r="C70" s="753"/>
      <c r="D70" s="753"/>
      <c r="E70" s="753"/>
    </row>
    <row r="71" spans="1:5">
      <c r="A71" s="754" t="s">
        <v>681</v>
      </c>
      <c r="B71" s="754"/>
      <c r="C71" s="754"/>
      <c r="D71" s="754"/>
      <c r="E71" s="754"/>
    </row>
    <row r="72" spans="1:5">
      <c r="A72" s="235"/>
      <c r="B72" s="235"/>
      <c r="C72" s="235"/>
      <c r="D72" s="235"/>
      <c r="E72" s="235"/>
    </row>
    <row r="73" spans="1:5">
      <c r="A73" s="235"/>
      <c r="B73" s="235"/>
      <c r="C73" s="235"/>
      <c r="D73" s="235"/>
      <c r="E73" s="235"/>
    </row>
    <row r="74" spans="1:5">
      <c r="A74" s="235"/>
      <c r="B74" s="235"/>
      <c r="C74" s="235"/>
      <c r="D74" s="235"/>
      <c r="E74" s="235"/>
    </row>
    <row r="75" spans="1:5">
      <c r="A75" s="753" t="s">
        <v>7</v>
      </c>
      <c r="B75" s="753"/>
      <c r="C75" s="753"/>
      <c r="D75" s="753"/>
      <c r="E75" s="753"/>
    </row>
    <row r="76" spans="1:5">
      <c r="A76" s="235"/>
      <c r="B76" s="503"/>
      <c r="C76" s="503"/>
      <c r="D76" s="503"/>
      <c r="E76" s="503"/>
    </row>
    <row r="77" spans="1:5">
      <c r="A77" s="235"/>
      <c r="B77" s="503"/>
      <c r="C77" s="503"/>
      <c r="D77" s="503"/>
      <c r="E77" s="503"/>
    </row>
    <row r="78" spans="1:5">
      <c r="A78" s="235"/>
      <c r="B78" s="503"/>
      <c r="C78" s="503"/>
      <c r="D78" s="503"/>
      <c r="E78" s="503"/>
    </row>
    <row r="79" spans="1:5">
      <c r="A79" s="235"/>
      <c r="B79" s="503"/>
      <c r="C79" s="503"/>
      <c r="D79" s="503"/>
      <c r="E79" s="503"/>
    </row>
    <row r="80" spans="1:5">
      <c r="A80" s="235"/>
      <c r="B80" s="503"/>
      <c r="C80" s="503"/>
      <c r="D80" s="503"/>
      <c r="E80" s="503"/>
    </row>
    <row r="81" spans="1:5">
      <c r="A81" s="506"/>
      <c r="B81" s="506"/>
      <c r="C81" s="503"/>
      <c r="D81" s="503"/>
      <c r="E81" s="503"/>
    </row>
    <row r="82" spans="1:5">
      <c r="A82" s="236" t="s">
        <v>8</v>
      </c>
      <c r="B82" s="503"/>
      <c r="C82" s="503"/>
      <c r="D82" s="503"/>
      <c r="E82" s="503"/>
    </row>
    <row r="83" spans="1:5">
      <c r="A83" s="236" t="s">
        <v>9</v>
      </c>
      <c r="B83" s="503"/>
      <c r="C83" s="503"/>
      <c r="D83" s="503"/>
      <c r="E83" s="503"/>
    </row>
    <row r="84" spans="1:5">
      <c r="A84" s="236" t="s">
        <v>10</v>
      </c>
      <c r="B84" s="503"/>
      <c r="C84" s="237"/>
      <c r="D84" s="238"/>
      <c r="E84" s="503"/>
    </row>
    <row r="85" spans="1:5">
      <c r="A85" s="239" t="s">
        <v>11</v>
      </c>
      <c r="B85" s="507"/>
      <c r="C85" s="503"/>
      <c r="D85" s="503"/>
      <c r="E85" s="503"/>
    </row>
    <row r="86" spans="1:5">
      <c r="A86" s="503"/>
      <c r="B86" s="503"/>
      <c r="C86" s="503"/>
      <c r="D86" s="503"/>
      <c r="E86" s="503"/>
    </row>
    <row r="87" spans="1:5">
      <c r="A87" s="508"/>
      <c r="B87" s="508"/>
      <c r="C87" s="508"/>
      <c r="D87" s="508"/>
      <c r="E87" s="508"/>
    </row>
    <row r="88" spans="1:5">
      <c r="A88" s="508"/>
      <c r="B88" s="508"/>
      <c r="C88" s="508"/>
      <c r="D88" s="508"/>
      <c r="E88" s="508"/>
    </row>
    <row r="89" spans="1:5">
      <c r="A89" s="508"/>
      <c r="B89" s="508"/>
      <c r="C89" s="508"/>
      <c r="D89" s="508"/>
      <c r="E89" s="508"/>
    </row>
  </sheetData>
  <mergeCells count="17">
    <mergeCell ref="A18:E18"/>
    <mergeCell ref="C19:E19"/>
    <mergeCell ref="A22:E22"/>
    <mergeCell ref="A51:E51"/>
    <mergeCell ref="A56:E56"/>
    <mergeCell ref="A55:E55"/>
    <mergeCell ref="B40:D40"/>
    <mergeCell ref="A70:E70"/>
    <mergeCell ref="A71:E71"/>
    <mergeCell ref="A75:E75"/>
    <mergeCell ref="A53:E53"/>
    <mergeCell ref="A57:E57"/>
    <mergeCell ref="A63:E63"/>
    <mergeCell ref="A64:E64"/>
    <mergeCell ref="A59:E59"/>
    <mergeCell ref="A60:E60"/>
    <mergeCell ref="A61:E61"/>
  </mergeCells>
  <pageMargins left="0.23622047244094491" right="0.23622047244094491" top="0.74803149606299213" bottom="0.74803149606299213" header="0.31496062992125984" footer="0.31496062992125984"/>
  <pageSetup paperSize="126" scale="93"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topLeftCell="A10" zoomScaleNormal="100" zoomScaleSheetLayoutView="50" workbookViewId="0">
      <selection activeCell="I11" sqref="I11"/>
    </sheetView>
  </sheetViews>
  <sheetFormatPr baseColWidth="10" defaultColWidth="10.921875" defaultRowHeight="13.2"/>
  <cols>
    <col min="1" max="1" width="2.15234375" style="8" customWidth="1"/>
    <col min="2" max="2" width="13.921875" style="8" customWidth="1"/>
    <col min="3" max="3" width="18.921875" style="8" customWidth="1"/>
    <col min="4" max="6" width="9.921875" style="8" customWidth="1"/>
    <col min="7" max="7" width="3.3828125" style="8" customWidth="1"/>
    <col min="8" max="8" width="4.07421875" style="8" customWidth="1"/>
    <col min="9" max="9" width="14.15234375" style="8" customWidth="1"/>
    <col min="10" max="10" width="4.07421875" style="8" customWidth="1"/>
    <col min="11" max="16384" width="10.921875" style="8"/>
  </cols>
  <sheetData>
    <row r="1" spans="2:22">
      <c r="B1" s="788" t="s">
        <v>163</v>
      </c>
      <c r="C1" s="788"/>
      <c r="D1" s="788"/>
      <c r="E1" s="788"/>
      <c r="F1" s="788"/>
      <c r="G1" s="788"/>
      <c r="H1" s="39"/>
      <c r="I1" s="39"/>
      <c r="J1" s="39"/>
      <c r="K1" s="39"/>
      <c r="L1" s="39"/>
      <c r="M1" s="39"/>
      <c r="N1" s="39"/>
      <c r="O1" s="39"/>
      <c r="P1" s="39"/>
      <c r="Q1" s="39"/>
      <c r="R1" s="39"/>
      <c r="S1" s="39"/>
      <c r="T1" s="39"/>
      <c r="U1" s="39"/>
      <c r="V1" s="39"/>
    </row>
    <row r="2" spans="2:22">
      <c r="B2" s="31"/>
      <c r="C2" s="31"/>
      <c r="D2" s="31"/>
      <c r="E2" s="31"/>
      <c r="F2" s="31"/>
      <c r="G2" s="31"/>
      <c r="H2" s="39"/>
      <c r="I2" s="39"/>
      <c r="J2" s="39"/>
      <c r="K2" s="39"/>
      <c r="L2" s="39"/>
      <c r="M2" s="39"/>
      <c r="N2" s="39"/>
      <c r="O2" s="39"/>
      <c r="P2" s="39"/>
      <c r="Q2" s="39"/>
      <c r="R2" s="39"/>
      <c r="S2" s="39"/>
      <c r="T2" s="39"/>
      <c r="U2" s="39"/>
      <c r="V2" s="39"/>
    </row>
    <row r="3" spans="2:22" ht="41.25" customHeight="1">
      <c r="B3" s="789" t="s">
        <v>723</v>
      </c>
      <c r="C3" s="789"/>
      <c r="D3" s="808"/>
      <c r="E3" s="808"/>
      <c r="F3" s="808"/>
      <c r="G3" s="35"/>
      <c r="H3" s="39"/>
      <c r="I3" s="39"/>
      <c r="J3" s="39"/>
      <c r="K3" s="39"/>
      <c r="L3" s="39"/>
      <c r="M3" s="39"/>
      <c r="N3" s="39"/>
      <c r="O3" s="39"/>
      <c r="P3" s="39"/>
      <c r="Q3" s="39"/>
      <c r="R3" s="39"/>
      <c r="S3" s="39"/>
      <c r="T3" s="39"/>
      <c r="U3" s="39"/>
      <c r="V3" s="39"/>
    </row>
    <row r="4" spans="2:22" s="19" customFormat="1" ht="57" customHeight="1">
      <c r="B4" s="790" t="s">
        <v>722</v>
      </c>
      <c r="C4" s="809"/>
      <c r="D4" s="809"/>
      <c r="E4" s="809"/>
      <c r="F4" s="809"/>
    </row>
    <row r="5" spans="2:22" s="19" customFormat="1" ht="30.9" customHeight="1">
      <c r="B5" s="810"/>
      <c r="C5" s="810"/>
      <c r="D5" s="339" t="s">
        <v>164</v>
      </c>
      <c r="E5" s="339" t="s">
        <v>165</v>
      </c>
      <c r="F5" s="339" t="s">
        <v>166</v>
      </c>
    </row>
    <row r="6" spans="2:22" s="19" customFormat="1" ht="15.75" customHeight="1">
      <c r="B6" s="805" t="s">
        <v>713</v>
      </c>
      <c r="C6" s="805"/>
      <c r="D6" s="51">
        <v>72</v>
      </c>
      <c r="E6" s="51">
        <v>80</v>
      </c>
      <c r="F6" s="528">
        <v>65</v>
      </c>
    </row>
    <row r="7" spans="2:22" s="19" customFormat="1" ht="15.75" customHeight="1">
      <c r="B7" s="804" t="s">
        <v>721</v>
      </c>
      <c r="C7" s="805"/>
      <c r="D7" s="67">
        <v>64800</v>
      </c>
      <c r="E7" s="67">
        <v>123500</v>
      </c>
      <c r="F7" s="529">
        <v>57000</v>
      </c>
    </row>
    <row r="8" spans="2:22" ht="15.75" customHeight="1">
      <c r="B8" s="804" t="s">
        <v>720</v>
      </c>
      <c r="C8" s="805"/>
      <c r="D8" s="67">
        <v>322200</v>
      </c>
      <c r="E8" s="67">
        <v>334000</v>
      </c>
      <c r="F8" s="529">
        <v>293800</v>
      </c>
      <c r="G8" s="39"/>
      <c r="H8" s="132"/>
      <c r="I8" s="142"/>
      <c r="J8" s="39"/>
      <c r="K8" s="39"/>
      <c r="L8" s="39"/>
      <c r="M8" s="39"/>
      <c r="N8" s="39"/>
      <c r="O8" s="39"/>
      <c r="P8" s="39"/>
      <c r="Q8" s="39"/>
      <c r="R8" s="39"/>
      <c r="S8" s="39"/>
      <c r="T8" s="39"/>
      <c r="U8" s="39"/>
      <c r="V8" s="39"/>
    </row>
    <row r="9" spans="2:22" ht="15.75" customHeight="1">
      <c r="B9" s="804" t="s">
        <v>719</v>
      </c>
      <c r="C9" s="805"/>
      <c r="D9" s="67">
        <v>553265</v>
      </c>
      <c r="E9" s="67">
        <v>679795</v>
      </c>
      <c r="F9" s="529">
        <v>559795</v>
      </c>
      <c r="G9" s="39"/>
      <c r="H9" s="132"/>
      <c r="I9" s="142"/>
      <c r="J9" s="39"/>
      <c r="K9" s="39"/>
      <c r="L9" s="39"/>
      <c r="M9" s="39"/>
      <c r="N9" s="39"/>
      <c r="O9" s="39"/>
      <c r="P9" s="39"/>
      <c r="Q9" s="39"/>
      <c r="R9" s="39"/>
      <c r="S9" s="39"/>
      <c r="T9" s="39"/>
      <c r="U9" s="39"/>
      <c r="V9" s="39"/>
    </row>
    <row r="10" spans="2:22" ht="15.75" customHeight="1">
      <c r="B10" s="806" t="s">
        <v>718</v>
      </c>
      <c r="C10" s="807"/>
      <c r="D10" s="67">
        <f>47013+81450</f>
        <v>128463</v>
      </c>
      <c r="E10" s="67">
        <f>56865+71650</f>
        <v>128515</v>
      </c>
      <c r="F10" s="529">
        <f>45530+57367</f>
        <v>102897</v>
      </c>
      <c r="G10" s="39"/>
      <c r="H10" s="132"/>
      <c r="I10" s="142"/>
      <c r="J10" s="39"/>
      <c r="K10" s="39"/>
      <c r="L10" s="39"/>
      <c r="M10" s="39"/>
      <c r="N10" s="39"/>
      <c r="O10" s="39"/>
      <c r="P10" s="39"/>
      <c r="Q10" s="39"/>
      <c r="R10" s="39"/>
      <c r="S10" s="39"/>
      <c r="T10" s="39"/>
      <c r="U10" s="39"/>
      <c r="V10" s="39"/>
    </row>
    <row r="11" spans="2:22" ht="15.75" customHeight="1">
      <c r="B11" s="804" t="s">
        <v>170</v>
      </c>
      <c r="C11" s="805"/>
      <c r="D11" s="67">
        <f>SUM(D7:D10)</f>
        <v>1068728</v>
      </c>
      <c r="E11" s="67">
        <f>SUM(E7:E10)</f>
        <v>1265810</v>
      </c>
      <c r="F11" s="67">
        <f>SUM(F7:F10)</f>
        <v>1013492</v>
      </c>
      <c r="G11" s="39"/>
      <c r="H11" s="132"/>
      <c r="I11" s="142"/>
      <c r="J11" s="39"/>
      <c r="K11" s="39"/>
      <c r="L11" s="39"/>
      <c r="M11" s="39"/>
      <c r="N11" s="39"/>
      <c r="O11" s="39"/>
      <c r="P11" s="39"/>
      <c r="Q11" s="39"/>
      <c r="R11" s="39"/>
      <c r="S11" s="39"/>
      <c r="T11" s="39"/>
      <c r="U11" s="39"/>
      <c r="V11" s="39"/>
    </row>
    <row r="12" spans="2:22" ht="19.5" customHeight="1">
      <c r="B12" s="804" t="s">
        <v>171</v>
      </c>
      <c r="C12" s="812"/>
      <c r="D12" s="46">
        <v>30461.425943301976</v>
      </c>
      <c r="E12" s="46">
        <v>30461.425943301976</v>
      </c>
      <c r="F12" s="46">
        <v>30461.425943301976</v>
      </c>
      <c r="G12" s="39"/>
      <c r="H12" s="132"/>
      <c r="I12" s="142"/>
      <c r="J12" s="39"/>
      <c r="K12" s="39"/>
      <c r="L12" s="79"/>
      <c r="M12" s="79"/>
      <c r="N12" s="79"/>
      <c r="O12" s="79"/>
      <c r="P12" s="79"/>
      <c r="Q12" s="79"/>
      <c r="R12" s="79"/>
      <c r="S12" s="79"/>
      <c r="T12" s="79"/>
      <c r="U12" s="79"/>
      <c r="V12" s="79"/>
    </row>
    <row r="13" spans="2:22" ht="16.5" customHeight="1">
      <c r="B13" s="817" t="s">
        <v>172</v>
      </c>
      <c r="C13" s="818"/>
      <c r="D13" s="46">
        <f>D12*D6</f>
        <v>2193222.6679177424</v>
      </c>
      <c r="E13" s="46">
        <f>E12*E6</f>
        <v>2436914.0754641583</v>
      </c>
      <c r="F13" s="46">
        <f>F12*F6</f>
        <v>1979992.6863146285</v>
      </c>
      <c r="G13" s="39"/>
      <c r="H13" s="132"/>
      <c r="I13" s="142"/>
      <c r="J13" s="39"/>
      <c r="K13" s="85"/>
      <c r="L13" s="83"/>
      <c r="M13" s="82"/>
      <c r="N13" s="82"/>
      <c r="O13" s="82"/>
      <c r="P13" s="82"/>
      <c r="Q13" s="82"/>
      <c r="R13" s="82"/>
      <c r="S13" s="80"/>
      <c r="T13" s="80"/>
      <c r="U13" s="80"/>
      <c r="V13" s="80"/>
    </row>
    <row r="14" spans="2:22" ht="16.5" customHeight="1">
      <c r="B14" s="817" t="s">
        <v>173</v>
      </c>
      <c r="C14" s="818"/>
      <c r="D14" s="46">
        <f>D13-D11</f>
        <v>1124494.6679177424</v>
      </c>
      <c r="E14" s="46">
        <f>E13-E11</f>
        <v>1171104.0754641583</v>
      </c>
      <c r="F14" s="46">
        <f>F13-F11</f>
        <v>966500.68631462846</v>
      </c>
      <c r="G14" s="39"/>
      <c r="H14" s="132"/>
      <c r="I14" s="142"/>
      <c r="J14" s="39"/>
      <c r="K14" s="85"/>
      <c r="L14" s="83"/>
      <c r="M14" s="82"/>
      <c r="N14" s="82"/>
      <c r="O14" s="82"/>
      <c r="P14" s="82"/>
      <c r="Q14" s="82"/>
      <c r="R14" s="82"/>
      <c r="S14" s="80"/>
      <c r="T14" s="80"/>
      <c r="U14" s="80"/>
      <c r="V14" s="80"/>
    </row>
    <row r="15" spans="2:22" ht="16.5" customHeight="1">
      <c r="B15" s="821"/>
      <c r="C15" s="822"/>
      <c r="D15" s="820"/>
      <c r="E15" s="822"/>
      <c r="F15" s="823"/>
      <c r="G15" s="39"/>
      <c r="H15" s="132"/>
      <c r="I15" s="142"/>
      <c r="J15" s="39"/>
      <c r="K15" s="85"/>
      <c r="L15" s="86"/>
      <c r="M15" s="84"/>
      <c r="N15" s="84"/>
      <c r="O15" s="84"/>
      <c r="P15" s="84"/>
      <c r="Q15" s="84"/>
      <c r="R15" s="84"/>
      <c r="S15" s="78"/>
      <c r="T15" s="78"/>
      <c r="U15" s="78"/>
      <c r="V15" s="78"/>
    </row>
    <row r="16" spans="2:22" s="19" customFormat="1" ht="16.5" customHeight="1">
      <c r="B16" s="820" t="s">
        <v>174</v>
      </c>
      <c r="C16" s="820"/>
      <c r="D16" s="820"/>
      <c r="E16" s="820"/>
      <c r="F16" s="820"/>
      <c r="H16" s="87"/>
      <c r="I16" s="88"/>
    </row>
    <row r="17" spans="2:18" ht="41.25" customHeight="1">
      <c r="B17" s="45" t="s">
        <v>175</v>
      </c>
      <c r="C17" s="48" t="s">
        <v>724</v>
      </c>
      <c r="D17" s="46">
        <v>60</v>
      </c>
      <c r="E17" s="46">
        <v>70</v>
      </c>
      <c r="F17" s="46">
        <v>75</v>
      </c>
      <c r="G17" s="27"/>
      <c r="H17" s="132"/>
      <c r="I17" s="142"/>
      <c r="J17" s="39"/>
      <c r="K17" s="39"/>
      <c r="L17" s="39"/>
      <c r="M17" s="39"/>
      <c r="N17" s="39"/>
      <c r="O17" s="39"/>
      <c r="P17" s="39"/>
      <c r="Q17" s="39"/>
      <c r="R17" s="39"/>
    </row>
    <row r="18" spans="2:18" ht="15.75" customHeight="1">
      <c r="B18" s="45" t="s">
        <v>176</v>
      </c>
      <c r="C18" s="45">
        <f>D12</f>
        <v>30461.425943301976</v>
      </c>
      <c r="D18" s="46">
        <f>(D$17*$C18)-$D$11</f>
        <v>758957.55659811851</v>
      </c>
      <c r="E18" s="46">
        <f>(E$17*$C18)-$D$11</f>
        <v>1063571.8160311384</v>
      </c>
      <c r="F18" s="46">
        <f>(F$17*$C18)-$D$11</f>
        <v>1215878.9457476484</v>
      </c>
      <c r="G18" s="54"/>
      <c r="H18" s="132"/>
      <c r="I18" s="82"/>
      <c r="J18" s="82"/>
      <c r="K18" s="39"/>
      <c r="L18" s="39"/>
      <c r="M18" s="39"/>
      <c r="N18" s="39"/>
      <c r="O18" s="39"/>
      <c r="P18" s="39"/>
      <c r="Q18" s="39"/>
      <c r="R18" s="39"/>
    </row>
    <row r="19" spans="2:18" ht="15.75" customHeight="1">
      <c r="B19" s="47" t="s">
        <v>717</v>
      </c>
      <c r="C19" s="47"/>
      <c r="D19" s="46">
        <f>$D$11/D17</f>
        <v>17812.133333333335</v>
      </c>
      <c r="E19" s="46">
        <f>$D$11/E17</f>
        <v>15267.542857142857</v>
      </c>
      <c r="F19" s="46">
        <f>$D$11/F17</f>
        <v>14249.706666666667</v>
      </c>
      <c r="G19" s="54"/>
      <c r="H19" s="89"/>
      <c r="I19" s="82"/>
      <c r="J19" s="82"/>
      <c r="K19" s="39"/>
      <c r="L19" s="39"/>
      <c r="M19" s="39"/>
      <c r="N19" s="39"/>
      <c r="O19" s="39"/>
      <c r="P19" s="39"/>
      <c r="Q19" s="39"/>
      <c r="R19" s="39"/>
    </row>
    <row r="20" spans="2:18" ht="24.9" customHeight="1">
      <c r="B20" s="791" t="s">
        <v>177</v>
      </c>
      <c r="C20" s="791"/>
      <c r="D20" s="791"/>
      <c r="E20" s="791"/>
      <c r="F20" s="791"/>
      <c r="G20" s="54"/>
      <c r="H20" s="89"/>
      <c r="I20" s="82"/>
      <c r="J20" s="82"/>
      <c r="K20" s="39"/>
      <c r="L20" s="39"/>
      <c r="M20" s="39"/>
      <c r="N20" s="39"/>
      <c r="O20" s="39"/>
      <c r="P20" s="39"/>
      <c r="Q20" s="39"/>
      <c r="R20" s="39"/>
    </row>
    <row r="21" spans="2:18" ht="15.75" customHeight="1">
      <c r="B21" s="819" t="s">
        <v>178</v>
      </c>
      <c r="C21" s="819"/>
      <c r="D21" s="819"/>
      <c r="E21" s="819"/>
      <c r="F21" s="819"/>
      <c r="G21" s="54"/>
      <c r="H21" s="89"/>
      <c r="I21" s="82"/>
      <c r="J21" s="82"/>
      <c r="K21" s="39"/>
      <c r="L21" s="39"/>
      <c r="M21" s="39"/>
      <c r="N21" s="39"/>
      <c r="O21" s="39"/>
      <c r="P21" s="39"/>
      <c r="Q21" s="39"/>
      <c r="R21" s="39"/>
    </row>
    <row r="22" spans="2:18" ht="29.1" customHeight="1">
      <c r="B22" s="824" t="s">
        <v>725</v>
      </c>
      <c r="C22" s="825"/>
      <c r="D22" s="825"/>
      <c r="E22" s="825"/>
      <c r="F22" s="826"/>
      <c r="G22" s="54"/>
      <c r="H22" s="89"/>
      <c r="I22" s="82"/>
      <c r="J22" s="82"/>
      <c r="K22" s="39"/>
      <c r="L22" s="39"/>
      <c r="M22" s="39"/>
      <c r="N22" s="39"/>
      <c r="O22" s="39"/>
      <c r="P22" s="39"/>
      <c r="Q22" s="39"/>
      <c r="R22" s="39"/>
    </row>
    <row r="23" spans="2:18" ht="15.75" customHeight="1">
      <c r="B23" s="814" t="s">
        <v>714</v>
      </c>
      <c r="C23" s="815"/>
      <c r="D23" s="815"/>
      <c r="E23" s="815"/>
      <c r="F23" s="816"/>
      <c r="G23" s="54"/>
      <c r="H23" s="89"/>
      <c r="I23" s="82"/>
      <c r="J23" s="82"/>
      <c r="K23" s="39"/>
      <c r="L23" s="39"/>
      <c r="M23" s="39"/>
      <c r="N23" s="39"/>
      <c r="O23" s="39"/>
      <c r="P23" s="39"/>
      <c r="Q23" s="39"/>
      <c r="R23" s="39"/>
    </row>
    <row r="24" spans="2:18" ht="31.8" customHeight="1">
      <c r="B24" s="813" t="s">
        <v>715</v>
      </c>
      <c r="C24" s="813"/>
      <c r="D24" s="813"/>
      <c r="E24" s="813"/>
      <c r="F24" s="813"/>
      <c r="G24" s="54"/>
      <c r="H24" s="89"/>
      <c r="I24" s="82"/>
      <c r="J24" s="82"/>
      <c r="K24" s="39"/>
      <c r="L24" s="39"/>
      <c r="M24" s="39"/>
      <c r="N24" s="39"/>
      <c r="O24" s="39"/>
      <c r="P24" s="39"/>
      <c r="Q24" s="39"/>
      <c r="R24" s="39"/>
    </row>
    <row r="25" spans="2:18" ht="35.700000000000003" customHeight="1">
      <c r="B25" s="811" t="s">
        <v>716</v>
      </c>
      <c r="C25" s="811"/>
      <c r="D25" s="811"/>
      <c r="E25" s="811"/>
      <c r="F25" s="811"/>
      <c r="G25" s="54"/>
      <c r="H25" s="89"/>
      <c r="I25" s="82"/>
      <c r="J25" s="82"/>
      <c r="K25" s="131"/>
      <c r="L25" s="131"/>
      <c r="M25" s="132"/>
      <c r="N25" s="28"/>
      <c r="O25" s="39"/>
      <c r="P25" s="39"/>
      <c r="Q25" s="39"/>
      <c r="R25" s="39"/>
    </row>
    <row r="26" spans="2:18" ht="16.5" customHeight="1">
      <c r="B26" s="39"/>
      <c r="C26" s="34"/>
      <c r="D26" s="98"/>
      <c r="E26" s="98"/>
      <c r="F26" s="99"/>
      <c r="G26" s="54"/>
      <c r="H26" s="89"/>
      <c r="I26" s="82"/>
      <c r="J26" s="82"/>
      <c r="K26" s="131"/>
      <c r="L26" s="131"/>
      <c r="M26" s="132"/>
      <c r="N26" s="28"/>
      <c r="O26" s="39"/>
      <c r="P26" s="39"/>
      <c r="Q26" s="39"/>
      <c r="R26" s="39"/>
    </row>
    <row r="27" spans="2:18" ht="16.5" customHeight="1">
      <c r="B27" s="39"/>
      <c r="C27" s="34"/>
      <c r="D27" s="98"/>
      <c r="E27" s="98"/>
      <c r="F27" s="99"/>
      <c r="G27" s="54"/>
      <c r="H27" s="89"/>
      <c r="I27" s="82"/>
      <c r="J27" s="82"/>
      <c r="K27" s="131"/>
      <c r="L27" s="131"/>
      <c r="M27" s="132"/>
      <c r="N27" s="28"/>
      <c r="O27" s="39"/>
      <c r="P27" s="39"/>
      <c r="Q27" s="39"/>
      <c r="R27" s="39"/>
    </row>
    <row r="28" spans="2:18" ht="16.5" customHeight="1">
      <c r="B28" s="39"/>
      <c r="C28" s="34"/>
      <c r="D28" s="98"/>
      <c r="E28" s="98"/>
      <c r="F28" s="99"/>
      <c r="G28" s="54"/>
      <c r="H28" s="89"/>
      <c r="I28" s="89"/>
      <c r="J28" s="89"/>
      <c r="K28" s="526"/>
      <c r="L28" s="131"/>
      <c r="M28" s="132"/>
      <c r="N28" s="28"/>
      <c r="O28" s="39"/>
      <c r="P28" s="39"/>
      <c r="Q28" s="39"/>
      <c r="R28" s="39"/>
    </row>
    <row r="29" spans="2:18" ht="16.5" customHeight="1">
      <c r="B29" s="39"/>
      <c r="C29" s="70"/>
      <c r="D29" s="34"/>
      <c r="E29" s="39"/>
      <c r="F29" s="55"/>
      <c r="G29" s="54"/>
      <c r="H29" s="81"/>
      <c r="I29" s="142"/>
      <c r="J29" s="527"/>
      <c r="K29" s="131"/>
      <c r="L29" s="131"/>
      <c r="M29" s="132"/>
      <c r="N29" s="28"/>
      <c r="O29" s="39"/>
      <c r="P29" s="39"/>
      <c r="Q29" s="39"/>
      <c r="R29" s="39"/>
    </row>
    <row r="30" spans="2:18">
      <c r="B30" s="39"/>
      <c r="C30" s="39"/>
      <c r="D30" s="39"/>
      <c r="E30" s="39"/>
      <c r="F30" s="39"/>
      <c r="G30" s="39"/>
      <c r="H30" s="39"/>
      <c r="I30" s="39"/>
      <c r="J30" s="39"/>
      <c r="K30" s="39"/>
      <c r="L30" s="39"/>
      <c r="M30" s="39"/>
      <c r="N30" s="39"/>
      <c r="O30" s="39"/>
      <c r="P30" s="39"/>
      <c r="Q30" s="39"/>
      <c r="R30" s="39"/>
    </row>
    <row r="31" spans="2:18">
      <c r="B31" s="39"/>
      <c r="C31" s="39"/>
      <c r="D31" s="39"/>
      <c r="E31" s="39"/>
      <c r="F31" s="39"/>
      <c r="G31" s="39"/>
      <c r="H31" s="39"/>
      <c r="I31" s="39"/>
      <c r="J31" s="39"/>
      <c r="K31" s="39"/>
      <c r="L31" s="39"/>
      <c r="M31" s="39"/>
      <c r="N31" s="39"/>
      <c r="O31" s="39"/>
      <c r="P31" s="39"/>
      <c r="Q31" s="39"/>
      <c r="R31" s="39"/>
    </row>
    <row r="32" spans="2:18">
      <c r="B32" s="39"/>
      <c r="C32" s="39"/>
      <c r="D32" s="39"/>
      <c r="E32" s="39"/>
      <c r="F32" s="39"/>
      <c r="G32" s="39"/>
      <c r="H32" s="39"/>
      <c r="I32" s="39"/>
      <c r="J32" s="39"/>
      <c r="K32" s="39"/>
      <c r="L32" s="39"/>
      <c r="M32" s="39"/>
      <c r="N32" s="39"/>
      <c r="O32" s="39"/>
      <c r="P32" s="39"/>
      <c r="Q32" s="39"/>
      <c r="R32" s="39"/>
    </row>
    <row r="33" spans="2:18">
      <c r="B33" s="39"/>
      <c r="C33" s="39"/>
      <c r="D33" s="39"/>
      <c r="E33" s="39"/>
      <c r="F33" s="39"/>
      <c r="G33" s="39"/>
      <c r="H33" s="39"/>
      <c r="I33" s="39"/>
      <c r="J33" s="39"/>
      <c r="K33" s="39"/>
      <c r="L33" s="39"/>
      <c r="M33" s="39"/>
      <c r="N33" s="39"/>
      <c r="O33" s="39"/>
      <c r="P33" s="39"/>
      <c r="Q33" s="39"/>
      <c r="R33" s="39"/>
    </row>
    <row r="34" spans="2:18">
      <c r="C34" s="39"/>
      <c r="D34" s="39"/>
      <c r="E34" s="39"/>
      <c r="F34" s="39"/>
    </row>
    <row r="35" spans="2:18">
      <c r="C35" s="39"/>
      <c r="D35" s="39"/>
      <c r="E35" s="39"/>
      <c r="F35" s="39"/>
    </row>
    <row r="36" spans="2:18">
      <c r="C36" s="39"/>
      <c r="D36" s="39"/>
      <c r="E36" s="39"/>
      <c r="F36" s="39"/>
    </row>
    <row r="37" spans="2:18">
      <c r="C37" s="39"/>
      <c r="D37" s="39"/>
      <c r="E37" s="39"/>
      <c r="F37" s="39"/>
    </row>
    <row r="38" spans="2:18">
      <c r="C38" s="39"/>
      <c r="D38" s="39"/>
      <c r="E38" s="39"/>
      <c r="F38" s="39"/>
    </row>
    <row r="52" spans="2:13">
      <c r="B52" s="39"/>
      <c r="C52" s="39"/>
      <c r="D52" s="39"/>
      <c r="E52" s="39"/>
      <c r="F52" s="39"/>
      <c r="G52" s="39"/>
      <c r="H52" s="39"/>
      <c r="I52" s="39"/>
      <c r="J52" s="39"/>
      <c r="K52" s="39"/>
      <c r="L52" s="39"/>
      <c r="M52" s="39"/>
    </row>
    <row r="53" spans="2:13" ht="30" customHeight="1">
      <c r="B53" s="35"/>
      <c r="C53" s="39"/>
      <c r="D53" s="39"/>
      <c r="E53" s="39"/>
      <c r="F53" s="39"/>
      <c r="G53" s="39"/>
      <c r="H53" s="35"/>
      <c r="I53" s="39"/>
      <c r="J53" s="39"/>
      <c r="K53" s="39"/>
      <c r="L53" s="39"/>
      <c r="M53" s="39"/>
    </row>
  </sheetData>
  <mergeCells count="21">
    <mergeCell ref="B25:F25"/>
    <mergeCell ref="B12:C12"/>
    <mergeCell ref="B24:F24"/>
    <mergeCell ref="B23:F23"/>
    <mergeCell ref="B11:C11"/>
    <mergeCell ref="B14:C14"/>
    <mergeCell ref="B21:F21"/>
    <mergeCell ref="B16:F16"/>
    <mergeCell ref="B20:F20"/>
    <mergeCell ref="B13:C13"/>
    <mergeCell ref="B15:F15"/>
    <mergeCell ref="B22:F22"/>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35"/>
  <sheetViews>
    <sheetView topLeftCell="A7" zoomScaleNormal="100" workbookViewId="0">
      <selection activeCell="N15" sqref="N15"/>
    </sheetView>
  </sheetViews>
  <sheetFormatPr baseColWidth="10" defaultColWidth="9.69140625" defaultRowHeight="11.4"/>
  <cols>
    <col min="1" max="1" width="2.84375" style="1" customWidth="1"/>
    <col min="2" max="2" width="5.15234375" style="1" customWidth="1"/>
    <col min="3" max="3" width="7.84375" style="1" customWidth="1"/>
    <col min="4" max="4" width="7.23046875" style="1" customWidth="1"/>
    <col min="5" max="5" width="8.23046875" style="1" customWidth="1"/>
    <col min="6" max="6" width="7.23046875" style="1" customWidth="1"/>
    <col min="7" max="7" width="8.3828125" style="1" customWidth="1"/>
    <col min="8" max="8" width="7.921875" style="1" customWidth="1"/>
    <col min="9" max="9" width="10" style="1" customWidth="1"/>
    <col min="10" max="10" width="7.23046875" style="1" customWidth="1"/>
    <col min="11" max="12" width="2.07421875" style="1" customWidth="1"/>
    <col min="13" max="13" width="7.3046875" style="373" customWidth="1"/>
    <col min="14" max="14" width="12.23046875" style="373" customWidth="1"/>
    <col min="15" max="18" width="9.69140625" style="373"/>
    <col min="19" max="16384" width="9.69140625" style="1"/>
  </cols>
  <sheetData>
    <row r="1" spans="2:18" s="15" customFormat="1" ht="18" customHeight="1">
      <c r="B1" s="788" t="s">
        <v>179</v>
      </c>
      <c r="C1" s="788"/>
      <c r="D1" s="788"/>
      <c r="E1" s="788"/>
      <c r="F1" s="788"/>
      <c r="G1" s="788"/>
      <c r="H1" s="788"/>
      <c r="I1" s="788"/>
      <c r="J1" s="788"/>
      <c r="M1" s="308"/>
      <c r="N1" s="308"/>
      <c r="O1" s="308"/>
      <c r="P1" s="308"/>
      <c r="Q1" s="308"/>
      <c r="R1" s="308"/>
    </row>
    <row r="2" spans="2:18" s="15" customFormat="1" ht="13.2">
      <c r="M2" s="308"/>
      <c r="N2" s="308"/>
      <c r="O2" s="308"/>
      <c r="P2" s="308"/>
      <c r="Q2" s="308"/>
      <c r="R2" s="308"/>
    </row>
    <row r="3" spans="2:18" s="15" customFormat="1" ht="15.75" customHeight="1">
      <c r="B3" s="766" t="s">
        <v>180</v>
      </c>
      <c r="C3" s="766"/>
      <c r="D3" s="766"/>
      <c r="E3" s="766"/>
      <c r="F3" s="766"/>
      <c r="G3" s="766"/>
      <c r="H3" s="766"/>
      <c r="I3" s="766"/>
      <c r="J3" s="766"/>
      <c r="M3" s="308"/>
      <c r="N3" s="308"/>
      <c r="O3" s="308"/>
      <c r="P3" s="308"/>
      <c r="Q3" s="308"/>
      <c r="R3" s="308"/>
    </row>
    <row r="4" spans="2:18" s="15" customFormat="1" ht="15.75" customHeight="1">
      <c r="B4" s="766" t="s">
        <v>682</v>
      </c>
      <c r="C4" s="766"/>
      <c r="D4" s="766"/>
      <c r="E4" s="766"/>
      <c r="F4" s="766"/>
      <c r="G4" s="766"/>
      <c r="H4" s="766"/>
      <c r="I4" s="766"/>
      <c r="J4" s="766"/>
      <c r="M4" s="308"/>
      <c r="N4" s="308"/>
      <c r="O4" s="308"/>
      <c r="P4" s="308"/>
      <c r="Q4" s="308"/>
      <c r="R4" s="308"/>
    </row>
    <row r="5" spans="2:18" s="15" customFormat="1" ht="15.75" customHeight="1">
      <c r="B5" s="836" t="s">
        <v>181</v>
      </c>
      <c r="C5" s="836"/>
      <c r="D5" s="837"/>
      <c r="E5" s="836"/>
      <c r="F5" s="836"/>
      <c r="G5" s="836"/>
      <c r="H5" s="836"/>
      <c r="I5" s="836"/>
      <c r="J5" s="836"/>
      <c r="K5" s="20"/>
      <c r="M5" s="308"/>
      <c r="N5" s="308"/>
      <c r="O5" s="308"/>
      <c r="P5" s="308"/>
      <c r="Q5" s="308"/>
      <c r="R5" s="308"/>
    </row>
    <row r="6" spans="2:18" s="14" customFormat="1" ht="28.5" customHeight="1">
      <c r="B6" s="827" t="s">
        <v>182</v>
      </c>
      <c r="C6" s="830" t="s">
        <v>90</v>
      </c>
      <c r="D6" s="204" t="s">
        <v>183</v>
      </c>
      <c r="E6" s="828" t="s">
        <v>754</v>
      </c>
      <c r="F6" s="204" t="s">
        <v>183</v>
      </c>
      <c r="G6" s="831" t="s">
        <v>185</v>
      </c>
      <c r="H6" s="829" t="s">
        <v>186</v>
      </c>
      <c r="I6" s="831" t="s">
        <v>187</v>
      </c>
      <c r="J6" s="204" t="s">
        <v>183</v>
      </c>
      <c r="K6" s="20"/>
      <c r="L6" s="22"/>
      <c r="M6" s="300" t="s">
        <v>188</v>
      </c>
      <c r="N6" s="300" t="s">
        <v>189</v>
      </c>
      <c r="O6" s="300"/>
      <c r="P6" s="300"/>
      <c r="Q6" s="300"/>
      <c r="R6" s="300"/>
    </row>
    <row r="7" spans="2:18" s="14" customFormat="1" ht="13.2">
      <c r="B7" s="827"/>
      <c r="C7" s="829"/>
      <c r="D7" s="205" t="s">
        <v>190</v>
      </c>
      <c r="E7" s="829"/>
      <c r="F7" s="205" t="s">
        <v>190</v>
      </c>
      <c r="G7" s="832"/>
      <c r="H7" s="829"/>
      <c r="I7" s="832"/>
      <c r="J7" s="205" t="s">
        <v>190</v>
      </c>
      <c r="K7" s="20"/>
      <c r="L7" s="20"/>
      <c r="M7" s="300"/>
      <c r="N7" s="300"/>
      <c r="O7" s="300"/>
      <c r="P7" s="300"/>
      <c r="Q7" s="300"/>
      <c r="R7" s="300"/>
    </row>
    <row r="8" spans="2:18" s="14" customFormat="1" ht="15.75" customHeight="1">
      <c r="B8" s="52">
        <v>2012</v>
      </c>
      <c r="C8" s="64">
        <v>1114411.3</v>
      </c>
      <c r="D8" s="65"/>
      <c r="E8" s="64">
        <v>816278.7</v>
      </c>
      <c r="F8" s="65"/>
      <c r="G8" s="65"/>
      <c r="H8" s="274" t="s">
        <v>191</v>
      </c>
      <c r="I8" s="66">
        <v>1930690</v>
      </c>
      <c r="J8" s="65"/>
      <c r="K8" s="22"/>
      <c r="L8" s="20"/>
      <c r="M8" s="442">
        <f t="shared" ref="M8:M16" si="0">E8/I8</f>
        <v>0.42279117828341162</v>
      </c>
      <c r="N8" s="675">
        <f>C8/I8</f>
        <v>0.57720882171658838</v>
      </c>
      <c r="O8" s="457"/>
      <c r="P8" s="300"/>
      <c r="Q8" s="300"/>
      <c r="R8" s="300"/>
    </row>
    <row r="9" spans="2:18" s="14" customFormat="1" ht="15.75" customHeight="1">
      <c r="B9" s="52">
        <v>2013</v>
      </c>
      <c r="C9" s="64">
        <v>1365123.3</v>
      </c>
      <c r="D9" s="64">
        <v>122.49725931529947</v>
      </c>
      <c r="E9" s="64">
        <v>890021.89689999993</v>
      </c>
      <c r="F9" s="64">
        <v>109.03407094905208</v>
      </c>
      <c r="G9" s="65"/>
      <c r="H9" s="274" t="s">
        <v>191</v>
      </c>
      <c r="I9" s="66">
        <v>2255145.1968999999</v>
      </c>
      <c r="J9" s="64">
        <v>116.80514204248223</v>
      </c>
      <c r="K9" s="22"/>
      <c r="L9" s="22"/>
      <c r="M9" s="442">
        <f t="shared" si="0"/>
        <v>0.39466279072560589</v>
      </c>
      <c r="N9" s="675">
        <f t="shared" ref="N9:N16" si="1">C9/I9</f>
        <v>0.60533720927439416</v>
      </c>
      <c r="O9" s="457"/>
      <c r="P9" s="300"/>
      <c r="Q9" s="300"/>
      <c r="R9" s="300"/>
    </row>
    <row r="10" spans="2:18" s="14" customFormat="1" ht="15.75" customHeight="1">
      <c r="B10" s="52">
        <v>2014</v>
      </c>
      <c r="C10" s="64">
        <v>1236091.7399999998</v>
      </c>
      <c r="D10" s="64">
        <v>90.54799225828171</v>
      </c>
      <c r="E10" s="64">
        <v>746723.35245000001</v>
      </c>
      <c r="F10" s="64">
        <v>83.899436075773252</v>
      </c>
      <c r="G10" s="65"/>
      <c r="H10" s="274" t="s">
        <v>191</v>
      </c>
      <c r="I10" s="66">
        <v>1982815.0924499999</v>
      </c>
      <c r="J10" s="64">
        <v>87.924054520996947</v>
      </c>
      <c r="K10" s="22"/>
      <c r="L10" s="22"/>
      <c r="M10" s="442">
        <f t="shared" si="0"/>
        <v>0.37659757346679057</v>
      </c>
      <c r="N10" s="675">
        <f t="shared" si="1"/>
        <v>0.62340242653320932</v>
      </c>
      <c r="O10" s="457"/>
      <c r="P10" s="300"/>
      <c r="Q10" s="300"/>
      <c r="R10" s="300"/>
    </row>
    <row r="11" spans="2:18" s="14" customFormat="1" ht="15.75" customHeight="1">
      <c r="B11" s="52">
        <v>2015</v>
      </c>
      <c r="C11" s="64">
        <v>1333212.5</v>
      </c>
      <c r="D11" s="64">
        <v>107.8570834879942</v>
      </c>
      <c r="E11" s="64">
        <v>735248.38600000006</v>
      </c>
      <c r="F11" s="64">
        <v>98.463290800756326</v>
      </c>
      <c r="G11" s="65"/>
      <c r="H11" s="274" t="s">
        <v>191</v>
      </c>
      <c r="I11" s="66">
        <v>2068460.8859999999</v>
      </c>
      <c r="J11" s="64">
        <v>104.31940395633032</v>
      </c>
      <c r="K11" s="22"/>
      <c r="L11" s="22"/>
      <c r="M11" s="442">
        <f t="shared" si="0"/>
        <v>0.35545675094771895</v>
      </c>
      <c r="N11" s="675">
        <f t="shared" si="1"/>
        <v>0.64454324905228111</v>
      </c>
      <c r="O11" s="457"/>
      <c r="P11" s="676"/>
      <c r="Q11" s="300"/>
      <c r="R11" s="300"/>
    </row>
    <row r="12" spans="2:18" s="14" customFormat="1" ht="15.75" customHeight="1">
      <c r="B12" s="52">
        <v>2016</v>
      </c>
      <c r="C12" s="64">
        <v>1531005.6</v>
      </c>
      <c r="D12" s="64">
        <v>114.8358269968216</v>
      </c>
      <c r="E12" s="64">
        <v>651573.38222000003</v>
      </c>
      <c r="F12" s="64">
        <v>88.619491674749483</v>
      </c>
      <c r="G12" s="65"/>
      <c r="H12" s="274" t="s">
        <v>191</v>
      </c>
      <c r="I12" s="66">
        <v>2182578.9822200001</v>
      </c>
      <c r="J12" s="64">
        <v>105.51705362148194</v>
      </c>
      <c r="K12" s="22"/>
      <c r="L12" s="22"/>
      <c r="M12" s="442">
        <f t="shared" si="0"/>
        <v>0.29853370142749891</v>
      </c>
      <c r="N12" s="675">
        <f t="shared" si="1"/>
        <v>0.70146629857250109</v>
      </c>
      <c r="O12" s="457"/>
      <c r="P12" s="676"/>
      <c r="Q12" s="300"/>
      <c r="R12" s="300"/>
    </row>
    <row r="13" spans="2:18" s="14" customFormat="1" ht="15.75" customHeight="1">
      <c r="B13" s="52">
        <v>2017</v>
      </c>
      <c r="C13" s="64">
        <v>1221269.1400000001</v>
      </c>
      <c r="D13" s="64">
        <v>79.769083796950184</v>
      </c>
      <c r="E13" s="64">
        <v>1054976.7991500001</v>
      </c>
      <c r="F13" s="64">
        <v>161.91220021228449</v>
      </c>
      <c r="G13" s="65"/>
      <c r="H13" s="274" t="s">
        <v>191</v>
      </c>
      <c r="I13" s="66">
        <f t="shared" ref="I13:I14" si="2">C13+E13+G13</f>
        <v>2276245.93915</v>
      </c>
      <c r="J13" s="64">
        <f t="shared" ref="J13:J14" si="3">I13/I12*100</f>
        <v>104.29157238720987</v>
      </c>
      <c r="K13" s="22"/>
      <c r="L13" s="22"/>
      <c r="M13" s="442">
        <f t="shared" si="0"/>
        <v>0.46347223777758895</v>
      </c>
      <c r="N13" s="675">
        <f t="shared" si="1"/>
        <v>0.53652776222241116</v>
      </c>
      <c r="O13" s="457"/>
      <c r="P13" s="676"/>
      <c r="Q13" s="300"/>
      <c r="R13" s="300"/>
    </row>
    <row r="14" spans="2:18" s="14" customFormat="1" ht="15.75" customHeight="1">
      <c r="B14" s="52">
        <v>2018</v>
      </c>
      <c r="C14" s="64">
        <v>1281339.7</v>
      </c>
      <c r="D14" s="64">
        <f t="shared" ref="D14:D15" si="4">C14/C13*100</f>
        <v>104.91869957509938</v>
      </c>
      <c r="E14" s="46">
        <v>1131992.5744099999</v>
      </c>
      <c r="F14" s="64">
        <f t="shared" ref="F14:F15" si="5">E14/E13*100</f>
        <v>107.30023402619393</v>
      </c>
      <c r="G14" s="64">
        <v>-62244</v>
      </c>
      <c r="H14" s="275" t="s">
        <v>191</v>
      </c>
      <c r="I14" s="66">
        <f t="shared" si="2"/>
        <v>2351088.2744100001</v>
      </c>
      <c r="J14" s="64">
        <f t="shared" si="3"/>
        <v>103.28797226928597</v>
      </c>
      <c r="K14" s="22"/>
      <c r="L14" s="22"/>
      <c r="M14" s="442">
        <f t="shared" si="0"/>
        <v>0.48147599846886679</v>
      </c>
      <c r="N14" s="675">
        <f t="shared" si="1"/>
        <v>0.54499854979777362</v>
      </c>
      <c r="O14" s="457"/>
      <c r="P14" s="676"/>
      <c r="Q14" s="300"/>
      <c r="R14" s="300"/>
    </row>
    <row r="15" spans="2:18" s="14" customFormat="1" ht="15.75" customHeight="1">
      <c r="B15" s="52">
        <v>2019</v>
      </c>
      <c r="C15" s="64">
        <v>1204856.2</v>
      </c>
      <c r="D15" s="64">
        <f t="shared" si="4"/>
        <v>94.030973987616235</v>
      </c>
      <c r="E15" s="46">
        <v>1144211.3389999999</v>
      </c>
      <c r="F15" s="64">
        <f t="shared" si="5"/>
        <v>101.07940324576496</v>
      </c>
      <c r="G15" s="64">
        <v>23046</v>
      </c>
      <c r="H15" s="275" t="s">
        <v>191</v>
      </c>
      <c r="I15" s="66">
        <f>C15+E15+G15</f>
        <v>2372113.5389999999</v>
      </c>
      <c r="J15" s="64">
        <f>I15/I14*100</f>
        <v>100.8942779741129</v>
      </c>
      <c r="K15" s="22"/>
      <c r="L15" s="22"/>
      <c r="M15" s="442">
        <f t="shared" si="0"/>
        <v>0.48235943186866148</v>
      </c>
      <c r="N15" s="675">
        <f t="shared" si="1"/>
        <v>0.50792518156948141</v>
      </c>
      <c r="O15" s="457"/>
      <c r="P15" s="676"/>
      <c r="Q15" s="300"/>
      <c r="R15" s="300"/>
    </row>
    <row r="16" spans="2:18" s="14" customFormat="1" ht="15.75" customHeight="1">
      <c r="B16" s="585">
        <v>2020</v>
      </c>
      <c r="C16" s="64">
        <v>1086140.1000000001</v>
      </c>
      <c r="D16" s="64">
        <f>C16/C15*100</f>
        <v>90.146865659155011</v>
      </c>
      <c r="E16" s="46">
        <v>1136918.7700699999</v>
      </c>
      <c r="F16" s="64">
        <v>99.362655421998042</v>
      </c>
      <c r="G16" s="64">
        <v>-34318</v>
      </c>
      <c r="H16" s="275" t="s">
        <v>191</v>
      </c>
      <c r="I16" s="66">
        <v>2188740.8700700002</v>
      </c>
      <c r="J16" s="64">
        <v>92.26965042291765</v>
      </c>
      <c r="K16" s="22"/>
      <c r="L16" s="22"/>
      <c r="M16" s="442">
        <f t="shared" si="0"/>
        <v>0.51943964021361699</v>
      </c>
      <c r="N16" s="675">
        <f t="shared" si="1"/>
        <v>0.49623969417871894</v>
      </c>
      <c r="O16" s="457"/>
      <c r="P16" s="676"/>
      <c r="Q16" s="300"/>
      <c r="R16" s="300"/>
    </row>
    <row r="17" spans="1:18" s="14" customFormat="1" ht="15.75" customHeight="1">
      <c r="B17" s="52">
        <v>2021</v>
      </c>
      <c r="C17" s="46">
        <f>'[1]7'!D16*1000</f>
        <v>1203308.9100000001</v>
      </c>
      <c r="D17" s="64">
        <f>C17/C16*100</f>
        <v>110.7876331975958</v>
      </c>
      <c r="E17" s="376">
        <f>'[1]12'!F19</f>
        <v>941695.05808999995</v>
      </c>
      <c r="F17" s="64">
        <f>E17/E16*100</f>
        <v>82.828701828189537</v>
      </c>
      <c r="G17" s="64"/>
      <c r="H17" s="275" t="s">
        <v>191</v>
      </c>
      <c r="I17" s="66">
        <f>C17+E17+G17</f>
        <v>2145003.9680900001</v>
      </c>
      <c r="J17" s="64">
        <f>I17/I16*100</f>
        <v>98.001732293754756</v>
      </c>
      <c r="K17" s="22"/>
      <c r="L17" s="22"/>
      <c r="M17" s="442">
        <f>(E17/I17)</f>
        <v>0.43901786294993383</v>
      </c>
      <c r="N17" s="675">
        <f>C17/I17</f>
        <v>0.56098213705006617</v>
      </c>
      <c r="O17" s="300"/>
      <c r="P17" s="300">
        <f>I17/365</f>
        <v>5876.7232002465753</v>
      </c>
      <c r="Q17" s="300">
        <f>30000</f>
        <v>30000</v>
      </c>
      <c r="R17" s="300">
        <f>Q17/P17</f>
        <v>5.1048856612374154</v>
      </c>
    </row>
    <row r="18" spans="1:18" s="14" customFormat="1" ht="51.75" customHeight="1">
      <c r="A18" s="22"/>
      <c r="B18" s="833" t="s">
        <v>753</v>
      </c>
      <c r="C18" s="834"/>
      <c r="D18" s="834"/>
      <c r="E18" s="834"/>
      <c r="F18" s="834"/>
      <c r="G18" s="834"/>
      <c r="H18" s="834"/>
      <c r="I18" s="834"/>
      <c r="J18" s="835"/>
      <c r="K18" s="22"/>
      <c r="L18" s="22"/>
      <c r="M18" s="300"/>
      <c r="N18" s="300"/>
      <c r="O18" s="300"/>
      <c r="P18" s="300"/>
      <c r="Q18" s="300"/>
      <c r="R18" s="300"/>
    </row>
    <row r="19" spans="1:18" ht="15" customHeight="1"/>
    <row r="20" spans="1:18" ht="15.75" customHeight="1"/>
    <row r="21" spans="1:18" ht="15" customHeight="1"/>
    <row r="22" spans="1:18" ht="15" customHeight="1"/>
    <row r="23" spans="1:18" ht="15" customHeight="1"/>
    <row r="24" spans="1:18" ht="15" customHeight="1">
      <c r="O24" s="458"/>
    </row>
    <row r="25" spans="1:18" ht="15" customHeight="1"/>
    <row r="26" spans="1:18" ht="15" customHeight="1">
      <c r="J26" s="10"/>
    </row>
    <row r="27" spans="1:18" ht="15" customHeight="1">
      <c r="J27" s="11"/>
      <c r="O27" s="459"/>
    </row>
    <row r="28" spans="1:18" ht="15" customHeight="1">
      <c r="N28" s="460"/>
      <c r="O28" s="459"/>
    </row>
    <row r="29" spans="1:18" ht="15" customHeight="1">
      <c r="N29" s="460"/>
      <c r="O29" s="459"/>
    </row>
    <row r="30" spans="1:18" ht="15" customHeight="1"/>
    <row r="31" spans="1:18" ht="15" customHeight="1"/>
    <row r="32" spans="1:18" ht="15" customHeight="1"/>
    <row r="33" spans="12:12" ht="18" customHeight="1">
      <c r="L33" s="21"/>
    </row>
    <row r="34" spans="12:12" ht="7.5" customHeight="1"/>
    <row r="35" spans="12:12" ht="7.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8:J18"/>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scale="99" firstPageNumber="0" orientation="portrait" r:id="rId2"/>
  <headerFooter alignWithMargins="0">
    <oddFooter>&amp;C&amp;10 11</oddFooter>
  </headerFooter>
  <ignoredErrors>
    <ignoredError sqref="E17"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zoomScaleNormal="100" workbookViewId="0">
      <selection activeCell="H9" sqref="H9"/>
    </sheetView>
  </sheetViews>
  <sheetFormatPr baseColWidth="10" defaultColWidth="10.921875" defaultRowHeight="17.399999999999999"/>
  <cols>
    <col min="1" max="1" width="1.3046875" style="1" customWidth="1"/>
    <col min="2" max="2" width="13.921875" customWidth="1"/>
    <col min="3" max="6" width="12.07421875" customWidth="1"/>
    <col min="7" max="16384" width="10.921875" style="1"/>
  </cols>
  <sheetData>
    <row r="1" spans="1:15" s="15" customFormat="1" ht="16.5" customHeight="1">
      <c r="B1" s="766" t="s">
        <v>192</v>
      </c>
      <c r="C1" s="766"/>
      <c r="D1" s="766"/>
      <c r="E1" s="766"/>
      <c r="F1" s="766"/>
    </row>
    <row r="2" spans="1:15" s="15" customFormat="1" ht="11.25" customHeight="1">
      <c r="A2" s="17"/>
      <c r="B2" s="17"/>
      <c r="C2" s="17"/>
      <c r="D2" s="16"/>
      <c r="E2" s="16"/>
      <c r="F2" s="16"/>
    </row>
    <row r="3" spans="1:15" s="15" customFormat="1" ht="15.75" customHeight="1">
      <c r="B3" s="766" t="s">
        <v>193</v>
      </c>
      <c r="C3" s="766"/>
      <c r="D3" s="766"/>
      <c r="E3" s="766"/>
      <c r="F3" s="766"/>
    </row>
    <row r="4" spans="1:15" s="15" customFormat="1" ht="15.75" customHeight="1">
      <c r="B4" s="838" t="s">
        <v>658</v>
      </c>
      <c r="C4" s="838"/>
      <c r="D4" s="838"/>
      <c r="E4" s="838"/>
      <c r="F4" s="838"/>
    </row>
    <row r="5" spans="1:15" s="15" customFormat="1" ht="15.75" customHeight="1">
      <c r="B5" s="838" t="s">
        <v>181</v>
      </c>
      <c r="C5" s="838"/>
      <c r="D5" s="838"/>
      <c r="E5" s="838"/>
      <c r="F5" s="838"/>
      <c r="G5" s="20"/>
    </row>
    <row r="6" spans="1:15" s="14" customFormat="1" ht="15.75" customHeight="1">
      <c r="A6" s="22"/>
      <c r="B6" s="438" t="s">
        <v>194</v>
      </c>
      <c r="C6" s="212">
        <v>2019</v>
      </c>
      <c r="D6" s="212">
        <v>2020</v>
      </c>
      <c r="E6" s="212">
        <v>2021</v>
      </c>
      <c r="F6" s="212">
        <v>2022</v>
      </c>
      <c r="G6" s="20"/>
      <c r="H6" s="95"/>
      <c r="I6" s="95"/>
      <c r="J6" s="22"/>
      <c r="K6" s="68"/>
      <c r="L6" s="22"/>
      <c r="M6" s="22"/>
      <c r="N6" s="22"/>
      <c r="O6" s="22"/>
    </row>
    <row r="7" spans="1:15" s="14" customFormat="1" ht="15.75" customHeight="1">
      <c r="A7" s="22"/>
      <c r="B7" s="24" t="str">
        <f>'13'!B8</f>
        <v>Enero</v>
      </c>
      <c r="C7" s="67">
        <v>110928.26</v>
      </c>
      <c r="D7" s="67">
        <v>96514.718999999997</v>
      </c>
      <c r="E7" s="67">
        <v>63398.959000000003</v>
      </c>
      <c r="F7" s="67">
        <v>90745.256999999998</v>
      </c>
      <c r="G7" s="22"/>
      <c r="H7" s="22"/>
      <c r="I7" s="1"/>
      <c r="J7" s="1"/>
      <c r="K7" s="1"/>
      <c r="L7" s="22"/>
      <c r="M7" s="22"/>
      <c r="N7" s="22"/>
      <c r="O7" s="22"/>
    </row>
    <row r="8" spans="1:15" s="14" customFormat="1" ht="15.75" customHeight="1">
      <c r="A8" s="22"/>
      <c r="B8" s="24" t="s">
        <v>195</v>
      </c>
      <c r="C8" s="67">
        <v>130574.61</v>
      </c>
      <c r="D8" s="67">
        <v>69539.14</v>
      </c>
      <c r="E8" s="67">
        <v>79487.328999999998</v>
      </c>
      <c r="F8" s="67">
        <v>88361.55</v>
      </c>
      <c r="G8" s="22"/>
      <c r="H8" s="95"/>
      <c r="I8" s="11"/>
      <c r="J8" s="1"/>
      <c r="K8" s="1"/>
      <c r="L8" s="22"/>
      <c r="M8" s="22"/>
      <c r="N8" s="22"/>
      <c r="O8" s="22"/>
    </row>
    <row r="9" spans="1:15" s="14" customFormat="1" ht="15.75" customHeight="1">
      <c r="A9" s="22"/>
      <c r="B9" s="24" t="str">
        <f>'13'!B10</f>
        <v>Marzo</v>
      </c>
      <c r="C9" s="67">
        <v>58957.94</v>
      </c>
      <c r="D9" s="67">
        <v>119307.88800000001</v>
      </c>
      <c r="E9" s="67">
        <v>53003.621999999996</v>
      </c>
      <c r="F9" s="67">
        <v>71525.05</v>
      </c>
      <c r="G9" s="22"/>
      <c r="H9" s="22"/>
      <c r="I9" s="1"/>
      <c r="J9" s="1"/>
      <c r="K9" s="1"/>
      <c r="L9" s="22"/>
      <c r="M9" s="22"/>
      <c r="N9" s="22"/>
      <c r="O9" s="22"/>
    </row>
    <row r="10" spans="1:15" s="14" customFormat="1" ht="15.75" customHeight="1">
      <c r="A10" s="22"/>
      <c r="B10" s="24" t="str">
        <f>'13'!B11</f>
        <v>Abril</v>
      </c>
      <c r="C10" s="67">
        <v>117091.58500000001</v>
      </c>
      <c r="D10" s="67">
        <v>124223.18</v>
      </c>
      <c r="E10" s="67">
        <v>94189.157999999996</v>
      </c>
      <c r="F10" s="67">
        <v>121250.43000000001</v>
      </c>
      <c r="G10" s="22"/>
      <c r="H10" s="22"/>
      <c r="I10" s="1"/>
      <c r="J10" s="1"/>
      <c r="K10" s="1"/>
      <c r="L10" s="22"/>
      <c r="M10" s="22"/>
      <c r="N10" s="22"/>
      <c r="O10" s="22"/>
    </row>
    <row r="11" spans="1:15" s="14" customFormat="1" ht="15.75" customHeight="1">
      <c r="A11" s="22"/>
      <c r="B11" s="24" t="str">
        <f>'13'!B12</f>
        <v>Mayo</v>
      </c>
      <c r="C11" s="67">
        <v>90954.182000000001</v>
      </c>
      <c r="D11" s="67">
        <v>62552.36</v>
      </c>
      <c r="E11" s="67">
        <v>82688.937090000007</v>
      </c>
      <c r="F11" s="67">
        <v>98007.858000000007</v>
      </c>
      <c r="G11" s="95"/>
      <c r="H11" s="95"/>
      <c r="I11" s="1"/>
      <c r="J11" s="1"/>
      <c r="K11" s="1"/>
      <c r="L11" s="22"/>
      <c r="M11" s="22"/>
      <c r="N11" s="22"/>
      <c r="O11" s="22"/>
    </row>
    <row r="12" spans="1:15" s="14" customFormat="1" ht="15.75" customHeight="1">
      <c r="A12" s="22"/>
      <c r="B12" s="24" t="str">
        <f>'13'!B13</f>
        <v>Junio</v>
      </c>
      <c r="C12" s="67">
        <v>47586.582000000002</v>
      </c>
      <c r="D12" s="67">
        <v>13641.522000000001</v>
      </c>
      <c r="E12" s="67">
        <v>45958.144</v>
      </c>
      <c r="F12" s="67"/>
      <c r="G12" s="22"/>
      <c r="H12" s="1"/>
      <c r="I12" s="1"/>
      <c r="J12" s="1"/>
      <c r="K12" s="1"/>
      <c r="L12" s="22"/>
      <c r="M12" s="22"/>
      <c r="N12" s="22"/>
      <c r="O12" s="22"/>
    </row>
    <row r="13" spans="1:15" s="14" customFormat="1" ht="15.75" customHeight="1">
      <c r="A13" s="22"/>
      <c r="B13" s="24" t="str">
        <f>'13'!B14</f>
        <v>Julio</v>
      </c>
      <c r="C13" s="67">
        <v>112338.01</v>
      </c>
      <c r="D13" s="67">
        <v>123117.16</v>
      </c>
      <c r="E13" s="67">
        <v>99473.799999999988</v>
      </c>
      <c r="F13" s="67"/>
      <c r="G13" s="22"/>
      <c r="H13" s="1"/>
      <c r="I13" s="1"/>
      <c r="J13" s="1"/>
      <c r="K13" s="1"/>
      <c r="L13" s="22"/>
      <c r="M13" s="22"/>
      <c r="N13" s="22"/>
      <c r="O13" s="22"/>
    </row>
    <row r="14" spans="1:15" s="14" customFormat="1" ht="15.75" customHeight="1">
      <c r="A14" s="22"/>
      <c r="B14" s="24" t="str">
        <f>'13'!B15</f>
        <v>Agosto</v>
      </c>
      <c r="C14" s="67">
        <v>92228.86</v>
      </c>
      <c r="D14" s="67">
        <v>92572.023770000014</v>
      </c>
      <c r="E14" s="67">
        <v>113069.762</v>
      </c>
      <c r="F14" s="67"/>
      <c r="G14" s="248"/>
      <c r="H14" s="1"/>
      <c r="I14" s="1"/>
      <c r="J14" s="1"/>
      <c r="K14" s="1"/>
      <c r="L14" s="22"/>
      <c r="M14" s="22"/>
      <c r="N14" s="22"/>
      <c r="O14" s="22"/>
    </row>
    <row r="15" spans="1:15" s="14" customFormat="1" ht="15.75" customHeight="1">
      <c r="A15" s="22"/>
      <c r="B15" s="24" t="str">
        <f>'13'!B16</f>
        <v>Septiembre</v>
      </c>
      <c r="C15" s="67">
        <v>139531.95000000001</v>
      </c>
      <c r="D15" s="67">
        <v>98529.35</v>
      </c>
      <c r="E15" s="67">
        <v>52095.76</v>
      </c>
      <c r="F15" s="67"/>
      <c r="G15" s="119"/>
      <c r="H15" s="1"/>
      <c r="I15" s="1"/>
      <c r="J15" s="1"/>
      <c r="K15" s="1"/>
      <c r="L15" s="22"/>
      <c r="M15" s="22"/>
      <c r="N15" s="22"/>
      <c r="O15" s="22"/>
    </row>
    <row r="16" spans="1:15" s="14" customFormat="1" ht="15.75" customHeight="1">
      <c r="A16" s="22"/>
      <c r="B16" s="24" t="str">
        <f>'13'!B17</f>
        <v>Octubre</v>
      </c>
      <c r="C16" s="67">
        <v>45828.93</v>
      </c>
      <c r="D16" s="67">
        <v>155516.505</v>
      </c>
      <c r="E16" s="67">
        <v>46526.400000000001</v>
      </c>
      <c r="F16" s="67"/>
      <c r="G16" s="15"/>
      <c r="H16" s="1"/>
      <c r="I16" s="1"/>
      <c r="J16" s="1"/>
      <c r="K16" s="1"/>
      <c r="L16" s="22"/>
      <c r="M16" s="22"/>
      <c r="N16" s="22"/>
      <c r="O16" s="22"/>
    </row>
    <row r="17" spans="1:15" s="14" customFormat="1" ht="15.75" customHeight="1">
      <c r="A17" s="22"/>
      <c r="B17" s="24" t="s">
        <v>196</v>
      </c>
      <c r="C17" s="67">
        <v>84061.69</v>
      </c>
      <c r="D17" s="67">
        <v>85724.653000000006</v>
      </c>
      <c r="E17" s="67">
        <v>93586.786000000007</v>
      </c>
      <c r="F17" s="67"/>
      <c r="G17" s="584"/>
      <c r="H17" s="1"/>
      <c r="I17" s="1"/>
      <c r="J17" s="1"/>
      <c r="K17" s="96"/>
      <c r="L17" s="22"/>
      <c r="M17" s="22"/>
      <c r="N17" s="22"/>
      <c r="O17" s="22"/>
    </row>
    <row r="18" spans="1:15" s="14" customFormat="1" ht="15.75" customHeight="1">
      <c r="A18" s="22"/>
      <c r="B18" s="24" t="s">
        <v>197</v>
      </c>
      <c r="C18" s="67">
        <v>85715.07</v>
      </c>
      <c r="D18" s="67">
        <v>95680.2693</v>
      </c>
      <c r="E18" s="67">
        <v>118216.40100000001</v>
      </c>
      <c r="F18" s="67"/>
      <c r="G18" s="119"/>
      <c r="H18" s="1"/>
      <c r="I18" s="1"/>
      <c r="J18" s="1"/>
      <c r="K18" s="22"/>
      <c r="L18" s="22"/>
      <c r="M18" s="22"/>
      <c r="N18" s="22"/>
      <c r="O18" s="22"/>
    </row>
    <row r="19" spans="1:15" s="14" customFormat="1" ht="15.75" customHeight="1">
      <c r="A19" s="22"/>
      <c r="B19" s="24" t="s">
        <v>198</v>
      </c>
      <c r="C19" s="67">
        <f t="shared" ref="C19:D19" si="0">SUM(C7:C18)</f>
        <v>1115797.6690000002</v>
      </c>
      <c r="D19" s="67">
        <f t="shared" si="0"/>
        <v>1136918.7700699999</v>
      </c>
      <c r="E19" s="67">
        <f>SUM(E7:E18)</f>
        <v>941695.05808999995</v>
      </c>
      <c r="F19" s="67">
        <f>SUM(F7:F18)</f>
        <v>469890.14500000002</v>
      </c>
      <c r="G19" s="94"/>
      <c r="H19" s="95"/>
      <c r="I19" s="95"/>
      <c r="J19" s="95"/>
      <c r="K19" s="22"/>
      <c r="L19" s="22"/>
      <c r="M19" s="22"/>
      <c r="N19" s="22"/>
      <c r="O19" s="22"/>
    </row>
    <row r="20" spans="1:15" ht="53.25" customHeight="1">
      <c r="B20" s="791" t="s">
        <v>679</v>
      </c>
      <c r="C20" s="791"/>
      <c r="D20" s="791"/>
      <c r="E20" s="791"/>
      <c r="F20" s="791"/>
    </row>
    <row r="21" spans="1:15" ht="11.4">
      <c r="B21" s="6"/>
      <c r="C21" s="6"/>
      <c r="D21" s="6"/>
      <c r="E21" s="6"/>
      <c r="F21" s="6"/>
    </row>
    <row r="22" spans="1:15" ht="42" customHeight="1">
      <c r="B22" s="1"/>
      <c r="C22" s="1"/>
      <c r="D22" s="1"/>
      <c r="E22" s="1"/>
      <c r="F22" s="1"/>
    </row>
    <row r="23" spans="1:15" ht="11.4">
      <c r="B23" s="1"/>
      <c r="C23" s="1"/>
      <c r="D23" s="1"/>
      <c r="E23" s="1"/>
      <c r="F23" s="1"/>
    </row>
    <row r="24" spans="1:15" ht="11.4">
      <c r="B24" s="1"/>
      <c r="C24" s="1"/>
      <c r="D24" s="1"/>
      <c r="E24" s="1"/>
      <c r="F24" s="1"/>
    </row>
    <row r="25" spans="1:15" ht="11.4">
      <c r="B25" s="1"/>
      <c r="C25" s="1"/>
      <c r="D25" s="1"/>
      <c r="E25" s="1"/>
      <c r="F25" s="1"/>
    </row>
    <row r="26" spans="1:15" ht="11.4">
      <c r="B26" s="1"/>
      <c r="C26" s="1"/>
      <c r="D26" s="1"/>
      <c r="E26" s="1"/>
      <c r="F26" s="1"/>
    </row>
    <row r="27" spans="1:15" ht="11.4">
      <c r="B27" s="1"/>
      <c r="C27" s="1"/>
      <c r="D27" s="1"/>
      <c r="E27" s="1"/>
      <c r="F27" s="1"/>
    </row>
    <row r="28" spans="1:15" ht="11.4">
      <c r="B28" s="1"/>
      <c r="C28" s="1"/>
      <c r="D28" s="1"/>
      <c r="E28" s="1"/>
      <c r="F28" s="1"/>
    </row>
    <row r="29" spans="1:15" ht="11.4">
      <c r="B29" s="1"/>
      <c r="C29" s="1"/>
      <c r="D29" s="1"/>
      <c r="E29" s="1"/>
      <c r="F29" s="1"/>
    </row>
    <row r="30" spans="1:15" ht="11.4">
      <c r="B30" s="1"/>
      <c r="C30" s="1"/>
      <c r="D30" s="1"/>
      <c r="E30" s="1"/>
      <c r="F30" s="1"/>
    </row>
    <row r="31" spans="1:15" ht="11.4">
      <c r="B31" s="1"/>
      <c r="C31" s="1"/>
      <c r="D31" s="1"/>
      <c r="E31" s="1"/>
      <c r="F31" s="1"/>
    </row>
    <row r="32" spans="1:15" ht="11.4">
      <c r="B32" s="1"/>
      <c r="C32" s="1"/>
      <c r="D32" s="1"/>
      <c r="E32" s="1"/>
      <c r="F32" s="1"/>
    </row>
    <row r="33" spans="2:6" ht="11.4">
      <c r="B33" s="1"/>
      <c r="C33" s="1"/>
      <c r="D33" s="1"/>
      <c r="E33" s="1"/>
      <c r="F33" s="1"/>
    </row>
    <row r="34" spans="2:6" ht="11.4">
      <c r="B34" s="1"/>
      <c r="C34" s="1"/>
      <c r="D34" s="1"/>
      <c r="E34" s="1"/>
      <c r="F34" s="1"/>
    </row>
    <row r="35" spans="2:6" ht="11.4">
      <c r="B35" s="1"/>
      <c r="C35" s="1"/>
      <c r="D35" s="1"/>
      <c r="E35" s="1"/>
      <c r="F35" s="1"/>
    </row>
    <row r="36" spans="2:6" ht="22.8" customHeight="1">
      <c r="B36" s="1"/>
      <c r="C36" s="1"/>
      <c r="D36" s="1"/>
      <c r="E36" s="1"/>
      <c r="F36" s="1"/>
    </row>
    <row r="37" spans="2:6" ht="11.4">
      <c r="B37" s="1"/>
      <c r="C37" s="1"/>
      <c r="D37" s="1"/>
      <c r="E37" s="1"/>
      <c r="F37" s="1"/>
    </row>
    <row r="38" spans="2:6" ht="18" customHeight="1">
      <c r="B38" s="90"/>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scale="90"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zoomScaleNormal="100" workbookViewId="0">
      <selection activeCell="N16" sqref="N16"/>
    </sheetView>
  </sheetViews>
  <sheetFormatPr baseColWidth="10" defaultColWidth="10.921875" defaultRowHeight="11.4"/>
  <cols>
    <col min="1" max="1" width="1.69140625" style="1" customWidth="1"/>
    <col min="2" max="2" width="8.23046875" style="1" customWidth="1"/>
    <col min="3" max="10" width="6.3046875" style="1" customWidth="1"/>
    <col min="11" max="11" width="4.765625" style="1" customWidth="1"/>
    <col min="12" max="12" width="1.3828125" style="1" customWidth="1"/>
    <col min="13" max="13" width="5.23046875" style="373" customWidth="1"/>
    <col min="14" max="17" width="10.921875" style="373"/>
    <col min="18" max="18" width="4.765625" style="373" customWidth="1"/>
    <col min="19" max="20" width="10.921875" style="373"/>
    <col min="21" max="16384" width="10.921875" style="1"/>
  </cols>
  <sheetData>
    <row r="1" spans="2:20" s="15" customFormat="1" ht="13.2">
      <c r="B1" s="766" t="s">
        <v>199</v>
      </c>
      <c r="C1" s="766"/>
      <c r="D1" s="766"/>
      <c r="E1" s="766"/>
      <c r="F1" s="766"/>
      <c r="G1" s="766"/>
      <c r="H1" s="766"/>
      <c r="I1" s="766"/>
      <c r="J1" s="766"/>
      <c r="K1" s="766"/>
      <c r="M1" s="308" t="s">
        <v>200</v>
      </c>
      <c r="N1" s="308" t="str">
        <f>C6</f>
        <v>Argentina</v>
      </c>
      <c r="O1" s="308" t="str">
        <f>E6</f>
        <v>Canadá</v>
      </c>
      <c r="P1" s="308" t="str">
        <f>G6</f>
        <v>EE.UU.</v>
      </c>
      <c r="Q1" s="308" t="s">
        <v>200</v>
      </c>
      <c r="R1" s="308"/>
      <c r="S1" s="308"/>
      <c r="T1" s="308"/>
    </row>
    <row r="2" spans="2:20" s="15" customFormat="1" ht="17.399999999999999">
      <c r="B2" s="17"/>
      <c r="C2" s="17"/>
      <c r="D2" s="17"/>
      <c r="E2" s="17"/>
      <c r="F2" s="17"/>
      <c r="G2" s="17"/>
      <c r="H2" s="17"/>
      <c r="I2" s="23"/>
      <c r="J2" s="23"/>
      <c r="K2" s="11"/>
      <c r="M2" s="441" t="e">
        <f>1-#REF!-#REF!-#REF!</f>
        <v>#REF!</v>
      </c>
      <c r="N2" s="625">
        <f>+D21</f>
        <v>0.61371020756510852</v>
      </c>
      <c r="O2" s="625">
        <f>+F21</f>
        <v>0.18225082051955832</v>
      </c>
      <c r="P2" s="625">
        <f>+H21</f>
        <v>6.8037053781755175E-2</v>
      </c>
      <c r="Q2" s="441">
        <f>1-N2-O2-P2</f>
        <v>0.13600191813357798</v>
      </c>
      <c r="R2" s="308"/>
      <c r="S2" s="308"/>
      <c r="T2" s="308"/>
    </row>
    <row r="3" spans="2:20" s="15" customFormat="1" ht="13.2">
      <c r="B3" s="766" t="s">
        <v>38</v>
      </c>
      <c r="C3" s="766"/>
      <c r="D3" s="766"/>
      <c r="E3" s="766"/>
      <c r="F3" s="766"/>
      <c r="G3" s="766"/>
      <c r="H3" s="766"/>
      <c r="I3" s="766"/>
      <c r="J3" s="766"/>
      <c r="K3" s="766"/>
      <c r="M3" s="308"/>
      <c r="N3" s="308"/>
      <c r="O3" s="308"/>
      <c r="P3" s="308"/>
      <c r="Q3" s="308"/>
      <c r="R3" s="308"/>
      <c r="S3" s="308"/>
      <c r="T3" s="308"/>
    </row>
    <row r="4" spans="2:20" s="15" customFormat="1" ht="13.2">
      <c r="B4" s="838" t="s">
        <v>657</v>
      </c>
      <c r="C4" s="838"/>
      <c r="D4" s="838"/>
      <c r="E4" s="838"/>
      <c r="F4" s="838"/>
      <c r="G4" s="838"/>
      <c r="H4" s="838"/>
      <c r="I4" s="838"/>
      <c r="J4" s="838"/>
      <c r="K4" s="838"/>
      <c r="M4" s="308"/>
      <c r="N4" s="308"/>
      <c r="O4" s="308"/>
      <c r="P4" s="308"/>
      <c r="Q4" s="308"/>
      <c r="R4" s="308"/>
      <c r="S4" s="308"/>
      <c r="T4" s="308"/>
    </row>
    <row r="5" spans="2:20" s="15" customFormat="1" ht="13.2">
      <c r="B5" s="840" t="s">
        <v>181</v>
      </c>
      <c r="C5" s="840"/>
      <c r="D5" s="840"/>
      <c r="E5" s="840"/>
      <c r="F5" s="840"/>
      <c r="G5" s="840"/>
      <c r="H5" s="840"/>
      <c r="I5" s="840"/>
      <c r="J5" s="840"/>
      <c r="K5" s="840"/>
      <c r="M5" s="308"/>
      <c r="N5" s="308"/>
      <c r="O5" s="308"/>
      <c r="P5" s="308"/>
      <c r="Q5" s="308"/>
      <c r="R5" s="308"/>
      <c r="S5" s="308"/>
      <c r="T5" s="308"/>
    </row>
    <row r="6" spans="2:20" s="14" customFormat="1" ht="24" customHeight="1">
      <c r="B6" s="530" t="s">
        <v>201</v>
      </c>
      <c r="C6" s="832" t="s">
        <v>112</v>
      </c>
      <c r="D6" s="832"/>
      <c r="E6" s="832" t="s">
        <v>114</v>
      </c>
      <c r="F6" s="832"/>
      <c r="G6" s="832" t="s">
        <v>119</v>
      </c>
      <c r="H6" s="832"/>
      <c r="I6" s="841" t="s">
        <v>198</v>
      </c>
      <c r="J6" s="841"/>
      <c r="K6" s="841"/>
      <c r="L6" s="22"/>
      <c r="M6" s="300"/>
      <c r="N6" s="300"/>
      <c r="O6" s="300"/>
      <c r="P6" s="471"/>
      <c r="Q6" s="300"/>
      <c r="R6" s="300"/>
      <c r="S6" s="300"/>
      <c r="T6" s="300"/>
    </row>
    <row r="7" spans="2:20" s="14" customFormat="1" ht="17.25" customHeight="1">
      <c r="B7" s="215"/>
      <c r="C7" s="128">
        <v>2021</v>
      </c>
      <c r="D7" s="128">
        <v>2022</v>
      </c>
      <c r="E7" s="590">
        <v>2021</v>
      </c>
      <c r="F7" s="590">
        <v>2022</v>
      </c>
      <c r="G7" s="590">
        <v>2021</v>
      </c>
      <c r="H7" s="590">
        <v>2022</v>
      </c>
      <c r="I7" s="590">
        <v>2021</v>
      </c>
      <c r="J7" s="590">
        <v>2022</v>
      </c>
      <c r="K7" s="128" t="s">
        <v>202</v>
      </c>
      <c r="L7" s="22"/>
      <c r="M7" s="300"/>
      <c r="N7" s="300"/>
      <c r="O7" s="300"/>
      <c r="P7" s="300"/>
      <c r="Q7" s="300"/>
      <c r="R7" s="300"/>
      <c r="S7" s="300"/>
      <c r="T7" s="300"/>
    </row>
    <row r="8" spans="2:20" s="14" customFormat="1" ht="15.75" customHeight="1">
      <c r="B8" s="24" t="s">
        <v>203</v>
      </c>
      <c r="C8" s="379">
        <v>37232.027000000002</v>
      </c>
      <c r="D8" s="46">
        <v>61185.43</v>
      </c>
      <c r="E8" s="46">
        <v>2631.4520000000002</v>
      </c>
      <c r="F8" s="46">
        <v>23831.526999999998</v>
      </c>
      <c r="G8" s="46">
        <v>23525.08</v>
      </c>
      <c r="H8" s="46">
        <v>2000</v>
      </c>
      <c r="I8" s="46">
        <v>63398.959000000003</v>
      </c>
      <c r="J8" s="46">
        <v>90326.956999999995</v>
      </c>
      <c r="K8" s="387">
        <f>+J8/I8*100-100</f>
        <v>42.473880367657131</v>
      </c>
      <c r="L8" s="22"/>
      <c r="M8" s="300"/>
      <c r="N8" s="300"/>
      <c r="O8" s="300"/>
      <c r="P8" s="300"/>
      <c r="Q8" s="300"/>
      <c r="R8" s="300"/>
      <c r="S8" s="300"/>
      <c r="T8" s="300"/>
    </row>
    <row r="9" spans="2:20" s="14" customFormat="1" ht="15.75" customHeight="1">
      <c r="B9" s="24" t="s">
        <v>204</v>
      </c>
      <c r="C9" s="295">
        <v>57265.148999999998</v>
      </c>
      <c r="D9" s="46">
        <v>59551.519999999997</v>
      </c>
      <c r="E9" s="46">
        <v>17126.95</v>
      </c>
      <c r="F9" s="46">
        <v>7132.22</v>
      </c>
      <c r="G9" s="46">
        <v>5086.2299999999996</v>
      </c>
      <c r="H9" s="46">
        <v>1977.28</v>
      </c>
      <c r="I9" s="46">
        <v>79487.328999999998</v>
      </c>
      <c r="J9" s="46">
        <v>88013.97</v>
      </c>
      <c r="K9" s="387">
        <f>+J9/I9*100-100</f>
        <v>10.727044306646661</v>
      </c>
      <c r="L9" s="22"/>
      <c r="M9" s="300"/>
      <c r="N9" s="300"/>
      <c r="O9" s="300"/>
      <c r="P9" s="300"/>
      <c r="Q9" s="300"/>
      <c r="R9" s="300"/>
      <c r="S9" s="300"/>
      <c r="T9" s="300"/>
    </row>
    <row r="10" spans="2:20" s="14" customFormat="1" ht="15.75" customHeight="1">
      <c r="B10" s="24" t="s">
        <v>205</v>
      </c>
      <c r="C10" s="295">
        <v>16324.164000000001</v>
      </c>
      <c r="D10" s="46">
        <v>57536.7</v>
      </c>
      <c r="E10" s="46">
        <v>25599.43</v>
      </c>
      <c r="F10" s="46">
        <v>8658</v>
      </c>
      <c r="G10" s="46">
        <v>11080</v>
      </c>
      <c r="H10" s="46">
        <v>0</v>
      </c>
      <c r="I10" s="46">
        <v>53003.593999999997</v>
      </c>
      <c r="J10" s="46">
        <v>71084.13</v>
      </c>
      <c r="K10" s="387">
        <f>+J10/I10*100-100</f>
        <v>34.111905694545953</v>
      </c>
      <c r="L10" s="22"/>
      <c r="M10" s="300"/>
      <c r="N10" s="300"/>
      <c r="O10" s="300"/>
      <c r="P10" s="300"/>
      <c r="Q10" s="300"/>
      <c r="R10" s="300"/>
      <c r="S10" s="300"/>
      <c r="T10" s="300"/>
    </row>
    <row r="11" spans="2:20" s="14" customFormat="1" ht="15" customHeight="1">
      <c r="B11" s="24" t="s">
        <v>206</v>
      </c>
      <c r="C11" s="295">
        <v>54964.597999999998</v>
      </c>
      <c r="D11" s="46">
        <v>21053.7</v>
      </c>
      <c r="E11" s="46">
        <v>77.58</v>
      </c>
      <c r="F11" s="46">
        <v>42344.078000000001</v>
      </c>
      <c r="G11" s="46">
        <v>39118.519999999997</v>
      </c>
      <c r="H11" s="46">
        <v>25324.34</v>
      </c>
      <c r="I11" s="46">
        <v>94189.157999999996</v>
      </c>
      <c r="J11" s="46">
        <v>121222.83</v>
      </c>
      <c r="K11" s="387">
        <f>+J11/I11*100-100</f>
        <v>28.701469016210979</v>
      </c>
      <c r="L11" s="22"/>
      <c r="M11" s="300"/>
      <c r="N11" s="300"/>
      <c r="O11" s="300"/>
      <c r="P11" s="300"/>
      <c r="Q11" s="300"/>
      <c r="R11" s="300"/>
      <c r="S11" s="300"/>
      <c r="T11" s="300"/>
    </row>
    <row r="12" spans="2:20" s="14" customFormat="1" ht="15.75" customHeight="1">
      <c r="B12" s="24" t="s">
        <v>207</v>
      </c>
      <c r="C12" s="295">
        <v>13293.19</v>
      </c>
      <c r="D12" s="46">
        <v>88104.51</v>
      </c>
      <c r="E12" s="46">
        <v>64748.275999999998</v>
      </c>
      <c r="F12" s="46">
        <v>3391.55</v>
      </c>
      <c r="G12" s="46">
        <v>4490.1499999999996</v>
      </c>
      <c r="H12" s="46">
        <v>2563.61</v>
      </c>
      <c r="I12" s="46">
        <v>82688.937090000007</v>
      </c>
      <c r="J12" s="46">
        <v>97703.228000000003</v>
      </c>
      <c r="K12" s="387">
        <f>+J12/I12*100-100</f>
        <v>18.157557030462485</v>
      </c>
      <c r="L12" s="22"/>
      <c r="M12" s="300"/>
      <c r="N12" s="300"/>
      <c r="O12" s="300"/>
      <c r="P12" s="300"/>
      <c r="Q12" s="300"/>
      <c r="R12" s="300"/>
      <c r="S12" s="300"/>
      <c r="T12" s="300"/>
    </row>
    <row r="13" spans="2:20" s="14" customFormat="1" ht="15.75" customHeight="1">
      <c r="B13" s="24" t="s">
        <v>208</v>
      </c>
      <c r="C13" s="295">
        <v>34097.440000000002</v>
      </c>
      <c r="D13" s="46"/>
      <c r="E13" s="46">
        <v>4147.6779999999999</v>
      </c>
      <c r="F13" s="46"/>
      <c r="G13" s="46">
        <v>7357.7</v>
      </c>
      <c r="H13" s="46"/>
      <c r="I13" s="46">
        <v>45814.447999999997</v>
      </c>
      <c r="J13" s="46"/>
      <c r="K13" s="387"/>
      <c r="L13" s="22"/>
      <c r="M13" s="300"/>
      <c r="N13" s="300"/>
      <c r="O13" s="300"/>
      <c r="P13" s="300"/>
      <c r="Q13" s="300"/>
      <c r="R13" s="300"/>
      <c r="S13" s="300"/>
      <c r="T13" s="300"/>
    </row>
    <row r="14" spans="2:20" s="14" customFormat="1" ht="15.75" customHeight="1">
      <c r="B14" s="24" t="s">
        <v>209</v>
      </c>
      <c r="C14" s="295">
        <v>41315.53</v>
      </c>
      <c r="D14" s="46"/>
      <c r="E14" s="46">
        <v>54073.7</v>
      </c>
      <c r="F14" s="46"/>
      <c r="G14" s="46">
        <v>0</v>
      </c>
      <c r="H14" s="46"/>
      <c r="I14" s="46">
        <v>95415.9</v>
      </c>
      <c r="J14" s="46"/>
      <c r="K14" s="387"/>
      <c r="L14" s="22"/>
      <c r="M14" s="300"/>
      <c r="N14" s="373"/>
      <c r="O14" s="373"/>
      <c r="P14" s="373"/>
      <c r="Q14" s="300"/>
      <c r="R14" s="300"/>
      <c r="S14" s="300"/>
      <c r="T14" s="300"/>
    </row>
    <row r="15" spans="2:20" s="14" customFormat="1" ht="15.75" customHeight="1">
      <c r="B15" s="348" t="s">
        <v>210</v>
      </c>
      <c r="C15" s="295">
        <v>57138.36</v>
      </c>
      <c r="D15" s="46"/>
      <c r="E15" s="46">
        <v>38475.89</v>
      </c>
      <c r="F15" s="46"/>
      <c r="G15" s="46">
        <v>14398.512000000001</v>
      </c>
      <c r="H15" s="46"/>
      <c r="I15" s="46">
        <v>110012.762</v>
      </c>
      <c r="J15" s="46"/>
      <c r="K15" s="387"/>
      <c r="L15" s="22"/>
      <c r="M15" s="300"/>
      <c r="N15" s="373"/>
      <c r="O15" s="373"/>
      <c r="P15" s="373"/>
      <c r="Q15" s="300"/>
      <c r="R15" s="300"/>
      <c r="S15" s="300"/>
      <c r="T15" s="300"/>
    </row>
    <row r="16" spans="2:20" s="14" customFormat="1" ht="15.75" customHeight="1">
      <c r="B16" s="24" t="s">
        <v>211</v>
      </c>
      <c r="C16" s="295">
        <v>26449.01</v>
      </c>
      <c r="D16" s="46"/>
      <c r="E16" s="46">
        <v>7106.93</v>
      </c>
      <c r="F16" s="46"/>
      <c r="G16" s="46">
        <v>17617.29</v>
      </c>
      <c r="H16" s="46"/>
      <c r="I16" s="46">
        <v>51173.23</v>
      </c>
      <c r="J16" s="46"/>
      <c r="K16" s="387"/>
      <c r="L16" s="22"/>
      <c r="M16" s="300"/>
      <c r="N16" s="373"/>
      <c r="O16" s="373"/>
      <c r="P16" s="373"/>
      <c r="Q16" s="300"/>
      <c r="R16" s="300"/>
      <c r="S16" s="300"/>
      <c r="T16" s="300"/>
    </row>
    <row r="17" spans="1:20" s="14" customFormat="1" ht="15.75" customHeight="1">
      <c r="A17" s="22"/>
      <c r="B17" s="24" t="s">
        <v>212</v>
      </c>
      <c r="C17" s="46">
        <v>42511.15</v>
      </c>
      <c r="D17" s="46"/>
      <c r="E17" s="46">
        <v>35.18</v>
      </c>
      <c r="F17" s="46"/>
      <c r="G17" s="46">
        <v>3428.31</v>
      </c>
      <c r="H17" s="46"/>
      <c r="I17" s="46">
        <v>45974.64</v>
      </c>
      <c r="J17" s="46"/>
      <c r="K17" s="387"/>
      <c r="L17" s="22"/>
      <c r="M17" s="300"/>
      <c r="N17" s="377"/>
      <c r="O17" s="300"/>
      <c r="P17" s="300"/>
      <c r="Q17" s="300"/>
      <c r="R17" s="300"/>
      <c r="S17" s="300"/>
      <c r="T17" s="300"/>
    </row>
    <row r="18" spans="1:20" s="14" customFormat="1" ht="15.75" customHeight="1">
      <c r="A18" s="22"/>
      <c r="B18" s="24" t="s">
        <v>196</v>
      </c>
      <c r="C18" s="295">
        <v>36100.633999999998</v>
      </c>
      <c r="D18" s="46"/>
      <c r="E18" s="46">
        <v>38241.881999999998</v>
      </c>
      <c r="F18" s="46"/>
      <c r="G18" s="46">
        <v>17755.03</v>
      </c>
      <c r="H18" s="46"/>
      <c r="I18" s="46">
        <v>93437.046000000002</v>
      </c>
      <c r="J18" s="46"/>
      <c r="K18" s="387"/>
      <c r="L18" s="22"/>
      <c r="M18" s="300"/>
      <c r="N18" s="377"/>
      <c r="O18" s="300"/>
      <c r="P18" s="300"/>
      <c r="Q18" s="300"/>
      <c r="R18" s="300"/>
      <c r="S18" s="300"/>
      <c r="T18" s="300"/>
    </row>
    <row r="19" spans="1:20" s="14" customFormat="1" ht="15.75" customHeight="1">
      <c r="A19" s="22"/>
      <c r="B19" s="24" t="s">
        <v>213</v>
      </c>
      <c r="C19" s="295">
        <v>43609.3</v>
      </c>
      <c r="D19" s="46"/>
      <c r="E19" s="46">
        <v>73586.600999999995</v>
      </c>
      <c r="F19" s="46"/>
      <c r="G19" s="46">
        <v>154.54</v>
      </c>
      <c r="H19" s="46"/>
      <c r="I19" s="46">
        <v>117948.94100000001</v>
      </c>
      <c r="J19" s="46"/>
      <c r="K19" s="387"/>
      <c r="L19" s="22"/>
      <c r="M19" s="300"/>
      <c r="N19" s="377"/>
      <c r="O19" s="300"/>
      <c r="P19" s="300"/>
      <c r="Q19" s="300"/>
      <c r="R19" s="300"/>
      <c r="S19" s="300"/>
      <c r="T19" s="300"/>
    </row>
    <row r="20" spans="1:20" s="14" customFormat="1" ht="15.75" customHeight="1">
      <c r="A20" s="22"/>
      <c r="B20" s="24" t="s">
        <v>198</v>
      </c>
      <c r="C20" s="295">
        <f>SUM(C8:C19)</f>
        <v>460300.55200000008</v>
      </c>
      <c r="D20" s="295">
        <f t="shared" ref="D20:I20" si="0">SUM(D8:D19)</f>
        <v>287431.86</v>
      </c>
      <c r="E20" s="295">
        <f t="shared" si="0"/>
        <v>325851.549</v>
      </c>
      <c r="F20" s="295">
        <f t="shared" si="0"/>
        <v>85357.375000000015</v>
      </c>
      <c r="G20" s="295">
        <f t="shared" si="0"/>
        <v>144011.36199999999</v>
      </c>
      <c r="H20" s="295">
        <f t="shared" si="0"/>
        <v>31865.23</v>
      </c>
      <c r="I20" s="295">
        <f t="shared" si="0"/>
        <v>932544.94408999989</v>
      </c>
      <c r="J20" s="295">
        <f>SUM(J8:J19)</f>
        <v>468351.11499999999</v>
      </c>
      <c r="K20" s="387"/>
      <c r="L20" s="22"/>
      <c r="M20" s="300"/>
      <c r="N20" s="377"/>
      <c r="O20" s="300"/>
      <c r="P20" s="300"/>
      <c r="Q20" s="300"/>
      <c r="R20" s="300"/>
      <c r="S20" s="300"/>
      <c r="T20" s="300"/>
    </row>
    <row r="21" spans="1:20" s="14" customFormat="1" ht="15.75" customHeight="1">
      <c r="A21" s="22"/>
      <c r="B21" s="57" t="s">
        <v>214</v>
      </c>
      <c r="C21" s="531">
        <f>C20/I20</f>
        <v>0.49359610484958727</v>
      </c>
      <c r="D21" s="531">
        <f>+D20/$J$20</f>
        <v>0.61371020756510852</v>
      </c>
      <c r="E21" s="531">
        <f>+E20/$I$20</f>
        <v>0.34942181721651377</v>
      </c>
      <c r="F21" s="531">
        <f>+F20/$J$20</f>
        <v>0.18225082051955832</v>
      </c>
      <c r="G21" s="531">
        <f>+G20/$I$20</f>
        <v>0.15442833389711827</v>
      </c>
      <c r="H21" s="531">
        <f>+H20/$J$20</f>
        <v>6.8037053781755175E-2</v>
      </c>
      <c r="I21" s="531">
        <f>+I20/$I$20</f>
        <v>1</v>
      </c>
      <c r="J21" s="531">
        <f>+J20/$J$20</f>
        <v>1</v>
      </c>
      <c r="K21" s="77"/>
      <c r="L21" s="22"/>
      <c r="M21" s="300"/>
      <c r="N21" s="11"/>
      <c r="O21" s="300"/>
      <c r="P21" s="300"/>
      <c r="Q21" s="300"/>
      <c r="R21" s="300"/>
      <c r="S21" s="300"/>
      <c r="T21" s="300"/>
    </row>
    <row r="22" spans="1:20" s="14" customFormat="1" ht="57.75" customHeight="1">
      <c r="A22" s="22"/>
      <c r="B22" s="842" t="s">
        <v>656</v>
      </c>
      <c r="C22" s="843"/>
      <c r="D22" s="843"/>
      <c r="E22" s="843"/>
      <c r="F22" s="843"/>
      <c r="G22" s="843"/>
      <c r="H22" s="843"/>
      <c r="I22" s="843"/>
      <c r="J22" s="843"/>
      <c r="K22" s="844"/>
      <c r="L22" s="22"/>
      <c r="M22" s="391"/>
      <c r="N22" s="691"/>
      <c r="O22" s="391"/>
      <c r="P22" s="391"/>
      <c r="Q22" s="300"/>
      <c r="R22" s="300"/>
      <c r="S22" s="300"/>
      <c r="T22" s="300"/>
    </row>
    <row r="23" spans="1:20" s="14" customFormat="1" ht="8.25" customHeight="1">
      <c r="A23" s="22"/>
      <c r="B23" s="29"/>
      <c r="C23" s="29"/>
      <c r="D23" s="29"/>
      <c r="E23" s="29"/>
      <c r="F23" s="29"/>
      <c r="G23" s="29"/>
      <c r="H23" s="29"/>
      <c r="I23" s="500"/>
      <c r="J23" s="501"/>
      <c r="K23" s="29"/>
      <c r="L23" s="22"/>
      <c r="M23" s="391"/>
      <c r="N23" s="691"/>
      <c r="O23" s="391"/>
      <c r="P23" s="391"/>
      <c r="Q23" s="300"/>
      <c r="R23" s="300"/>
      <c r="S23" s="300"/>
      <c r="T23" s="300"/>
    </row>
    <row r="24" spans="1:20" s="14" customFormat="1" ht="15.75" customHeight="1">
      <c r="A24" s="22"/>
      <c r="B24" s="839"/>
      <c r="C24" s="839"/>
      <c r="D24" s="839"/>
      <c r="E24" s="839"/>
      <c r="F24" s="839"/>
      <c r="G24" s="839"/>
      <c r="H24" s="839"/>
      <c r="I24" s="839"/>
      <c r="J24" s="839"/>
      <c r="K24" s="839"/>
      <c r="L24" s="22"/>
      <c r="M24" s="391"/>
      <c r="N24" s="691"/>
      <c r="O24" s="391"/>
      <c r="P24" s="391"/>
      <c r="Q24" s="300"/>
      <c r="R24" s="300"/>
      <c r="S24" s="300"/>
      <c r="T24" s="300"/>
    </row>
    <row r="25" spans="1:20" s="14" customFormat="1" ht="15.75" customHeight="1">
      <c r="A25" s="22"/>
      <c r="B25" s="1"/>
      <c r="C25" s="22"/>
      <c r="D25" s="22"/>
      <c r="E25" s="22"/>
      <c r="F25" s="22"/>
      <c r="G25" s="22"/>
      <c r="H25" s="22"/>
      <c r="I25" s="22"/>
      <c r="J25" s="22"/>
      <c r="K25" s="22"/>
      <c r="L25" s="22"/>
      <c r="M25" s="391"/>
      <c r="N25" s="391"/>
      <c r="O25" s="391"/>
      <c r="P25" s="391"/>
      <c r="Q25" s="300"/>
      <c r="R25" s="300"/>
      <c r="S25" s="300"/>
      <c r="T25" s="300"/>
    </row>
    <row r="26" spans="1:20" ht="17.25" customHeight="1">
      <c r="B26" s="59"/>
      <c r="C26" s="59"/>
      <c r="D26" s="59"/>
      <c r="E26" s="59"/>
      <c r="F26" s="59"/>
      <c r="G26" s="59"/>
      <c r="H26" s="59"/>
      <c r="I26" s="59"/>
      <c r="J26" s="59"/>
      <c r="K26" s="59"/>
      <c r="L26" s="90"/>
      <c r="M26" s="391"/>
      <c r="N26" s="391"/>
      <c r="O26" s="391"/>
      <c r="P26" s="391"/>
    </row>
    <row r="27" spans="1:20" ht="15" customHeight="1">
      <c r="B27" s="2"/>
      <c r="C27" s="2"/>
      <c r="D27" s="2"/>
      <c r="E27" s="2"/>
      <c r="F27" s="2"/>
      <c r="G27" s="2"/>
      <c r="H27" s="2"/>
      <c r="I27" s="2"/>
      <c r="J27" s="2"/>
      <c r="K27" s="2"/>
      <c r="M27" s="391"/>
      <c r="N27" s="391"/>
      <c r="O27" s="391"/>
      <c r="P27" s="391"/>
    </row>
    <row r="28" spans="1:20" ht="15" customHeight="1">
      <c r="M28" s="391"/>
      <c r="N28" s="391"/>
      <c r="O28" s="391"/>
      <c r="P28" s="391"/>
    </row>
    <row r="29" spans="1:20" ht="15" customHeight="1">
      <c r="M29" s="391"/>
      <c r="N29" s="391"/>
      <c r="O29" s="391"/>
      <c r="P29" s="391"/>
    </row>
    <row r="30" spans="1:20" ht="15" customHeight="1">
      <c r="M30" s="391"/>
      <c r="N30" s="391"/>
      <c r="O30" s="391"/>
      <c r="P30" s="391"/>
    </row>
    <row r="31" spans="1:20" ht="15" customHeight="1">
      <c r="M31" s="391"/>
      <c r="N31" s="391"/>
      <c r="O31" s="391"/>
      <c r="P31" s="391"/>
    </row>
    <row r="32" spans="1:20" ht="15" customHeight="1"/>
    <row r="33" spans="18:18" ht="15" customHeight="1"/>
    <row r="34" spans="18:18" ht="15" customHeight="1"/>
    <row r="35" spans="18:18" ht="15" customHeight="1"/>
    <row r="36" spans="18:18" ht="15" customHeight="1"/>
    <row r="37" spans="18:18" ht="15" customHeight="1"/>
    <row r="38" spans="18:18" ht="15" customHeight="1">
      <c r="R38" s="626"/>
    </row>
    <row r="39" spans="18:18" ht="15" customHeight="1"/>
    <row r="40" spans="18:18" ht="15" customHeight="1"/>
    <row r="41" spans="18:18" ht="1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K24"/>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scale="97" firstPageNumber="0" orientation="portrait" r:id="rId2"/>
  <headerFooter alignWithMargins="0">
    <oddFooter>&amp;C&amp;10&amp;A</oddFooter>
  </headerFooter>
  <ignoredErrors>
    <ignoredError sqref="C20:J20" formulaRange="1"/>
    <ignoredError sqref="I21" formula="1" formulaRange="1"/>
    <ignoredError sqref="E21:H21" formula="1"/>
    <ignoredError sqref="M2"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X38"/>
  <sheetViews>
    <sheetView zoomScaleNormal="100" workbookViewId="0">
      <selection activeCell="N16" sqref="N16"/>
    </sheetView>
  </sheetViews>
  <sheetFormatPr baseColWidth="10" defaultColWidth="10.921875" defaultRowHeight="13.2"/>
  <cols>
    <col min="1" max="1" width="2.23046875" style="1" customWidth="1"/>
    <col min="2" max="2" width="9.84375" style="1" customWidth="1"/>
    <col min="3" max="8" width="5.3828125" style="1" customWidth="1"/>
    <col min="9" max="9" width="6.765625" style="1" customWidth="1"/>
    <col min="10" max="10" width="6.07421875" style="1" bestFit="1" customWidth="1"/>
    <col min="11" max="11" width="5.3828125" style="1" customWidth="1"/>
    <col min="12" max="12" width="1.3828125" style="1" customWidth="1"/>
    <col min="13" max="13" width="7.69140625" style="488" customWidth="1"/>
    <col min="14" max="14" width="8.3046875" style="488" bestFit="1" customWidth="1"/>
    <col min="15" max="15" width="7.15234375" style="488" bestFit="1" customWidth="1"/>
    <col min="16" max="16" width="5.23046875" style="488" customWidth="1"/>
    <col min="17" max="17" width="10.921875" style="488"/>
    <col min="18" max="18" width="10.921875" style="1"/>
    <col min="19" max="22" width="10.921875" style="22"/>
    <col min="23" max="23" width="10.921875" style="1"/>
    <col min="24" max="24" width="4.765625" style="1" customWidth="1"/>
    <col min="25" max="16384" width="10.921875" style="1"/>
  </cols>
  <sheetData>
    <row r="1" spans="2:23" s="15" customFormat="1">
      <c r="B1" s="766" t="s">
        <v>215</v>
      </c>
      <c r="C1" s="766"/>
      <c r="D1" s="766"/>
      <c r="E1" s="766"/>
      <c r="F1" s="766"/>
      <c r="G1" s="766"/>
      <c r="H1" s="766"/>
      <c r="I1" s="766"/>
      <c r="J1" s="766"/>
      <c r="K1" s="766"/>
      <c r="M1" s="475" t="str">
        <f>C6</f>
        <v>Suave</v>
      </c>
      <c r="N1" s="475" t="str">
        <f>E6</f>
        <v>Intermedio</v>
      </c>
      <c r="O1" s="475" t="str">
        <f>G6</f>
        <v>Fuerte</v>
      </c>
      <c r="P1" s="475" t="s">
        <v>200</v>
      </c>
      <c r="Q1" s="475"/>
    </row>
    <row r="2" spans="2:23" s="15" customFormat="1">
      <c r="B2" s="17"/>
      <c r="C2" s="17"/>
      <c r="D2" s="17"/>
      <c r="E2" s="17"/>
      <c r="F2" s="17"/>
      <c r="G2" s="17"/>
      <c r="H2" s="17"/>
      <c r="M2" s="476">
        <f>D21</f>
        <v>0.40550779942095355</v>
      </c>
      <c r="N2" s="476">
        <f>F21</f>
        <v>0.41861092825625057</v>
      </c>
      <c r="O2" s="476">
        <f>H21</f>
        <v>0.14159095148092044</v>
      </c>
      <c r="P2" s="476">
        <f>1-M2-N2-O2</f>
        <v>3.4290320841875499E-2</v>
      </c>
      <c r="Q2" s="475"/>
    </row>
    <row r="3" spans="2:23" s="15" customFormat="1">
      <c r="B3" s="766" t="s">
        <v>40</v>
      </c>
      <c r="C3" s="766"/>
      <c r="D3" s="766"/>
      <c r="E3" s="766"/>
      <c r="F3" s="766"/>
      <c r="G3" s="766"/>
      <c r="H3" s="766"/>
      <c r="I3" s="766"/>
      <c r="J3" s="766"/>
      <c r="K3" s="766"/>
      <c r="M3" s="475"/>
      <c r="N3" s="475"/>
      <c r="O3" s="475"/>
      <c r="P3" s="475"/>
      <c r="Q3" s="475"/>
    </row>
    <row r="4" spans="2:23" s="15" customFormat="1">
      <c r="B4" s="838" t="s">
        <v>657</v>
      </c>
      <c r="C4" s="838"/>
      <c r="D4" s="838"/>
      <c r="E4" s="838"/>
      <c r="F4" s="838"/>
      <c r="G4" s="838"/>
      <c r="H4" s="838"/>
      <c r="I4" s="838"/>
      <c r="J4" s="838"/>
      <c r="K4" s="838"/>
      <c r="M4" s="475"/>
      <c r="N4" s="475"/>
      <c r="O4" s="475"/>
      <c r="P4" s="475"/>
      <c r="Q4" s="475"/>
    </row>
    <row r="5" spans="2:23" s="15" customFormat="1">
      <c r="B5" s="852" t="s">
        <v>181</v>
      </c>
      <c r="C5" s="852"/>
      <c r="D5" s="852"/>
      <c r="E5" s="852"/>
      <c r="F5" s="852"/>
      <c r="G5" s="852"/>
      <c r="H5" s="852"/>
      <c r="I5" s="852"/>
      <c r="J5" s="852"/>
      <c r="K5" s="852"/>
      <c r="M5" s="477"/>
      <c r="N5" s="475"/>
      <c r="O5" s="475"/>
      <c r="P5" s="475"/>
      <c r="Q5" s="475"/>
    </row>
    <row r="6" spans="2:23" s="22" customFormat="1" ht="24" customHeight="1">
      <c r="B6" s="853" t="s">
        <v>201</v>
      </c>
      <c r="C6" s="829" t="s">
        <v>216</v>
      </c>
      <c r="D6" s="829"/>
      <c r="E6" s="829" t="s">
        <v>176</v>
      </c>
      <c r="F6" s="829"/>
      <c r="G6" s="829" t="s">
        <v>217</v>
      </c>
      <c r="H6" s="829"/>
      <c r="I6" s="792" t="s">
        <v>198</v>
      </c>
      <c r="J6" s="792"/>
      <c r="K6" s="792"/>
      <c r="M6" s="477"/>
      <c r="N6" s="477"/>
      <c r="O6" s="477"/>
      <c r="P6" s="477"/>
      <c r="Q6" s="477"/>
    </row>
    <row r="7" spans="2:23" s="22" customFormat="1" ht="17.399999999999999">
      <c r="B7" s="853"/>
      <c r="C7" s="128">
        <v>2021</v>
      </c>
      <c r="D7" s="128">
        <v>2022</v>
      </c>
      <c r="E7" s="590">
        <v>2021</v>
      </c>
      <c r="F7" s="590">
        <v>2022</v>
      </c>
      <c r="G7" s="590">
        <v>2021</v>
      </c>
      <c r="H7" s="590">
        <v>2022</v>
      </c>
      <c r="I7" s="590">
        <v>2021</v>
      </c>
      <c r="J7" s="590">
        <v>2022</v>
      </c>
      <c r="K7" s="212" t="s">
        <v>202</v>
      </c>
      <c r="M7" s="477"/>
      <c r="N7" s="478"/>
      <c r="O7" s="477"/>
      <c r="P7" s="477"/>
      <c r="Q7" s="477"/>
    </row>
    <row r="8" spans="2:23" s="22" customFormat="1" ht="15.75" customHeight="1">
      <c r="B8" s="24" t="s">
        <v>203</v>
      </c>
      <c r="C8" s="731">
        <v>23355.56</v>
      </c>
      <c r="D8" s="731">
        <v>3310</v>
      </c>
      <c r="E8" s="731">
        <v>27135.919999999998</v>
      </c>
      <c r="F8" s="731">
        <v>64657.165000000001</v>
      </c>
      <c r="G8" s="731">
        <v>11675.478999999999</v>
      </c>
      <c r="H8" s="731">
        <v>22220.472000000002</v>
      </c>
      <c r="I8" s="731">
        <v>63398.958999999995</v>
      </c>
      <c r="J8" s="731">
        <v>90326.957000000024</v>
      </c>
      <c r="K8" s="295">
        <f t="shared" ref="K8:K9" si="0">J8/I8*100-100</f>
        <v>42.473880367657188</v>
      </c>
      <c r="M8" s="479"/>
      <c r="N8" s="480"/>
      <c r="O8" s="480"/>
      <c r="P8" s="477"/>
      <c r="Q8" s="477"/>
      <c r="T8" s="472"/>
      <c r="U8" s="95"/>
      <c r="V8" s="95"/>
      <c r="W8" s="95"/>
    </row>
    <row r="9" spans="2:23" s="22" customFormat="1" ht="15.75" customHeight="1">
      <c r="B9" s="24" t="s">
        <v>204</v>
      </c>
      <c r="C9" s="731">
        <v>9652.17</v>
      </c>
      <c r="D9" s="731">
        <v>41091.839999999997</v>
      </c>
      <c r="E9" s="731">
        <v>40035.879999999997</v>
      </c>
      <c r="F9" s="731">
        <v>39426.449999999997</v>
      </c>
      <c r="G9" s="731">
        <v>28791.278999999999</v>
      </c>
      <c r="H9" s="731">
        <v>7215.68</v>
      </c>
      <c r="I9" s="731">
        <v>79487.328999999998</v>
      </c>
      <c r="J9" s="731">
        <v>88013.97</v>
      </c>
      <c r="K9" s="295">
        <f t="shared" si="0"/>
        <v>10.727044306646661</v>
      </c>
      <c r="M9" s="479" t="s">
        <v>216</v>
      </c>
      <c r="N9" s="481" t="s">
        <v>176</v>
      </c>
      <c r="O9" s="481" t="s">
        <v>217</v>
      </c>
      <c r="P9" s="481" t="s">
        <v>200</v>
      </c>
      <c r="Q9" s="477"/>
      <c r="T9" s="472"/>
      <c r="U9" s="95"/>
      <c r="V9" s="95"/>
      <c r="W9" s="95"/>
    </row>
    <row r="10" spans="2:23" s="22" customFormat="1" ht="15.75" customHeight="1">
      <c r="B10" s="24" t="s">
        <v>205</v>
      </c>
      <c r="C10" s="731">
        <v>8970</v>
      </c>
      <c r="D10" s="731">
        <v>48619.93</v>
      </c>
      <c r="E10" s="731">
        <v>21938.27</v>
      </c>
      <c r="F10" s="731">
        <v>18602.2</v>
      </c>
      <c r="G10" s="731">
        <v>21087.324000000001</v>
      </c>
      <c r="H10" s="731">
        <v>2708</v>
      </c>
      <c r="I10" s="731">
        <v>53003.593999999997</v>
      </c>
      <c r="J10" s="731">
        <v>71084.13</v>
      </c>
      <c r="K10" s="295">
        <f>J10/I10*100-100</f>
        <v>34.111905694545953</v>
      </c>
      <c r="M10" s="482">
        <f>D21</f>
        <v>0.40550779942095355</v>
      </c>
      <c r="N10" s="482">
        <f>F21</f>
        <v>0.41861092825625057</v>
      </c>
      <c r="O10" s="482">
        <f>H21</f>
        <v>0.14159095148092044</v>
      </c>
      <c r="P10" s="483">
        <f>1-(SUM(M10:O10))</f>
        <v>3.4290320841875443E-2</v>
      </c>
      <c r="Q10" s="477"/>
      <c r="T10" s="472"/>
      <c r="U10" s="95"/>
      <c r="V10" s="95"/>
      <c r="W10" s="95"/>
    </row>
    <row r="11" spans="2:23" s="22" customFormat="1" ht="15.75" customHeight="1">
      <c r="B11" s="24" t="s">
        <v>206</v>
      </c>
      <c r="C11" s="731">
        <v>50475.07</v>
      </c>
      <c r="D11" s="731">
        <v>23088.23</v>
      </c>
      <c r="E11" s="731">
        <v>37006.730000000003</v>
      </c>
      <c r="F11" s="731">
        <v>53532.472000000002</v>
      </c>
      <c r="G11" s="731">
        <v>5951.3580000000002</v>
      </c>
      <c r="H11" s="731">
        <v>32907.578000000001</v>
      </c>
      <c r="I11" s="731">
        <v>94189.157999999996</v>
      </c>
      <c r="J11" s="731">
        <v>121222.83</v>
      </c>
      <c r="K11" s="295">
        <f>J11/I11*100-100</f>
        <v>28.701469016210979</v>
      </c>
      <c r="M11" s="479"/>
      <c r="N11" s="478"/>
      <c r="O11" s="477"/>
      <c r="P11" s="477"/>
      <c r="Q11" s="477"/>
      <c r="T11" s="472"/>
      <c r="U11" s="95"/>
      <c r="V11" s="95"/>
      <c r="W11" s="95"/>
    </row>
    <row r="12" spans="2:23" s="22" customFormat="1" ht="15.75" customHeight="1">
      <c r="B12" s="24" t="s">
        <v>207</v>
      </c>
      <c r="C12" s="731">
        <v>5410.4610899999998</v>
      </c>
      <c r="D12" s="731">
        <v>73810.03</v>
      </c>
      <c r="E12" s="731">
        <v>31537.294000000002</v>
      </c>
      <c r="F12" s="731">
        <v>19838.608</v>
      </c>
      <c r="G12" s="731">
        <v>43489.182000000001</v>
      </c>
      <c r="H12" s="731">
        <v>1262.55</v>
      </c>
      <c r="I12" s="731">
        <v>82688.937089999992</v>
      </c>
      <c r="J12" s="731">
        <v>97703.228000000003</v>
      </c>
      <c r="K12" s="295"/>
      <c r="M12" s="479"/>
      <c r="N12" s="478"/>
      <c r="O12" s="477"/>
      <c r="P12" s="477"/>
      <c r="Q12" s="477"/>
      <c r="T12" s="472"/>
      <c r="U12" s="95"/>
      <c r="V12" s="95"/>
      <c r="W12" s="95"/>
    </row>
    <row r="13" spans="2:23" s="22" customFormat="1" ht="15.75" customHeight="1">
      <c r="B13" s="24" t="s">
        <v>208</v>
      </c>
      <c r="C13" s="731">
        <v>35867.25</v>
      </c>
      <c r="D13" s="731">
        <v>0</v>
      </c>
      <c r="E13" s="731">
        <v>7321.07</v>
      </c>
      <c r="F13" s="731">
        <v>0</v>
      </c>
      <c r="G13" s="731">
        <v>2579.078</v>
      </c>
      <c r="H13" s="731">
        <v>0</v>
      </c>
      <c r="I13" s="731">
        <v>45814.448000000004</v>
      </c>
      <c r="J13" s="731">
        <v>0</v>
      </c>
      <c r="K13" s="295"/>
      <c r="M13" s="479"/>
      <c r="N13" s="478"/>
      <c r="O13" s="477"/>
      <c r="P13" s="477"/>
      <c r="Q13" s="477"/>
      <c r="T13" s="472"/>
      <c r="U13" s="95"/>
      <c r="V13" s="95"/>
      <c r="W13" s="95"/>
    </row>
    <row r="14" spans="2:23" s="22" customFormat="1" ht="15.75" customHeight="1">
      <c r="B14" s="24" t="s">
        <v>209</v>
      </c>
      <c r="C14" s="731">
        <v>17879.82</v>
      </c>
      <c r="D14" s="731">
        <v>0</v>
      </c>
      <c r="E14" s="731">
        <v>32090.080000000002</v>
      </c>
      <c r="F14" s="731">
        <v>0</v>
      </c>
      <c r="G14" s="731">
        <v>45362</v>
      </c>
      <c r="H14" s="731">
        <v>0</v>
      </c>
      <c r="I14" s="731">
        <v>95415.9</v>
      </c>
      <c r="J14" s="731">
        <v>0</v>
      </c>
      <c r="K14" s="295"/>
      <c r="M14" s="479"/>
      <c r="N14" s="478"/>
      <c r="O14" s="477"/>
      <c r="P14" s="477"/>
      <c r="Q14" s="477"/>
      <c r="T14" s="472"/>
      <c r="U14" s="95"/>
      <c r="V14" s="95"/>
      <c r="W14" s="95"/>
    </row>
    <row r="15" spans="2:23" s="22" customFormat="1" ht="15.75" customHeight="1">
      <c r="B15" s="348" t="s">
        <v>210</v>
      </c>
      <c r="C15" s="731">
        <v>28102.959999999999</v>
      </c>
      <c r="D15" s="731">
        <v>0</v>
      </c>
      <c r="E15" s="731">
        <v>39953.269999999997</v>
      </c>
      <c r="F15" s="731">
        <v>0</v>
      </c>
      <c r="G15" s="731">
        <v>27026.02</v>
      </c>
      <c r="H15" s="731">
        <v>0</v>
      </c>
      <c r="I15" s="731">
        <v>110012.762</v>
      </c>
      <c r="J15" s="731">
        <v>0</v>
      </c>
      <c r="K15" s="295"/>
      <c r="M15" s="479"/>
      <c r="N15" s="478"/>
      <c r="O15" s="477"/>
      <c r="P15" s="477"/>
      <c r="Q15" s="477"/>
      <c r="T15" s="472"/>
      <c r="U15" s="95"/>
      <c r="V15" s="95"/>
      <c r="W15" s="95"/>
    </row>
    <row r="16" spans="2:23" s="22" customFormat="1" ht="15.75" customHeight="1">
      <c r="B16" s="24" t="s">
        <v>211</v>
      </c>
      <c r="C16" s="731">
        <v>10072.530000000001</v>
      </c>
      <c r="D16" s="731">
        <v>0</v>
      </c>
      <c r="E16" s="731">
        <v>31013.35</v>
      </c>
      <c r="F16" s="731">
        <v>0</v>
      </c>
      <c r="G16" s="731">
        <v>9472.69</v>
      </c>
      <c r="H16" s="731">
        <v>0</v>
      </c>
      <c r="I16" s="731">
        <v>51173.23</v>
      </c>
      <c r="J16" s="731">
        <v>0</v>
      </c>
      <c r="K16" s="295"/>
      <c r="M16" s="479"/>
      <c r="N16" s="478"/>
      <c r="O16" s="477"/>
      <c r="P16" s="477"/>
      <c r="Q16" s="477"/>
      <c r="T16" s="472"/>
      <c r="U16" s="95"/>
      <c r="V16" s="95"/>
      <c r="W16" s="95"/>
    </row>
    <row r="17" spans="2:23" s="22" customFormat="1" ht="15.75" customHeight="1">
      <c r="B17" s="24" t="s">
        <v>212</v>
      </c>
      <c r="C17" s="731">
        <v>17876.93</v>
      </c>
      <c r="D17" s="731">
        <v>0</v>
      </c>
      <c r="E17" s="731">
        <v>27869.42</v>
      </c>
      <c r="F17" s="731">
        <v>0</v>
      </c>
      <c r="G17" s="731">
        <v>0</v>
      </c>
      <c r="H17" s="731">
        <v>0</v>
      </c>
      <c r="I17" s="731">
        <v>45974.64</v>
      </c>
      <c r="J17" s="731">
        <v>0</v>
      </c>
      <c r="K17" s="295"/>
      <c r="M17" s="479"/>
      <c r="N17" s="484"/>
      <c r="O17" s="485"/>
      <c r="P17" s="486"/>
      <c r="Q17" s="486"/>
      <c r="T17" s="472"/>
      <c r="U17" s="95"/>
      <c r="V17" s="95"/>
      <c r="W17" s="95"/>
    </row>
    <row r="18" spans="2:23" s="22" customFormat="1" ht="15.75" customHeight="1">
      <c r="B18" s="24" t="s">
        <v>196</v>
      </c>
      <c r="C18" s="731">
        <v>10700.72</v>
      </c>
      <c r="D18" s="731">
        <v>0</v>
      </c>
      <c r="E18" s="731">
        <v>46923.824000000001</v>
      </c>
      <c r="F18" s="731">
        <v>0</v>
      </c>
      <c r="G18" s="731">
        <v>27441.882000000001</v>
      </c>
      <c r="H18" s="731">
        <v>0</v>
      </c>
      <c r="I18" s="731">
        <v>93437.046000000002</v>
      </c>
      <c r="J18" s="731">
        <v>0</v>
      </c>
      <c r="K18" s="295"/>
      <c r="M18" s="487"/>
      <c r="N18" s="486"/>
      <c r="O18" s="486"/>
      <c r="P18" s="486"/>
      <c r="Q18" s="486"/>
      <c r="T18" s="472"/>
      <c r="U18" s="95"/>
      <c r="V18" s="95"/>
      <c r="W18" s="95"/>
    </row>
    <row r="19" spans="2:23" s="22" customFormat="1" ht="15.75" customHeight="1">
      <c r="B19" s="24" t="s">
        <v>213</v>
      </c>
      <c r="C19" s="731">
        <v>6580.69</v>
      </c>
      <c r="D19" s="731">
        <v>0</v>
      </c>
      <c r="E19" s="731">
        <v>49491.720999999998</v>
      </c>
      <c r="F19" s="731">
        <v>0</v>
      </c>
      <c r="G19" s="731">
        <v>61581.99</v>
      </c>
      <c r="H19" s="731">
        <v>0</v>
      </c>
      <c r="I19" s="731">
        <v>117948.94099999999</v>
      </c>
      <c r="J19" s="731">
        <v>0</v>
      </c>
      <c r="K19" s="295"/>
      <c r="M19" s="487"/>
      <c r="N19" s="486"/>
      <c r="O19" s="486"/>
      <c r="P19" s="486"/>
      <c r="Q19" s="486"/>
      <c r="T19" s="472"/>
      <c r="U19" s="95"/>
      <c r="V19" s="95"/>
      <c r="W19" s="95"/>
    </row>
    <row r="20" spans="2:23" s="22" customFormat="1" ht="16.5" customHeight="1">
      <c r="B20" s="24" t="s">
        <v>198</v>
      </c>
      <c r="C20" s="295">
        <f t="shared" ref="C20:I20" si="1">SUM(C8:C19)</f>
        <v>224944.16108999998</v>
      </c>
      <c r="D20" s="295">
        <f t="shared" si="1"/>
        <v>189920.02999999997</v>
      </c>
      <c r="E20" s="295">
        <f t="shared" si="1"/>
        <v>392316.82900000003</v>
      </c>
      <c r="F20" s="295">
        <f t="shared" si="1"/>
        <v>196056.89499999999</v>
      </c>
      <c r="G20" s="295">
        <f t="shared" si="1"/>
        <v>284458.28200000001</v>
      </c>
      <c r="H20" s="295">
        <f t="shared" si="1"/>
        <v>66314.28</v>
      </c>
      <c r="I20" s="295">
        <f t="shared" si="1"/>
        <v>932544.94408999989</v>
      </c>
      <c r="J20" s="295">
        <f>SUM(J8:J19)</f>
        <v>468351.11500000005</v>
      </c>
      <c r="K20" s="295"/>
      <c r="M20" s="496"/>
      <c r="N20" s="474"/>
      <c r="O20" s="495"/>
      <c r="P20" s="477"/>
      <c r="Q20" s="477"/>
      <c r="T20" s="473"/>
      <c r="U20" s="95"/>
    </row>
    <row r="21" spans="2:23" s="22" customFormat="1" ht="16.5" customHeight="1">
      <c r="B21" s="47" t="s">
        <v>218</v>
      </c>
      <c r="C21" s="221">
        <f>C20/I20</f>
        <v>0.24121535644537323</v>
      </c>
      <c r="D21" s="221">
        <f>D20/J20</f>
        <v>0.40550779942095355</v>
      </c>
      <c r="E21" s="221">
        <f>E20/I20</f>
        <v>0.42069482172018247</v>
      </c>
      <c r="F21" s="221">
        <f>F20/J20</f>
        <v>0.41861092825625057</v>
      </c>
      <c r="G21" s="221">
        <f>G20/I20</f>
        <v>0.30503439410910255</v>
      </c>
      <c r="H21" s="221">
        <f>H20/J20</f>
        <v>0.14159095148092044</v>
      </c>
      <c r="I21" s="221">
        <v>1</v>
      </c>
      <c r="J21" s="221">
        <v>1</v>
      </c>
      <c r="K21" s="347"/>
      <c r="M21" s="477"/>
      <c r="N21" s="477"/>
      <c r="O21" s="477"/>
      <c r="P21" s="477"/>
      <c r="Q21" s="477"/>
      <c r="T21" s="472"/>
      <c r="U21" s="95"/>
    </row>
    <row r="22" spans="2:23" s="22" customFormat="1" ht="15.75" customHeight="1">
      <c r="B22" s="845" t="s">
        <v>234</v>
      </c>
      <c r="C22" s="846"/>
      <c r="D22" s="846"/>
      <c r="E22" s="846"/>
      <c r="F22" s="846"/>
      <c r="G22" s="846"/>
      <c r="H22" s="846"/>
      <c r="I22" s="846"/>
      <c r="J22" s="846"/>
      <c r="K22" s="847"/>
      <c r="M22" s="477"/>
      <c r="N22" s="477"/>
      <c r="O22" s="477"/>
      <c r="P22" s="477"/>
      <c r="Q22" s="477"/>
      <c r="T22" s="472"/>
      <c r="U22" s="95"/>
    </row>
    <row r="23" spans="2:23" s="22" customFormat="1" ht="30" customHeight="1">
      <c r="B23" s="848"/>
      <c r="C23" s="849"/>
      <c r="D23" s="849"/>
      <c r="E23" s="849"/>
      <c r="F23" s="849"/>
      <c r="G23" s="849"/>
      <c r="H23" s="849"/>
      <c r="I23" s="849"/>
      <c r="J23" s="849"/>
      <c r="K23" s="850"/>
      <c r="M23" s="477"/>
      <c r="N23" s="477"/>
      <c r="O23" s="477"/>
      <c r="P23" s="477"/>
      <c r="Q23" s="477"/>
      <c r="T23" s="472"/>
      <c r="U23" s="95"/>
    </row>
    <row r="24" spans="2:23" ht="17.25" customHeight="1">
      <c r="B24" s="851"/>
      <c r="C24" s="851"/>
      <c r="D24" s="851"/>
      <c r="E24" s="851"/>
      <c r="F24" s="851"/>
      <c r="G24" s="851"/>
      <c r="H24" s="851"/>
      <c r="I24" s="851"/>
      <c r="J24" s="851"/>
      <c r="K24" s="851"/>
      <c r="T24" s="472"/>
      <c r="U24" s="95"/>
    </row>
    <row r="25" spans="2:23" ht="15" customHeight="1"/>
    <row r="26" spans="2:23" ht="15" customHeight="1"/>
    <row r="27" spans="2:23" ht="15" customHeight="1"/>
    <row r="28" spans="2:23" ht="15" customHeight="1">
      <c r="M28" s="489"/>
    </row>
    <row r="29" spans="2:23" ht="15" customHeight="1"/>
    <row r="30" spans="2:23" ht="15" customHeight="1"/>
    <row r="31" spans="2:23" ht="15" customHeight="1"/>
    <row r="32" spans="2:23" ht="15" customHeight="1"/>
    <row r="34" spans="24:24" ht="15" customHeight="1"/>
    <row r="35" spans="24:24" ht="15" customHeight="1">
      <c r="X35" s="9"/>
    </row>
    <row r="36" spans="24:24" ht="15" customHeight="1"/>
    <row r="37" spans="24:24" ht="15" customHeight="1"/>
    <row r="38" spans="24:24" ht="15" customHeight="1"/>
  </sheetData>
  <mergeCells count="11">
    <mergeCell ref="B22:K23"/>
    <mergeCell ref="B24:K24"/>
    <mergeCell ref="B1:K1"/>
    <mergeCell ref="B3:K3"/>
    <mergeCell ref="B5:K5"/>
    <mergeCell ref="C6:D6"/>
    <mergeCell ref="E6:F6"/>
    <mergeCell ref="G6:H6"/>
    <mergeCell ref="I6:K6"/>
    <mergeCell ref="B6:B7"/>
    <mergeCell ref="B4:K4"/>
  </mergeCells>
  <phoneticPr fontId="47" type="noConversion"/>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M22"/>
  <sheetViews>
    <sheetView zoomScaleNormal="100" workbookViewId="0">
      <selection activeCell="M13" sqref="M13"/>
    </sheetView>
  </sheetViews>
  <sheetFormatPr baseColWidth="10" defaultColWidth="10.921875" defaultRowHeight="13.2"/>
  <cols>
    <col min="1" max="1" width="1.69140625" style="250" customWidth="1"/>
    <col min="2" max="2" width="9.921875" style="250" customWidth="1"/>
    <col min="3" max="10" width="6.69140625" style="250" customWidth="1"/>
    <col min="11" max="16384" width="10.921875" style="250"/>
  </cols>
  <sheetData>
    <row r="1" spans="2:11">
      <c r="B1" s="766" t="s">
        <v>219</v>
      </c>
      <c r="C1" s="766"/>
      <c r="D1" s="766"/>
      <c r="E1" s="766"/>
      <c r="F1" s="766"/>
      <c r="G1" s="766"/>
      <c r="H1" s="766"/>
      <c r="I1" s="766"/>
      <c r="J1" s="766"/>
      <c r="K1" s="17"/>
    </row>
    <row r="3" spans="2:11">
      <c r="B3" s="766" t="s">
        <v>42</v>
      </c>
      <c r="C3" s="766"/>
      <c r="D3" s="766"/>
      <c r="E3" s="766"/>
      <c r="F3" s="766"/>
      <c r="G3" s="766"/>
      <c r="H3" s="766"/>
      <c r="I3" s="766"/>
      <c r="J3" s="766"/>
      <c r="K3" s="22"/>
    </row>
    <row r="4" spans="2:11">
      <c r="B4" s="766" t="s">
        <v>659</v>
      </c>
      <c r="C4" s="766"/>
      <c r="D4" s="766"/>
      <c r="E4" s="766"/>
      <c r="F4" s="766"/>
      <c r="G4" s="766"/>
      <c r="H4" s="766"/>
      <c r="I4" s="766"/>
      <c r="J4" s="766"/>
      <c r="K4" s="22"/>
    </row>
    <row r="5" spans="2:11" ht="13.8" customHeight="1">
      <c r="B5" s="766" t="s">
        <v>181</v>
      </c>
      <c r="C5" s="766"/>
      <c r="D5" s="766"/>
      <c r="E5" s="766"/>
      <c r="F5" s="766"/>
      <c r="G5" s="766"/>
      <c r="H5" s="766"/>
      <c r="I5" s="766"/>
      <c r="J5" s="766"/>
      <c r="K5" s="22"/>
    </row>
    <row r="6" spans="2:11" ht="104.25" customHeight="1">
      <c r="B6" s="498" t="s">
        <v>220</v>
      </c>
      <c r="C6" s="856" t="s">
        <v>221</v>
      </c>
      <c r="D6" s="856"/>
      <c r="E6" s="856" t="s">
        <v>222</v>
      </c>
      <c r="F6" s="856"/>
      <c r="G6" s="856" t="s">
        <v>223</v>
      </c>
      <c r="H6" s="856"/>
      <c r="I6" s="856" t="s">
        <v>224</v>
      </c>
      <c r="J6" s="856"/>
      <c r="K6" s="22"/>
    </row>
    <row r="7" spans="2:11" ht="15.75" customHeight="1">
      <c r="B7" s="532" t="s">
        <v>225</v>
      </c>
      <c r="C7" s="855" t="s">
        <v>217</v>
      </c>
      <c r="D7" s="855"/>
      <c r="E7" s="855" t="s">
        <v>176</v>
      </c>
      <c r="F7" s="855"/>
      <c r="G7" s="855" t="s">
        <v>216</v>
      </c>
      <c r="H7" s="855"/>
      <c r="I7" s="855" t="s">
        <v>200</v>
      </c>
      <c r="J7" s="855"/>
      <c r="K7" s="22"/>
    </row>
    <row r="8" spans="2:11" ht="15.75" customHeight="1">
      <c r="B8" s="350" t="s">
        <v>201</v>
      </c>
      <c r="C8" s="309">
        <v>2021</v>
      </c>
      <c r="D8" s="309">
        <v>2022</v>
      </c>
      <c r="E8" s="309">
        <v>2021</v>
      </c>
      <c r="F8" s="309">
        <v>2022</v>
      </c>
      <c r="G8" s="309">
        <v>2021</v>
      </c>
      <c r="H8" s="309">
        <v>2022</v>
      </c>
      <c r="I8" s="309">
        <v>2021</v>
      </c>
      <c r="J8" s="309">
        <v>2022</v>
      </c>
      <c r="K8" s="22"/>
    </row>
    <row r="9" spans="2:11" ht="15.75" customHeight="1">
      <c r="B9" s="350" t="s">
        <v>203</v>
      </c>
      <c r="C9" s="295">
        <v>10533.627</v>
      </c>
      <c r="D9" s="295"/>
      <c r="E9" s="295">
        <v>25466.400000000001</v>
      </c>
      <c r="F9" s="295">
        <v>60216.57</v>
      </c>
      <c r="G9" s="295"/>
      <c r="H9" s="295"/>
      <c r="I9" s="295">
        <v>1232</v>
      </c>
      <c r="J9" s="295">
        <v>139.32</v>
      </c>
      <c r="K9" s="22"/>
    </row>
    <row r="10" spans="2:11" ht="15.75" customHeight="1">
      <c r="B10" s="350" t="s">
        <v>204</v>
      </c>
      <c r="C10" s="295">
        <v>15955.329</v>
      </c>
      <c r="D10" s="295">
        <v>83.46</v>
      </c>
      <c r="E10" s="295">
        <v>30649.65</v>
      </c>
      <c r="F10" s="295">
        <v>35030.57</v>
      </c>
      <c r="G10" s="295">
        <v>9652.17</v>
      </c>
      <c r="H10" s="295">
        <v>21738.89</v>
      </c>
      <c r="I10" s="295">
        <v>1008</v>
      </c>
      <c r="J10" s="295">
        <v>280</v>
      </c>
      <c r="K10" s="22"/>
    </row>
    <row r="11" spans="2:11" ht="15.75" customHeight="1">
      <c r="B11" s="350" t="s">
        <v>205</v>
      </c>
      <c r="C11" s="295">
        <v>4344.2740000000003</v>
      </c>
      <c r="D11" s="295"/>
      <c r="E11" s="295">
        <v>9471.89</v>
      </c>
      <c r="F11" s="295">
        <v>12028.94</v>
      </c>
      <c r="G11" s="295">
        <v>1500</v>
      </c>
      <c r="H11" s="295">
        <v>43730.5</v>
      </c>
      <c r="I11" s="295">
        <v>1008</v>
      </c>
      <c r="J11" s="295">
        <v>1154</v>
      </c>
      <c r="K11" s="22"/>
    </row>
    <row r="12" spans="2:11" ht="15.75" customHeight="1">
      <c r="B12" s="350" t="s">
        <v>206</v>
      </c>
      <c r="C12" s="295"/>
      <c r="D12" s="295"/>
      <c r="E12" s="295">
        <v>36929.15</v>
      </c>
      <c r="F12" s="295">
        <v>10923.81</v>
      </c>
      <c r="G12" s="295">
        <v>17236.82</v>
      </c>
      <c r="H12" s="295">
        <v>8128.79</v>
      </c>
      <c r="I12" s="295">
        <v>756</v>
      </c>
      <c r="J12" s="295">
        <v>280</v>
      </c>
      <c r="K12" s="22" t="s">
        <v>690</v>
      </c>
    </row>
    <row r="13" spans="2:11" ht="15.75" customHeight="1">
      <c r="B13" s="350" t="s">
        <v>207</v>
      </c>
      <c r="C13" s="295"/>
      <c r="D13" s="295"/>
      <c r="E13" s="295">
        <v>8788.0499999999993</v>
      </c>
      <c r="F13" s="295">
        <v>13001.2</v>
      </c>
      <c r="G13" s="295">
        <v>4253.1400000000003</v>
      </c>
      <c r="H13" s="295">
        <v>73810.03</v>
      </c>
      <c r="I13" s="295">
        <v>252</v>
      </c>
      <c r="J13" s="295">
        <v>812</v>
      </c>
      <c r="K13" s="22"/>
    </row>
    <row r="14" spans="2:11" ht="15.75" customHeight="1">
      <c r="B14" s="350" t="s">
        <v>208</v>
      </c>
      <c r="C14" s="295"/>
      <c r="D14" s="295"/>
      <c r="E14" s="295">
        <v>5752.47</v>
      </c>
      <c r="F14" s="295"/>
      <c r="G14" s="295">
        <v>28344.97</v>
      </c>
      <c r="H14" s="295"/>
      <c r="I14" s="295"/>
      <c r="J14" s="295"/>
      <c r="K14" s="22"/>
    </row>
    <row r="15" spans="2:11" ht="15.75" customHeight="1">
      <c r="B15" s="350" t="s">
        <v>209</v>
      </c>
      <c r="C15" s="295"/>
      <c r="D15" s="295"/>
      <c r="E15" s="295">
        <v>11352.78</v>
      </c>
      <c r="F15" s="295"/>
      <c r="G15" s="295">
        <v>17853.150000000001</v>
      </c>
      <c r="H15" s="295"/>
      <c r="I15" s="295">
        <v>84</v>
      </c>
      <c r="J15" s="295"/>
      <c r="K15" s="22"/>
    </row>
    <row r="16" spans="2:11" ht="15.75" customHeight="1">
      <c r="B16" s="350" t="s">
        <v>210</v>
      </c>
      <c r="C16" s="362"/>
      <c r="D16" s="362"/>
      <c r="E16" s="362">
        <v>27694</v>
      </c>
      <c r="F16" s="362"/>
      <c r="G16" s="362">
        <v>28102.959999999999</v>
      </c>
      <c r="H16" s="362"/>
      <c r="I16" s="362">
        <v>532</v>
      </c>
      <c r="J16" s="362"/>
      <c r="K16" s="22"/>
    </row>
    <row r="17" spans="2:13" ht="15.75" customHeight="1">
      <c r="B17" s="350" t="s">
        <v>211</v>
      </c>
      <c r="C17" s="295"/>
      <c r="D17" s="362"/>
      <c r="E17" s="295">
        <v>25548.73</v>
      </c>
      <c r="F17" s="295"/>
      <c r="G17" s="362">
        <v>0</v>
      </c>
      <c r="H17" s="362"/>
      <c r="I17" s="362">
        <v>614.66</v>
      </c>
      <c r="J17" s="362"/>
      <c r="K17" s="22"/>
      <c r="L17" s="22"/>
      <c r="M17" s="22"/>
    </row>
    <row r="18" spans="2:13" ht="15.75" customHeight="1">
      <c r="B18" s="350" t="s">
        <v>212</v>
      </c>
      <c r="C18" s="295"/>
      <c r="D18" s="295"/>
      <c r="E18" s="295">
        <v>27311.38</v>
      </c>
      <c r="F18" s="295"/>
      <c r="G18" s="295">
        <v>14448.62</v>
      </c>
      <c r="H18" s="295"/>
      <c r="I18" s="295">
        <v>228.29</v>
      </c>
      <c r="J18" s="732"/>
      <c r="K18" s="22"/>
      <c r="L18" s="22"/>
      <c r="M18" s="22"/>
    </row>
    <row r="19" spans="2:13" ht="15.75" customHeight="1">
      <c r="B19" s="350" t="s">
        <v>196</v>
      </c>
      <c r="C19" s="295"/>
      <c r="D19" s="295"/>
      <c r="E19" s="295">
        <v>22627.23</v>
      </c>
      <c r="F19" s="295"/>
      <c r="G19" s="295">
        <v>10700.72</v>
      </c>
      <c r="H19" s="295"/>
      <c r="I19" s="362">
        <v>616.22</v>
      </c>
      <c r="J19" s="429"/>
      <c r="K19" s="22"/>
      <c r="L19" s="22"/>
      <c r="M19" s="22"/>
    </row>
    <row r="20" spans="2:13" ht="15.75" customHeight="1">
      <c r="B20" s="350" t="s">
        <v>197</v>
      </c>
      <c r="C20" s="295"/>
      <c r="D20" s="295"/>
      <c r="E20" s="295">
        <v>34943.71</v>
      </c>
      <c r="F20" s="295"/>
      <c r="G20" s="295">
        <v>6580.69</v>
      </c>
      <c r="H20" s="295"/>
      <c r="I20" s="362">
        <v>140</v>
      </c>
      <c r="J20" s="429"/>
      <c r="K20" s="22"/>
      <c r="L20" s="95"/>
      <c r="M20" s="22"/>
    </row>
    <row r="21" spans="2:13">
      <c r="B21" s="350" t="s">
        <v>198</v>
      </c>
      <c r="C21" s="295">
        <f t="shared" ref="C21:I21" si="0">SUM(C9:C20)</f>
        <v>30833.23</v>
      </c>
      <c r="D21" s="295">
        <f t="shared" si="0"/>
        <v>83.46</v>
      </c>
      <c r="E21" s="295">
        <f>SUM(E9:E20)</f>
        <v>266535.44000000006</v>
      </c>
      <c r="F21" s="295">
        <f t="shared" si="0"/>
        <v>131201.09</v>
      </c>
      <c r="G21" s="295">
        <f t="shared" si="0"/>
        <v>138673.24</v>
      </c>
      <c r="H21" s="295">
        <f t="shared" si="0"/>
        <v>147408.21</v>
      </c>
      <c r="I21" s="295">
        <f t="shared" si="0"/>
        <v>6471.17</v>
      </c>
      <c r="J21" s="295">
        <f>SUM(J9:J20)</f>
        <v>2665.3199999999997</v>
      </c>
      <c r="K21" s="95"/>
      <c r="L21" s="95"/>
      <c r="M21" s="22"/>
    </row>
    <row r="22" spans="2:13" ht="27.6" customHeight="1">
      <c r="B22" s="854" t="s">
        <v>660</v>
      </c>
      <c r="C22" s="854"/>
      <c r="D22" s="854"/>
      <c r="E22" s="854"/>
      <c r="F22" s="854"/>
      <c r="G22" s="854"/>
      <c r="H22" s="854"/>
      <c r="I22" s="854"/>
      <c r="J22" s="854"/>
      <c r="K22" s="22"/>
      <c r="L22" s="22"/>
      <c r="M22" s="39"/>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paperSize="126" scale="83"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T52"/>
  <sheetViews>
    <sheetView zoomScale="90" zoomScaleNormal="90" workbookViewId="0">
      <selection activeCell="P19" sqref="P19"/>
    </sheetView>
  </sheetViews>
  <sheetFormatPr baseColWidth="10" defaultColWidth="10.921875" defaultRowHeight="11.4"/>
  <cols>
    <col min="1" max="1" width="1" style="1" customWidth="1"/>
    <col min="2" max="2" width="8.765625" style="1" customWidth="1"/>
    <col min="3" max="10" width="6.07421875" style="1" customWidth="1"/>
    <col min="11" max="11" width="5.23046875" style="1" customWidth="1"/>
    <col min="12" max="12" width="1.3828125" style="1" customWidth="1"/>
    <col min="13" max="13" width="4.3828125" style="720" customWidth="1"/>
    <col min="14" max="14" width="5.07421875" style="373" bestFit="1" customWidth="1"/>
    <col min="15" max="15" width="6.84375" style="373" customWidth="1"/>
    <col min="16" max="16" width="11.921875" style="373" bestFit="1" customWidth="1"/>
    <col min="17" max="17" width="4.3046875" style="373" bestFit="1" customWidth="1"/>
    <col min="18" max="18" width="4.765625" style="373" customWidth="1"/>
    <col min="19" max="19" width="3.3828125" style="373" customWidth="1"/>
    <col min="20" max="20" width="7.3828125" style="373" customWidth="1"/>
    <col min="21" max="27" width="3.3828125" style="373" customWidth="1"/>
    <col min="28" max="30" width="3.3828125" style="720" customWidth="1"/>
    <col min="31" max="31" width="7.921875" style="720" customWidth="1"/>
    <col min="32" max="32" width="2" style="720" customWidth="1"/>
    <col min="33" max="38" width="3" style="737" customWidth="1"/>
    <col min="39" max="46" width="10.921875" style="720"/>
    <col min="47" max="16384" width="10.921875" style="1"/>
  </cols>
  <sheetData>
    <row r="1" spans="2:46" s="22" customFormat="1" ht="12.75" customHeight="1">
      <c r="B1" s="857" t="s">
        <v>226</v>
      </c>
      <c r="C1" s="857"/>
      <c r="D1" s="857"/>
      <c r="E1" s="857"/>
      <c r="F1" s="857"/>
      <c r="G1" s="857"/>
      <c r="H1" s="857"/>
      <c r="I1" s="857"/>
      <c r="J1" s="857"/>
      <c r="K1" s="857"/>
      <c r="M1" s="377"/>
      <c r="N1" s="300"/>
      <c r="O1" s="300"/>
      <c r="P1" s="300"/>
      <c r="Q1" s="300"/>
      <c r="R1" s="300"/>
      <c r="S1" s="300"/>
      <c r="T1" s="300"/>
      <c r="U1" s="300"/>
      <c r="V1" s="300"/>
      <c r="W1" s="300"/>
      <c r="X1" s="300"/>
      <c r="Y1" s="300"/>
      <c r="Z1" s="300"/>
      <c r="AA1" s="300"/>
      <c r="AB1" s="377"/>
      <c r="AC1" s="377"/>
      <c r="AD1" s="377"/>
      <c r="AE1" s="377"/>
      <c r="AF1" s="377"/>
      <c r="AG1" s="377"/>
      <c r="AH1" s="377"/>
      <c r="AI1" s="377"/>
      <c r="AJ1" s="377"/>
      <c r="AK1" s="377"/>
      <c r="AL1" s="377"/>
      <c r="AM1" s="377"/>
      <c r="AN1" s="377"/>
      <c r="AO1" s="377"/>
      <c r="AP1" s="377"/>
      <c r="AQ1" s="377"/>
      <c r="AR1" s="377"/>
      <c r="AS1" s="377"/>
      <c r="AT1" s="377"/>
    </row>
    <row r="2" spans="2:46" s="22" customFormat="1" ht="13.2">
      <c r="M2" s="377"/>
      <c r="N2" s="300"/>
      <c r="O2" s="300"/>
      <c r="P2" s="300"/>
      <c r="Q2" s="300"/>
      <c r="R2" s="300"/>
      <c r="S2" s="300"/>
      <c r="T2" s="300"/>
      <c r="U2" s="300"/>
      <c r="V2" s="300"/>
      <c r="W2" s="300"/>
      <c r="X2" s="300"/>
      <c r="Y2" s="300"/>
      <c r="Z2" s="300"/>
      <c r="AA2" s="300"/>
      <c r="AB2" s="377"/>
      <c r="AC2" s="377"/>
      <c r="AD2" s="377"/>
      <c r="AE2" s="377"/>
      <c r="AF2" s="377"/>
      <c r="AG2" s="377"/>
      <c r="AH2" s="377"/>
      <c r="AI2" s="377"/>
      <c r="AJ2" s="377"/>
      <c r="AK2" s="377"/>
      <c r="AL2" s="377"/>
      <c r="AM2" s="377"/>
      <c r="AN2" s="377"/>
      <c r="AO2" s="377"/>
      <c r="AP2" s="377"/>
      <c r="AQ2" s="377"/>
      <c r="AR2" s="377"/>
      <c r="AS2" s="377"/>
      <c r="AT2" s="377"/>
    </row>
    <row r="3" spans="2:46" s="22" customFormat="1" ht="13.2">
      <c r="B3" s="766" t="s">
        <v>227</v>
      </c>
      <c r="C3" s="766"/>
      <c r="D3" s="766"/>
      <c r="E3" s="766"/>
      <c r="F3" s="766"/>
      <c r="G3" s="766"/>
      <c r="H3" s="766"/>
      <c r="I3" s="766"/>
      <c r="J3" s="766"/>
      <c r="K3" s="766"/>
      <c r="M3" s="377"/>
      <c r="N3" s="300"/>
      <c r="O3" s="300"/>
      <c r="P3" s="300"/>
      <c r="Q3" s="300"/>
      <c r="R3" s="300"/>
      <c r="S3" s="300"/>
      <c r="T3" s="300"/>
      <c r="U3" s="300"/>
      <c r="V3" s="300"/>
      <c r="W3" s="300"/>
      <c r="X3" s="300"/>
      <c r="Y3" s="300"/>
      <c r="Z3" s="300"/>
      <c r="AA3" s="300"/>
      <c r="AB3" s="377"/>
      <c r="AC3" s="377"/>
      <c r="AD3" s="377"/>
      <c r="AE3" s="377"/>
      <c r="AF3" s="377"/>
      <c r="AG3" s="377"/>
      <c r="AH3" s="377"/>
      <c r="AI3" s="377"/>
      <c r="AJ3" s="377"/>
      <c r="AK3" s="377"/>
      <c r="AL3" s="377"/>
      <c r="AM3" s="377"/>
      <c r="AN3" s="377"/>
      <c r="AO3" s="377"/>
      <c r="AP3" s="377"/>
      <c r="AQ3" s="377"/>
      <c r="AR3" s="377"/>
      <c r="AS3" s="377"/>
      <c r="AT3" s="377"/>
    </row>
    <row r="4" spans="2:46" s="22" customFormat="1" ht="13.2">
      <c r="B4" s="838" t="s">
        <v>661</v>
      </c>
      <c r="C4" s="838"/>
      <c r="D4" s="838"/>
      <c r="E4" s="838"/>
      <c r="F4" s="838"/>
      <c r="G4" s="838"/>
      <c r="H4" s="838"/>
      <c r="I4" s="838"/>
      <c r="J4" s="838"/>
      <c r="K4" s="838"/>
      <c r="M4" s="377"/>
      <c r="N4" s="300"/>
      <c r="O4" s="300"/>
      <c r="P4" s="300"/>
      <c r="Q4" s="396"/>
      <c r="R4" s="396"/>
      <c r="S4" s="300"/>
      <c r="T4" s="300"/>
      <c r="U4" s="300"/>
      <c r="V4" s="300"/>
      <c r="W4" s="300"/>
      <c r="X4" s="300"/>
      <c r="Y4" s="300"/>
      <c r="Z4" s="300"/>
      <c r="AA4" s="300"/>
      <c r="AB4" s="377"/>
      <c r="AC4" s="377"/>
      <c r="AD4" s="377"/>
      <c r="AE4" s="377"/>
      <c r="AF4" s="377"/>
      <c r="AG4" s="377"/>
      <c r="AH4" s="377"/>
      <c r="AI4" s="377"/>
      <c r="AJ4" s="377"/>
      <c r="AK4" s="377"/>
      <c r="AL4" s="377"/>
      <c r="AM4" s="377"/>
      <c r="AN4" s="377"/>
      <c r="AO4" s="377"/>
      <c r="AP4" s="377"/>
      <c r="AQ4" s="377"/>
      <c r="AR4" s="377"/>
      <c r="AS4" s="377"/>
      <c r="AT4" s="377"/>
    </row>
    <row r="5" spans="2:46" s="22" customFormat="1" ht="13.2">
      <c r="B5" s="838" t="s">
        <v>228</v>
      </c>
      <c r="C5" s="838"/>
      <c r="D5" s="838"/>
      <c r="E5" s="838"/>
      <c r="F5" s="838"/>
      <c r="G5" s="838"/>
      <c r="H5" s="838"/>
      <c r="I5" s="838"/>
      <c r="J5" s="838"/>
      <c r="K5" s="838"/>
      <c r="M5" s="377"/>
      <c r="N5" s="300"/>
      <c r="O5" s="300"/>
      <c r="P5" s="300"/>
      <c r="Q5" s="300"/>
      <c r="R5" s="300"/>
      <c r="S5" s="396"/>
      <c r="T5" s="396"/>
      <c r="U5" s="396"/>
      <c r="V5" s="396"/>
      <c r="W5" s="396"/>
      <c r="X5" s="396"/>
      <c r="Y5" s="300"/>
      <c r="Z5" s="300"/>
      <c r="AA5" s="300"/>
      <c r="AB5" s="377"/>
      <c r="AC5" s="377"/>
      <c r="AD5" s="377"/>
      <c r="AE5" s="377"/>
      <c r="AF5" s="377"/>
      <c r="AG5" s="377"/>
      <c r="AH5" s="377"/>
      <c r="AI5" s="377"/>
      <c r="AJ5" s="377"/>
      <c r="AK5" s="377"/>
      <c r="AL5" s="377"/>
      <c r="AM5" s="377"/>
      <c r="AN5" s="377"/>
      <c r="AO5" s="377"/>
      <c r="AP5" s="377"/>
      <c r="AQ5" s="377"/>
      <c r="AR5" s="377"/>
      <c r="AS5" s="377"/>
      <c r="AT5" s="377"/>
    </row>
    <row r="6" spans="2:46" s="22" customFormat="1" ht="30" customHeight="1">
      <c r="B6" s="634" t="s">
        <v>201</v>
      </c>
      <c r="C6" s="829" t="s">
        <v>229</v>
      </c>
      <c r="D6" s="829"/>
      <c r="E6" s="829" t="s">
        <v>217</v>
      </c>
      <c r="F6" s="829"/>
      <c r="G6" s="829" t="s">
        <v>230</v>
      </c>
      <c r="H6" s="829"/>
      <c r="I6" s="792" t="s">
        <v>198</v>
      </c>
      <c r="J6" s="792"/>
      <c r="K6" s="792"/>
      <c r="M6" s="722"/>
      <c r="N6" s="581"/>
      <c r="O6" s="581"/>
      <c r="P6" s="581"/>
      <c r="Q6" s="396"/>
      <c r="R6" s="396"/>
      <c r="S6" s="397"/>
      <c r="T6" s="397"/>
      <c r="U6" s="397"/>
      <c r="V6" s="397"/>
      <c r="W6" s="397"/>
      <c r="X6" s="397"/>
      <c r="Y6" s="396"/>
      <c r="Z6" s="396"/>
      <c r="AA6" s="300"/>
      <c r="AB6" s="377"/>
      <c r="AC6" s="377"/>
      <c r="AD6" s="377"/>
      <c r="AE6" s="377"/>
      <c r="AF6" s="377"/>
      <c r="AG6" s="377"/>
      <c r="AH6" s="377"/>
      <c r="AI6" s="377"/>
      <c r="AJ6" s="377"/>
      <c r="AK6" s="377"/>
      <c r="AL6" s="377"/>
      <c r="AM6" s="377"/>
      <c r="AN6" s="377"/>
      <c r="AO6" s="377"/>
      <c r="AP6" s="377"/>
      <c r="AQ6" s="377"/>
      <c r="AR6" s="377"/>
      <c r="AS6" s="377"/>
      <c r="AT6" s="377"/>
    </row>
    <row r="7" spans="2:46" s="22" customFormat="1" ht="15.75" customHeight="1">
      <c r="B7" s="215"/>
      <c r="C7" s="309">
        <v>2021</v>
      </c>
      <c r="D7" s="309">
        <v>2022</v>
      </c>
      <c r="E7" s="309">
        <v>2021</v>
      </c>
      <c r="F7" s="309">
        <v>2022</v>
      </c>
      <c r="G7" s="309">
        <v>2021</v>
      </c>
      <c r="H7" s="309">
        <v>2022</v>
      </c>
      <c r="I7" s="309">
        <v>2021</v>
      </c>
      <c r="J7" s="309">
        <v>2022</v>
      </c>
      <c r="K7" s="634" t="s">
        <v>202</v>
      </c>
      <c r="M7" s="377"/>
      <c r="N7" s="300"/>
      <c r="O7" s="300" t="s">
        <v>217</v>
      </c>
      <c r="P7" s="300" t="s">
        <v>231</v>
      </c>
      <c r="Q7" s="397" t="s">
        <v>232</v>
      </c>
      <c r="R7" s="397"/>
      <c r="S7" s="397"/>
      <c r="T7" s="397"/>
      <c r="U7" s="397"/>
      <c r="V7" s="397"/>
      <c r="W7" s="397"/>
      <c r="X7" s="397"/>
      <c r="Y7" s="397"/>
      <c r="Z7" s="397"/>
      <c r="AA7" s="396"/>
      <c r="AB7" s="733"/>
      <c r="AC7" s="733"/>
      <c r="AD7" s="733"/>
      <c r="AE7" s="733"/>
      <c r="AF7" s="733"/>
      <c r="AG7" s="377"/>
      <c r="AH7" s="377"/>
      <c r="AI7" s="377"/>
      <c r="AJ7" s="377"/>
      <c r="AK7" s="377"/>
      <c r="AL7" s="377"/>
      <c r="AM7" s="377"/>
      <c r="AN7" s="377"/>
      <c r="AO7" s="377"/>
      <c r="AP7" s="377"/>
      <c r="AQ7" s="377"/>
      <c r="AR7" s="377"/>
      <c r="AS7" s="377"/>
      <c r="AT7" s="377"/>
    </row>
    <row r="8" spans="2:46" s="22" customFormat="1" ht="15.75" customHeight="1">
      <c r="B8" s="635" t="s">
        <v>203</v>
      </c>
      <c r="C8" s="380">
        <v>179.06751708119464</v>
      </c>
      <c r="D8" s="380">
        <v>267.76866535875007</v>
      </c>
      <c r="E8" s="380">
        <v>177.09252557740888</v>
      </c>
      <c r="F8" s="380">
        <v>334.78748379969153</v>
      </c>
      <c r="G8" s="380">
        <v>165.35555572300007</v>
      </c>
      <c r="H8" s="380">
        <v>329.87203343459709</v>
      </c>
      <c r="I8" s="380">
        <v>185.62952478349058</v>
      </c>
      <c r="J8" s="380">
        <v>284.32718506365694</v>
      </c>
      <c r="K8" s="364">
        <f t="shared" ref="K8:K12" si="0">J8/I8*100-100</f>
        <v>53.169160668424155</v>
      </c>
      <c r="M8" s="377"/>
      <c r="N8" s="381">
        <v>44197</v>
      </c>
      <c r="O8" s="583">
        <f>E8</f>
        <v>177.09252557740888</v>
      </c>
      <c r="P8" s="583">
        <f>G8</f>
        <v>165.35555572300007</v>
      </c>
      <c r="Q8" s="582">
        <f>C8</f>
        <v>179.06751708119464</v>
      </c>
      <c r="R8" s="397"/>
      <c r="S8" s="397"/>
      <c r="T8" s="397"/>
      <c r="U8" s="397"/>
      <c r="V8" s="397"/>
      <c r="W8" s="397"/>
      <c r="X8" s="397"/>
      <c r="Y8" s="397"/>
      <c r="Z8" s="397"/>
      <c r="AA8" s="397"/>
      <c r="AB8" s="734"/>
      <c r="AC8" s="734"/>
      <c r="AD8" s="377"/>
      <c r="AE8" s="377"/>
      <c r="AF8" s="377"/>
      <c r="AG8" s="377"/>
      <c r="AH8" s="377"/>
      <c r="AI8" s="377"/>
      <c r="AJ8" s="377"/>
      <c r="AK8" s="377"/>
      <c r="AL8" s="377"/>
      <c r="AM8" s="377"/>
      <c r="AN8" s="377"/>
      <c r="AO8" s="377"/>
      <c r="AP8" s="377"/>
      <c r="AQ8" s="377"/>
      <c r="AR8" s="377"/>
      <c r="AS8" s="377"/>
      <c r="AT8" s="377"/>
    </row>
    <row r="9" spans="2:46" s="22" customFormat="1" ht="15.75" customHeight="1">
      <c r="B9" s="635" t="s">
        <v>204</v>
      </c>
      <c r="C9" s="380">
        <v>189.30695667784781</v>
      </c>
      <c r="D9" s="380">
        <v>283.74659203941059</v>
      </c>
      <c r="E9" s="380">
        <v>186.40526781787636</v>
      </c>
      <c r="F9" s="380">
        <v>320.85771562139672</v>
      </c>
      <c r="G9" s="380">
        <v>190.02701916172467</v>
      </c>
      <c r="H9" s="380">
        <v>321.81557368402815</v>
      </c>
      <c r="I9" s="380">
        <v>188.41974828926126</v>
      </c>
      <c r="J9" s="380">
        <v>284.52284094702469</v>
      </c>
      <c r="K9" s="364">
        <f t="shared" si="0"/>
        <v>51.004787730756505</v>
      </c>
      <c r="M9" s="735"/>
      <c r="N9" s="381">
        <v>44228</v>
      </c>
      <c r="O9" s="583">
        <f t="shared" ref="O9:O19" si="1">E9</f>
        <v>186.40526781787636</v>
      </c>
      <c r="P9" s="583">
        <f t="shared" ref="P9:P19" si="2">G9</f>
        <v>190.02701916172467</v>
      </c>
      <c r="Q9" s="582">
        <f t="shared" ref="Q9:Q19" si="3">C9</f>
        <v>189.30695667784781</v>
      </c>
      <c r="R9" s="397"/>
      <c r="S9" s="397" t="s">
        <v>690</v>
      </c>
      <c r="T9" s="397"/>
      <c r="U9" s="397"/>
      <c r="V9" s="397"/>
      <c r="W9" s="397"/>
      <c r="X9" s="397"/>
      <c r="Y9" s="397"/>
      <c r="Z9" s="397"/>
      <c r="AA9" s="397"/>
      <c r="AB9" s="734"/>
      <c r="AC9" s="734"/>
      <c r="AD9" s="377"/>
      <c r="AE9" s="377"/>
      <c r="AF9" s="377"/>
      <c r="AG9" s="377"/>
      <c r="AH9" s="377"/>
      <c r="AI9" s="377"/>
      <c r="AJ9" s="377"/>
      <c r="AK9" s="377"/>
      <c r="AL9" s="377"/>
      <c r="AM9" s="377"/>
      <c r="AN9" s="377"/>
      <c r="AO9" s="377"/>
      <c r="AP9" s="377"/>
      <c r="AQ9" s="377"/>
      <c r="AR9" s="377"/>
      <c r="AS9" s="377"/>
      <c r="AT9" s="377"/>
    </row>
    <row r="10" spans="2:46" s="22" customFormat="1" ht="15.75" customHeight="1">
      <c r="B10" s="635" t="s">
        <v>205</v>
      </c>
      <c r="C10" s="380">
        <v>183.41406272080454</v>
      </c>
      <c r="D10" s="380">
        <v>278.05501162064633</v>
      </c>
      <c r="E10" s="380">
        <v>195.4833534485978</v>
      </c>
      <c r="F10" s="380">
        <v>321.00137457112265</v>
      </c>
      <c r="G10" s="380">
        <v>195.2668893943185</v>
      </c>
      <c r="H10" s="380">
        <v>348.01290512199125</v>
      </c>
      <c r="I10" s="378">
        <v>194.8454914500345</v>
      </c>
      <c r="J10" s="378">
        <v>285.80656074562773</v>
      </c>
      <c r="K10" s="364">
        <f t="shared" si="0"/>
        <v>46.683692098115074</v>
      </c>
      <c r="M10" s="377"/>
      <c r="N10" s="381">
        <v>44256</v>
      </c>
      <c r="O10" s="583">
        <f t="shared" si="1"/>
        <v>195.4833534485978</v>
      </c>
      <c r="P10" s="583">
        <f t="shared" si="2"/>
        <v>195.2668893943185</v>
      </c>
      <c r="Q10" s="582">
        <f t="shared" si="3"/>
        <v>183.41406272080454</v>
      </c>
      <c r="R10" s="397"/>
      <c r="S10" s="397"/>
      <c r="T10" s="397"/>
      <c r="U10" s="397"/>
      <c r="V10" s="397"/>
      <c r="W10" s="397"/>
      <c r="X10" s="397"/>
      <c r="Y10" s="397"/>
      <c r="Z10" s="397"/>
      <c r="AA10" s="397"/>
      <c r="AB10" s="734"/>
      <c r="AC10" s="734"/>
      <c r="AD10" s="377"/>
      <c r="AE10" s="377"/>
      <c r="AF10" s="377"/>
      <c r="AG10" s="377"/>
      <c r="AH10" s="377"/>
      <c r="AI10" s="377"/>
      <c r="AJ10" s="377"/>
      <c r="AK10" s="377"/>
      <c r="AL10" s="377"/>
      <c r="AM10" s="377"/>
      <c r="AN10" s="377"/>
      <c r="AO10" s="377"/>
      <c r="AP10" s="377"/>
      <c r="AQ10" s="377"/>
      <c r="AR10" s="377"/>
      <c r="AS10" s="377"/>
      <c r="AT10" s="377"/>
    </row>
    <row r="11" spans="2:46" s="22" customFormat="1" ht="15.75" customHeight="1">
      <c r="B11" s="635" t="s">
        <v>206</v>
      </c>
      <c r="C11" s="380">
        <v>204.15279983555058</v>
      </c>
      <c r="D11" s="380">
        <v>290.36895454054587</v>
      </c>
      <c r="E11" s="380">
        <v>217.17736414688881</v>
      </c>
      <c r="F11" s="380">
        <v>397.65525544327801</v>
      </c>
      <c r="G11" s="380">
        <v>195.18521229698376</v>
      </c>
      <c r="H11" s="380">
        <v>386.44084813733855</v>
      </c>
      <c r="I11" s="380">
        <v>205.05762532232222</v>
      </c>
      <c r="J11" s="380">
        <v>333.86352384336192</v>
      </c>
      <c r="K11" s="364">
        <f t="shared" si="0"/>
        <v>62.814488521738525</v>
      </c>
      <c r="M11" s="377"/>
      <c r="N11" s="381">
        <v>44287</v>
      </c>
      <c r="O11" s="583">
        <f t="shared" si="1"/>
        <v>217.17736414688881</v>
      </c>
      <c r="P11" s="583">
        <f t="shared" si="2"/>
        <v>195.18521229698376</v>
      </c>
      <c r="Q11" s="582">
        <f t="shared" si="3"/>
        <v>204.15279983555058</v>
      </c>
      <c r="R11" s="397"/>
      <c r="S11" s="397"/>
      <c r="T11" s="397"/>
      <c r="U11" s="397"/>
      <c r="V11" s="397"/>
      <c r="W11" s="397"/>
      <c r="X11" s="397"/>
      <c r="Y11" s="397"/>
      <c r="Z11" s="397"/>
      <c r="AA11" s="397"/>
      <c r="AB11" s="734"/>
      <c r="AC11" s="734"/>
      <c r="AD11" s="377"/>
      <c r="AE11" s="377"/>
      <c r="AF11" s="377"/>
      <c r="AG11" s="377"/>
      <c r="AH11" s="377"/>
      <c r="AI11" s="377"/>
      <c r="AJ11" s="377"/>
      <c r="AK11" s="377"/>
      <c r="AL11" s="377"/>
      <c r="AM11" s="377"/>
      <c r="AN11" s="377"/>
      <c r="AO11" s="377"/>
      <c r="AP11" s="377"/>
      <c r="AQ11" s="377"/>
      <c r="AR11" s="377"/>
      <c r="AS11" s="377"/>
      <c r="AT11" s="377"/>
    </row>
    <row r="12" spans="2:46" s="22" customFormat="1" ht="15.75" customHeight="1">
      <c r="B12" s="635" t="s">
        <v>207</v>
      </c>
      <c r="C12" s="380">
        <v>210.65756835698585</v>
      </c>
      <c r="D12" s="380">
        <v>350.13848762681442</v>
      </c>
      <c r="E12" s="380">
        <v>204.15676618910891</v>
      </c>
      <c r="F12" s="380">
        <v>399.84846382464059</v>
      </c>
      <c r="G12" s="380">
        <v>206.0752893210522</v>
      </c>
      <c r="H12" s="380">
        <v>389.23358922477922</v>
      </c>
      <c r="I12" s="380">
        <v>208.69301977498188</v>
      </c>
      <c r="J12" s="380">
        <v>348.02108258961721</v>
      </c>
      <c r="K12" s="364">
        <f t="shared" si="0"/>
        <v>66.76220554231395</v>
      </c>
      <c r="M12" s="377"/>
      <c r="N12" s="381">
        <v>44317</v>
      </c>
      <c r="O12" s="583">
        <f t="shared" si="1"/>
        <v>204.15676618910891</v>
      </c>
      <c r="P12" s="583">
        <f t="shared" si="2"/>
        <v>206.0752893210522</v>
      </c>
      <c r="Q12" s="582">
        <f t="shared" si="3"/>
        <v>210.65756835698585</v>
      </c>
      <c r="R12" s="397"/>
      <c r="S12" s="397"/>
      <c r="T12" s="300"/>
      <c r="U12" s="300"/>
      <c r="V12" s="397"/>
      <c r="W12" s="397"/>
      <c r="X12" s="397"/>
      <c r="Y12" s="397"/>
      <c r="Z12" s="397"/>
      <c r="AA12" s="397"/>
      <c r="AB12" s="734"/>
      <c r="AC12" s="734"/>
      <c r="AD12" s="377"/>
      <c r="AE12" s="377"/>
      <c r="AF12" s="377"/>
      <c r="AG12" s="377"/>
      <c r="AH12" s="377"/>
      <c r="AI12" s="377"/>
      <c r="AJ12" s="377"/>
      <c r="AK12" s="377"/>
      <c r="AL12" s="377"/>
      <c r="AM12" s="377"/>
      <c r="AN12" s="377"/>
      <c r="AO12" s="377"/>
      <c r="AP12" s="377"/>
      <c r="AQ12" s="377"/>
      <c r="AR12" s="377"/>
      <c r="AS12" s="377"/>
      <c r="AT12" s="377"/>
    </row>
    <row r="13" spans="2:46" s="22" customFormat="1" ht="15.75" customHeight="1">
      <c r="B13" s="635" t="s">
        <v>208</v>
      </c>
      <c r="C13" s="380">
        <v>209.66826032490411</v>
      </c>
      <c r="D13" s="380"/>
      <c r="E13" s="380">
        <v>214.82520559874493</v>
      </c>
      <c r="F13" s="380"/>
      <c r="G13" s="380">
        <v>215.4115169975104</v>
      </c>
      <c r="H13" s="380"/>
      <c r="I13" s="380">
        <v>209.33781443581296</v>
      </c>
      <c r="J13" s="380"/>
      <c r="K13" s="364"/>
      <c r="L13" s="413"/>
      <c r="M13" s="377"/>
      <c r="N13" s="381">
        <v>44348</v>
      </c>
      <c r="O13" s="583">
        <f t="shared" si="1"/>
        <v>214.82520559874493</v>
      </c>
      <c r="P13" s="583">
        <f t="shared" si="2"/>
        <v>215.4115169975104</v>
      </c>
      <c r="Q13" s="582">
        <f t="shared" si="3"/>
        <v>209.66826032490411</v>
      </c>
      <c r="R13" s="397"/>
      <c r="S13" s="397"/>
      <c r="T13" s="396"/>
      <c r="U13" s="396"/>
      <c r="V13" s="397"/>
      <c r="W13" s="300"/>
      <c r="X13" s="300"/>
      <c r="Y13" s="397"/>
      <c r="Z13" s="397"/>
      <c r="AA13" s="397"/>
      <c r="AB13" s="734"/>
      <c r="AC13" s="734"/>
      <c r="AD13" s="377"/>
      <c r="AE13" s="377"/>
      <c r="AF13" s="377"/>
      <c r="AG13" s="377"/>
      <c r="AH13" s="377"/>
      <c r="AI13" s="377"/>
      <c r="AJ13" s="377"/>
      <c r="AK13" s="377"/>
      <c r="AL13" s="377"/>
      <c r="AM13" s="377"/>
      <c r="AN13" s="377"/>
      <c r="AO13" s="377"/>
      <c r="AP13" s="377"/>
      <c r="AQ13" s="377"/>
      <c r="AR13" s="377"/>
      <c r="AS13" s="377"/>
      <c r="AT13" s="377"/>
    </row>
    <row r="14" spans="2:46" s="22" customFormat="1" ht="15.75" customHeight="1">
      <c r="B14" s="635" t="s">
        <v>209</v>
      </c>
      <c r="C14" s="380">
        <v>220.76350792425433</v>
      </c>
      <c r="D14" s="380"/>
      <c r="E14" s="380">
        <v>224.71672620383583</v>
      </c>
      <c r="F14" s="380"/>
      <c r="G14" s="380">
        <v>224.52085389448848</v>
      </c>
      <c r="H14" s="380"/>
      <c r="I14" s="380">
        <v>222.56568284165644</v>
      </c>
      <c r="J14" s="380"/>
      <c r="K14" s="364"/>
      <c r="M14" s="377"/>
      <c r="N14" s="381">
        <v>44378</v>
      </c>
      <c r="O14" s="583">
        <f t="shared" si="1"/>
        <v>224.71672620383583</v>
      </c>
      <c r="P14" s="583">
        <f t="shared" si="2"/>
        <v>224.52085389448848</v>
      </c>
      <c r="Q14" s="582">
        <f t="shared" si="3"/>
        <v>220.76350792425433</v>
      </c>
      <c r="R14" s="397"/>
      <c r="S14" s="397"/>
      <c r="T14" s="397"/>
      <c r="U14" s="397"/>
      <c r="V14" s="300"/>
      <c r="W14" s="300"/>
      <c r="X14" s="396"/>
      <c r="Y14" s="300"/>
      <c r="Z14" s="300"/>
      <c r="AA14" s="397"/>
      <c r="AB14" s="734"/>
      <c r="AC14" s="734"/>
      <c r="AD14" s="377"/>
      <c r="AE14" s="377"/>
      <c r="AF14" s="377"/>
      <c r="AG14" s="377"/>
      <c r="AH14" s="377"/>
      <c r="AI14" s="377"/>
      <c r="AJ14" s="377"/>
      <c r="AK14" s="377"/>
      <c r="AL14" s="377"/>
      <c r="AM14" s="377"/>
      <c r="AN14" s="377"/>
      <c r="AO14" s="377"/>
      <c r="AP14" s="377"/>
      <c r="AQ14" s="377"/>
      <c r="AR14" s="377"/>
      <c r="AS14" s="377"/>
      <c r="AT14" s="377"/>
    </row>
    <row r="15" spans="2:46" s="22" customFormat="1" ht="15.75" customHeight="1">
      <c r="B15" s="635" t="s">
        <v>210</v>
      </c>
      <c r="C15" s="380">
        <v>241.25919977991967</v>
      </c>
      <c r="D15" s="380"/>
      <c r="E15" s="380">
        <v>251.7965352415338</v>
      </c>
      <c r="F15" s="380"/>
      <c r="G15" s="380">
        <v>242.16923152955016</v>
      </c>
      <c r="H15" s="380"/>
      <c r="I15" s="380">
        <v>248.42215999538408</v>
      </c>
      <c r="J15" s="380"/>
      <c r="K15" s="364"/>
      <c r="M15" s="377"/>
      <c r="N15" s="381">
        <v>44409</v>
      </c>
      <c r="O15" s="583">
        <f t="shared" si="1"/>
        <v>251.7965352415338</v>
      </c>
      <c r="P15" s="583">
        <f t="shared" si="2"/>
        <v>242.16923152955016</v>
      </c>
      <c r="Q15" s="582">
        <f t="shared" si="3"/>
        <v>241.25919977991967</v>
      </c>
      <c r="R15" s="397"/>
      <c r="S15" s="397"/>
      <c r="T15" s="397"/>
      <c r="U15" s="397"/>
      <c r="V15" s="396"/>
      <c r="W15" s="396"/>
      <c r="X15" s="397"/>
      <c r="Y15" s="396"/>
      <c r="Z15" s="396"/>
      <c r="AA15" s="397"/>
      <c r="AB15" s="734"/>
      <c r="AC15" s="734"/>
      <c r="AD15" s="377"/>
      <c r="AE15" s="377"/>
      <c r="AF15" s="377"/>
      <c r="AG15" s="377"/>
      <c r="AH15" s="377"/>
      <c r="AI15" s="377"/>
      <c r="AJ15" s="377"/>
      <c r="AK15" s="377"/>
      <c r="AL15" s="377"/>
      <c r="AM15" s="377"/>
      <c r="AN15" s="377"/>
      <c r="AO15" s="377"/>
      <c r="AP15" s="377"/>
      <c r="AQ15" s="377"/>
      <c r="AR15" s="377"/>
      <c r="AS15" s="377"/>
      <c r="AT15" s="377"/>
    </row>
    <row r="16" spans="2:46" ht="15.75" customHeight="1">
      <c r="B16" s="635" t="s">
        <v>211</v>
      </c>
      <c r="C16" s="380">
        <v>254.62518425105466</v>
      </c>
      <c r="D16" s="380"/>
      <c r="E16" s="380">
        <v>291.05351928467002</v>
      </c>
      <c r="F16" s="380"/>
      <c r="G16" s="380">
        <v>236.72206263368295</v>
      </c>
      <c r="H16" s="380"/>
      <c r="I16" s="380">
        <v>257.7661227506569</v>
      </c>
      <c r="J16" s="380"/>
      <c r="K16" s="364"/>
      <c r="M16" s="736"/>
      <c r="N16" s="381">
        <v>44440</v>
      </c>
      <c r="O16" s="583">
        <f t="shared" si="1"/>
        <v>291.05351928467002</v>
      </c>
      <c r="P16" s="583">
        <f t="shared" si="2"/>
        <v>236.72206263368295</v>
      </c>
      <c r="Q16" s="582">
        <f t="shared" si="3"/>
        <v>254.62518425105466</v>
      </c>
      <c r="R16" s="397"/>
      <c r="S16" s="397"/>
      <c r="T16" s="397"/>
      <c r="U16" s="397"/>
      <c r="V16" s="397"/>
      <c r="W16" s="397"/>
      <c r="X16" s="397"/>
      <c r="Y16" s="397"/>
      <c r="Z16" s="397"/>
      <c r="AA16" s="397"/>
      <c r="AB16" s="734"/>
      <c r="AC16" s="734"/>
    </row>
    <row r="17" spans="1:38" ht="15.75" customHeight="1">
      <c r="B17" s="635" t="s">
        <v>212</v>
      </c>
      <c r="C17" s="380">
        <v>259.79918706588194</v>
      </c>
      <c r="D17" s="380"/>
      <c r="E17" s="380"/>
      <c r="F17" s="380"/>
      <c r="G17" s="380">
        <v>246.77399957362135</v>
      </c>
      <c r="H17" s="380"/>
      <c r="I17" s="380">
        <v>258.87184680399889</v>
      </c>
      <c r="J17" s="380"/>
      <c r="K17" s="364"/>
      <c r="M17" s="736"/>
      <c r="N17" s="381">
        <v>44470</v>
      </c>
      <c r="O17" s="583"/>
      <c r="P17" s="583">
        <f t="shared" si="2"/>
        <v>246.77399957362135</v>
      </c>
      <c r="Q17" s="582">
        <f t="shared" si="3"/>
        <v>259.79918706588194</v>
      </c>
      <c r="R17" s="397"/>
      <c r="S17" s="397"/>
      <c r="T17" s="397"/>
      <c r="U17" s="397"/>
      <c r="V17" s="397"/>
      <c r="W17" s="397"/>
      <c r="X17" s="397"/>
      <c r="Y17" s="397"/>
      <c r="Z17" s="397"/>
      <c r="AA17" s="397"/>
      <c r="AB17" s="734"/>
      <c r="AC17" s="734"/>
    </row>
    <row r="18" spans="1:38" ht="15.75" customHeight="1">
      <c r="B18" s="635" t="s">
        <v>196</v>
      </c>
      <c r="C18" s="380">
        <v>269.92286061216396</v>
      </c>
      <c r="D18" s="380"/>
      <c r="E18" s="380">
        <v>314.47832685103737</v>
      </c>
      <c r="F18" s="380"/>
      <c r="G18" s="380">
        <v>297.82257417658997</v>
      </c>
      <c r="H18" s="380"/>
      <c r="I18" s="380">
        <v>285.22992451601266</v>
      </c>
      <c r="J18" s="380"/>
      <c r="K18" s="364"/>
      <c r="M18" s="738"/>
      <c r="N18" s="381">
        <v>44501</v>
      </c>
      <c r="O18" s="583">
        <f t="shared" si="1"/>
        <v>314.47832685103737</v>
      </c>
      <c r="P18" s="583">
        <f t="shared" si="2"/>
        <v>297.82257417658997</v>
      </c>
      <c r="Q18" s="582">
        <f t="shared" si="3"/>
        <v>269.92286061216396</v>
      </c>
      <c r="R18" s="397"/>
      <c r="S18" s="397"/>
      <c r="T18" s="397"/>
      <c r="U18" s="397"/>
      <c r="V18" s="397"/>
      <c r="W18" s="397"/>
      <c r="X18" s="397"/>
      <c r="Y18" s="397"/>
      <c r="Z18" s="397"/>
      <c r="AA18" s="397"/>
      <c r="AB18" s="734"/>
      <c r="AC18" s="734"/>
    </row>
    <row r="19" spans="1:38" ht="15.75" customHeight="1">
      <c r="B19" s="635" t="s">
        <v>197</v>
      </c>
      <c r="C19" s="380">
        <v>294.84701899390365</v>
      </c>
      <c r="D19" s="380"/>
      <c r="E19" s="380">
        <v>365.18341981231845</v>
      </c>
      <c r="F19" s="380"/>
      <c r="G19" s="380">
        <v>349.62283716758714</v>
      </c>
      <c r="H19" s="380"/>
      <c r="I19" s="380">
        <v>327.59651989061945</v>
      </c>
      <c r="J19" s="380"/>
      <c r="K19" s="364"/>
      <c r="M19" s="736"/>
      <c r="N19" s="381">
        <v>44531</v>
      </c>
      <c r="O19" s="583">
        <f t="shared" si="1"/>
        <v>365.18341981231845</v>
      </c>
      <c r="P19" s="583">
        <f t="shared" si="2"/>
        <v>349.62283716758714</v>
      </c>
      <c r="Q19" s="582">
        <f t="shared" si="3"/>
        <v>294.84701899390365</v>
      </c>
      <c r="R19" s="300"/>
      <c r="S19" s="300"/>
      <c r="T19" s="397"/>
      <c r="U19" s="397"/>
      <c r="V19" s="397"/>
      <c r="W19" s="397"/>
      <c r="X19" s="397"/>
      <c r="Y19" s="397"/>
      <c r="Z19" s="397"/>
      <c r="AA19" s="397"/>
      <c r="AB19" s="734"/>
      <c r="AC19" s="734"/>
    </row>
    <row r="20" spans="1:38" ht="32.25" customHeight="1">
      <c r="B20" s="848" t="s">
        <v>233</v>
      </c>
      <c r="C20" s="849"/>
      <c r="D20" s="849"/>
      <c r="E20" s="849"/>
      <c r="F20" s="849"/>
      <c r="G20" s="849"/>
      <c r="H20" s="849"/>
      <c r="I20" s="849"/>
      <c r="J20" s="849"/>
      <c r="K20" s="850"/>
      <c r="N20" s="381">
        <v>44562</v>
      </c>
      <c r="O20" s="583">
        <f>F8</f>
        <v>334.78748379969153</v>
      </c>
      <c r="P20" s="583">
        <f>H8</f>
        <v>329.87203343459709</v>
      </c>
      <c r="Q20" s="583">
        <f>D8</f>
        <v>267.76866535875007</v>
      </c>
      <c r="R20" s="300"/>
      <c r="S20" s="300"/>
      <c r="T20" s="397"/>
      <c r="U20" s="397"/>
      <c r="V20" s="397"/>
      <c r="W20" s="397"/>
      <c r="X20" s="397"/>
      <c r="Y20" s="397"/>
      <c r="Z20" s="397"/>
      <c r="AA20" s="648"/>
      <c r="AB20" s="739"/>
    </row>
    <row r="21" spans="1:38" ht="15" customHeight="1">
      <c r="D21" s="299"/>
      <c r="F21" s="299"/>
      <c r="H21" s="299"/>
      <c r="J21" s="299"/>
      <c r="N21" s="381">
        <v>44593</v>
      </c>
      <c r="O21" s="583">
        <f t="shared" ref="O21" si="4">F9</f>
        <v>320.85771562139672</v>
      </c>
      <c r="P21" s="583">
        <f t="shared" ref="P21" si="5">H9</f>
        <v>321.81557368402815</v>
      </c>
      <c r="Q21" s="583">
        <f t="shared" ref="Q21" si="6">D9</f>
        <v>283.74659203941059</v>
      </c>
      <c r="R21" s="300"/>
      <c r="S21" s="300"/>
      <c r="T21" s="397"/>
      <c r="U21" s="397"/>
      <c r="V21" s="397"/>
      <c r="W21" s="397"/>
      <c r="X21" s="397"/>
      <c r="Y21" s="397"/>
      <c r="Z21" s="397"/>
    </row>
    <row r="22" spans="1:38" ht="27" customHeight="1">
      <c r="M22" s="740"/>
      <c r="N22" s="381">
        <v>44621</v>
      </c>
      <c r="O22" s="583">
        <f>F10</f>
        <v>321.00137457112265</v>
      </c>
      <c r="P22" s="583">
        <f>H10</f>
        <v>348.01290512199125</v>
      </c>
      <c r="Q22" s="583">
        <f>D10</f>
        <v>278.05501162064633</v>
      </c>
      <c r="R22" s="300"/>
      <c r="S22" s="300"/>
      <c r="T22" s="300"/>
      <c r="U22" s="300"/>
      <c r="V22" s="397"/>
      <c r="W22" s="397"/>
      <c r="X22" s="397"/>
      <c r="Y22" s="397"/>
      <c r="Z22" s="397"/>
    </row>
    <row r="23" spans="1:38" ht="15" customHeight="1">
      <c r="N23" s="381">
        <v>44652</v>
      </c>
      <c r="O23" s="583">
        <f>F11</f>
        <v>397.65525544327801</v>
      </c>
      <c r="P23" s="583">
        <f>H11</f>
        <v>386.44084813733855</v>
      </c>
      <c r="Q23" s="583">
        <f>D11</f>
        <v>290.36895454054587</v>
      </c>
      <c r="R23" s="300"/>
      <c r="S23" s="300"/>
      <c r="T23" s="300"/>
      <c r="U23" s="300"/>
      <c r="V23" s="397"/>
      <c r="W23" s="397"/>
      <c r="Y23" s="397"/>
      <c r="Z23" s="397"/>
    </row>
    <row r="24" spans="1:38" ht="15" customHeight="1">
      <c r="N24" s="381">
        <v>44682</v>
      </c>
      <c r="O24" s="583">
        <f>F12</f>
        <v>399.84846382464059</v>
      </c>
      <c r="P24" s="583">
        <f>H12</f>
        <v>389.23358922477922</v>
      </c>
      <c r="Q24" s="583">
        <f>D12</f>
        <v>350.13848762681442</v>
      </c>
      <c r="R24" s="300"/>
      <c r="S24" s="300"/>
      <c r="T24" s="300"/>
      <c r="U24" s="300"/>
      <c r="V24" s="300"/>
    </row>
    <row r="25" spans="1:38" ht="15" customHeight="1">
      <c r="N25" s="381">
        <v>44713</v>
      </c>
      <c r="R25" s="300"/>
      <c r="S25" s="300"/>
      <c r="T25" s="300"/>
      <c r="U25" s="300"/>
      <c r="V25" s="300"/>
    </row>
    <row r="26" spans="1:38" ht="15" customHeight="1">
      <c r="N26" s="381">
        <v>44743</v>
      </c>
      <c r="R26" s="300"/>
      <c r="S26" s="300"/>
      <c r="T26" s="300"/>
      <c r="U26" s="300"/>
      <c r="V26" s="300"/>
      <c r="AG26" s="720"/>
      <c r="AH26" s="720"/>
      <c r="AI26" s="720"/>
      <c r="AJ26" s="720"/>
      <c r="AK26" s="720"/>
      <c r="AL26" s="720"/>
    </row>
    <row r="27" spans="1:38" ht="15" customHeight="1">
      <c r="N27" s="381">
        <v>44774</v>
      </c>
      <c r="R27" s="300"/>
      <c r="S27" s="300"/>
      <c r="T27" s="300"/>
      <c r="U27" s="300"/>
      <c r="V27" s="300"/>
    </row>
    <row r="28" spans="1:38" ht="17.25" customHeight="1">
      <c r="N28" s="381">
        <v>44805</v>
      </c>
    </row>
    <row r="29" spans="1:38" ht="18" customHeight="1">
      <c r="A29" s="29"/>
      <c r="B29" s="29"/>
      <c r="C29" s="29"/>
      <c r="D29" s="29"/>
      <c r="E29" s="29"/>
      <c r="F29" s="29"/>
      <c r="G29" s="29"/>
      <c r="H29" s="29"/>
      <c r="I29" s="29"/>
      <c r="J29" s="29"/>
      <c r="K29" s="29"/>
      <c r="L29" s="29"/>
    </row>
    <row r="30" spans="1:38" ht="15" customHeight="1">
      <c r="AG30" s="741"/>
    </row>
    <row r="31" spans="1:38" ht="15" customHeight="1">
      <c r="I31" s="13"/>
      <c r="J31" s="13"/>
      <c r="AG31" s="741"/>
    </row>
    <row r="32" spans="1:38" ht="15" customHeight="1">
      <c r="AG32" s="741"/>
    </row>
    <row r="33" spans="2:38" ht="15" customHeight="1">
      <c r="AG33" s="741"/>
    </row>
    <row r="34" spans="2:38" ht="57.75" customHeight="1">
      <c r="B34" s="846" t="s">
        <v>234</v>
      </c>
      <c r="C34" s="846"/>
      <c r="D34" s="846"/>
      <c r="E34" s="846"/>
      <c r="F34" s="846"/>
      <c r="G34" s="846"/>
      <c r="H34" s="846"/>
      <c r="I34" s="846"/>
      <c r="J34" s="846"/>
      <c r="K34" s="846"/>
      <c r="AG34" s="741"/>
      <c r="AH34" s="741"/>
      <c r="AI34" s="741"/>
      <c r="AJ34" s="741"/>
      <c r="AK34" s="741"/>
      <c r="AL34" s="741"/>
    </row>
    <row r="35" spans="2:38" ht="15" customHeight="1">
      <c r="AG35" s="741"/>
      <c r="AH35" s="741"/>
      <c r="AI35" s="741"/>
      <c r="AJ35" s="741"/>
      <c r="AK35" s="741"/>
      <c r="AL35" s="741"/>
    </row>
    <row r="36" spans="2:38" ht="15" customHeight="1">
      <c r="AG36" s="741"/>
      <c r="AH36" s="741"/>
      <c r="AI36" s="741"/>
      <c r="AJ36" s="741"/>
      <c r="AK36" s="741"/>
      <c r="AL36" s="741"/>
    </row>
    <row r="37" spans="2:38" ht="15" customHeight="1">
      <c r="AG37" s="741"/>
      <c r="AH37" s="741"/>
      <c r="AI37" s="741"/>
      <c r="AJ37" s="741"/>
      <c r="AK37" s="741"/>
      <c r="AL37" s="741"/>
    </row>
    <row r="38" spans="2:38" ht="15" customHeight="1">
      <c r="AG38" s="741"/>
      <c r="AH38" s="741"/>
      <c r="AI38" s="741"/>
      <c r="AJ38" s="741"/>
      <c r="AK38" s="741"/>
      <c r="AL38" s="741"/>
    </row>
    <row r="39" spans="2:38" ht="15" customHeight="1">
      <c r="AG39" s="741"/>
      <c r="AH39" s="741"/>
      <c r="AI39" s="741"/>
      <c r="AJ39" s="741"/>
      <c r="AK39" s="741"/>
      <c r="AL39" s="741"/>
    </row>
    <row r="40" spans="2:38" ht="15" customHeight="1">
      <c r="AG40" s="741"/>
      <c r="AH40" s="741"/>
      <c r="AI40" s="741"/>
      <c r="AJ40" s="741"/>
      <c r="AK40" s="741"/>
      <c r="AL40" s="741"/>
    </row>
    <row r="41" spans="2:38" ht="15" customHeight="1">
      <c r="AG41" s="741"/>
      <c r="AH41" s="741"/>
      <c r="AI41" s="741"/>
      <c r="AJ41" s="741"/>
      <c r="AK41" s="741"/>
      <c r="AL41" s="741"/>
    </row>
    <row r="42" spans="2:38" ht="15" customHeight="1">
      <c r="AG42" s="741"/>
      <c r="AH42" s="741"/>
      <c r="AI42" s="741"/>
      <c r="AJ42" s="741"/>
      <c r="AK42" s="741"/>
      <c r="AL42" s="741"/>
    </row>
    <row r="43" spans="2:38" ht="15" customHeight="1">
      <c r="AG43" s="741"/>
      <c r="AH43" s="741"/>
      <c r="AI43" s="741"/>
      <c r="AJ43" s="741"/>
      <c r="AK43" s="741"/>
      <c r="AL43" s="741"/>
    </row>
    <row r="44" spans="2:38" ht="15" customHeight="1">
      <c r="AG44" s="741"/>
      <c r="AH44" s="741"/>
      <c r="AI44" s="741"/>
      <c r="AJ44" s="741"/>
      <c r="AK44" s="741"/>
      <c r="AL44" s="741"/>
    </row>
    <row r="45" spans="2:38" ht="15" customHeight="1">
      <c r="AG45" s="741"/>
      <c r="AH45" s="741"/>
      <c r="AI45" s="741"/>
      <c r="AJ45" s="741"/>
      <c r="AK45" s="741"/>
      <c r="AL45" s="741"/>
    </row>
    <row r="46" spans="2:38" ht="15" customHeight="1">
      <c r="AG46" s="741"/>
    </row>
    <row r="47" spans="2:38" ht="15" customHeight="1"/>
    <row r="48" spans="2:38" ht="15" customHeight="1"/>
    <row r="49" ht="15" customHeight="1"/>
    <row r="50" ht="15" customHeight="1"/>
    <row r="51" ht="15" customHeight="1"/>
    <row r="52" ht="1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21"/>
  <sheetViews>
    <sheetView zoomScaleNormal="100" workbookViewId="0">
      <selection activeCell="M16" sqref="M16"/>
    </sheetView>
  </sheetViews>
  <sheetFormatPr baseColWidth="10" defaultColWidth="10.921875" defaultRowHeight="13.2"/>
  <cols>
    <col min="1" max="1" width="2.3828125" style="250" customWidth="1"/>
    <col min="2" max="2" width="8" style="250" customWidth="1"/>
    <col min="3" max="10" width="6.3046875" style="250" customWidth="1"/>
    <col min="11" max="11" width="3.07421875" style="250" customWidth="1"/>
    <col min="12" max="16384" width="10.921875" style="250"/>
  </cols>
  <sheetData>
    <row r="1" spans="2:10">
      <c r="B1" s="858" t="s">
        <v>235</v>
      </c>
      <c r="C1" s="858"/>
      <c r="D1" s="858"/>
      <c r="E1" s="858"/>
      <c r="F1" s="858"/>
      <c r="G1" s="858"/>
      <c r="H1" s="858"/>
      <c r="I1" s="858"/>
      <c r="J1" s="858"/>
    </row>
    <row r="2" spans="2:10">
      <c r="B2" s="533"/>
      <c r="C2" s="533"/>
      <c r="D2" s="533"/>
      <c r="E2" s="533"/>
      <c r="F2" s="533"/>
      <c r="G2" s="533"/>
      <c r="H2" s="533"/>
      <c r="I2" s="533"/>
      <c r="J2" s="22"/>
    </row>
    <row r="3" spans="2:10" ht="32.85" customHeight="1">
      <c r="B3" s="859" t="s">
        <v>46</v>
      </c>
      <c r="C3" s="859"/>
      <c r="D3" s="859"/>
      <c r="E3" s="859"/>
      <c r="F3" s="859"/>
      <c r="G3" s="859"/>
      <c r="H3" s="859"/>
      <c r="I3" s="859"/>
      <c r="J3" s="859"/>
    </row>
    <row r="4" spans="2:10" ht="15.75" customHeight="1">
      <c r="B4" s="838" t="s">
        <v>661</v>
      </c>
      <c r="C4" s="838"/>
      <c r="D4" s="838"/>
      <c r="E4" s="838"/>
      <c r="F4" s="838"/>
      <c r="G4" s="838"/>
      <c r="H4" s="838"/>
      <c r="I4" s="838"/>
      <c r="J4" s="838"/>
    </row>
    <row r="5" spans="2:10" ht="15.75" customHeight="1">
      <c r="B5" s="838" t="s">
        <v>236</v>
      </c>
      <c r="C5" s="838"/>
      <c r="D5" s="838"/>
      <c r="E5" s="838"/>
      <c r="F5" s="838"/>
      <c r="G5" s="838"/>
      <c r="H5" s="838"/>
      <c r="I5" s="838"/>
      <c r="J5" s="838"/>
    </row>
    <row r="6" spans="2:10" ht="103.8" customHeight="1">
      <c r="B6" s="534" t="s">
        <v>220</v>
      </c>
      <c r="C6" s="861" t="s">
        <v>221</v>
      </c>
      <c r="D6" s="861"/>
      <c r="E6" s="861" t="s">
        <v>237</v>
      </c>
      <c r="F6" s="861"/>
      <c r="G6" s="861" t="s">
        <v>223</v>
      </c>
      <c r="H6" s="861"/>
      <c r="I6" s="861" t="s">
        <v>224</v>
      </c>
      <c r="J6" s="861"/>
    </row>
    <row r="7" spans="2:10" ht="15.75" customHeight="1">
      <c r="B7" s="535" t="s">
        <v>225</v>
      </c>
      <c r="C7" s="860" t="s">
        <v>217</v>
      </c>
      <c r="D7" s="860"/>
      <c r="E7" s="860" t="s">
        <v>176</v>
      </c>
      <c r="F7" s="860"/>
      <c r="G7" s="860" t="s">
        <v>216</v>
      </c>
      <c r="H7" s="860"/>
      <c r="I7" s="860"/>
      <c r="J7" s="860"/>
    </row>
    <row r="8" spans="2:10" ht="15.75" customHeight="1">
      <c r="B8" s="536" t="s">
        <v>201</v>
      </c>
      <c r="C8" s="309">
        <v>2021</v>
      </c>
      <c r="D8" s="309">
        <v>2022</v>
      </c>
      <c r="E8" s="309">
        <v>2021</v>
      </c>
      <c r="F8" s="309">
        <v>2022</v>
      </c>
      <c r="G8" s="309">
        <v>2021</v>
      </c>
      <c r="H8" s="309">
        <v>2022</v>
      </c>
      <c r="I8" s="309">
        <v>2021</v>
      </c>
      <c r="J8" s="309">
        <v>2022</v>
      </c>
    </row>
    <row r="9" spans="2:10" ht="15.75" customHeight="1">
      <c r="B9" s="536" t="s">
        <v>203</v>
      </c>
      <c r="C9" s="312">
        <v>245.2445278345246</v>
      </c>
      <c r="D9" s="312"/>
      <c r="E9" s="312">
        <v>248.01186543838159</v>
      </c>
      <c r="F9" s="378">
        <v>324.00897825963852</v>
      </c>
      <c r="G9" s="312"/>
      <c r="H9" s="378"/>
      <c r="I9" s="312">
        <v>255.63636363636363</v>
      </c>
      <c r="J9" s="312">
        <v>321.19997128911859</v>
      </c>
    </row>
    <row r="10" spans="2:10" ht="15.75" customHeight="1">
      <c r="B10" s="536" t="s">
        <v>204</v>
      </c>
      <c r="C10" s="312">
        <v>252.68105533894033</v>
      </c>
      <c r="D10" s="312">
        <v>296.1357536544453</v>
      </c>
      <c r="E10" s="312">
        <v>265.94090111958866</v>
      </c>
      <c r="F10" s="378">
        <v>344.00532192310885</v>
      </c>
      <c r="G10" s="312">
        <v>264.48345397977863</v>
      </c>
      <c r="H10" s="378">
        <v>359.29841772049997</v>
      </c>
      <c r="I10" s="312">
        <v>264.16000000000003</v>
      </c>
      <c r="J10" s="312">
        <v>280.22000000000003</v>
      </c>
    </row>
    <row r="11" spans="2:10" ht="15.75" customHeight="1">
      <c r="B11" s="536" t="s">
        <v>205</v>
      </c>
      <c r="C11" s="312">
        <v>253.02971221428484</v>
      </c>
      <c r="D11" s="312"/>
      <c r="E11" s="312">
        <v>245.65849265563682</v>
      </c>
      <c r="F11" s="378">
        <v>335.76538581121855</v>
      </c>
      <c r="G11" s="312">
        <v>264.48205999999999</v>
      </c>
      <c r="H11" s="378">
        <v>351.53667691885516</v>
      </c>
      <c r="I11" s="312">
        <v>296.8</v>
      </c>
      <c r="J11" s="312">
        <v>287.62251299826693</v>
      </c>
    </row>
    <row r="12" spans="2:10" ht="15.75" customHeight="1">
      <c r="B12" s="536" t="s">
        <v>206</v>
      </c>
      <c r="C12" s="330">
        <v>252.73505677019799</v>
      </c>
      <c r="D12" s="312"/>
      <c r="E12" s="312">
        <v>286.84215991973826</v>
      </c>
      <c r="F12" s="312">
        <v>360.2739108424625</v>
      </c>
      <c r="G12" s="312">
        <v>291.41221234543264</v>
      </c>
      <c r="H12" s="312">
        <v>342.70712123206528</v>
      </c>
      <c r="I12" s="312">
        <v>298.74</v>
      </c>
      <c r="J12" s="312">
        <v>313.37192857142855</v>
      </c>
    </row>
    <row r="13" spans="2:10" ht="15.75" customHeight="1">
      <c r="B13" s="536" t="s">
        <v>207</v>
      </c>
      <c r="C13" s="312"/>
      <c r="D13" s="312"/>
      <c r="E13" s="312">
        <v>296.73973407069832</v>
      </c>
      <c r="F13" s="312">
        <v>348.65271282650826</v>
      </c>
      <c r="G13" s="312">
        <v>293.55708723437266</v>
      </c>
      <c r="H13" s="312">
        <v>424.54593339143747</v>
      </c>
      <c r="I13" s="312">
        <v>298.74</v>
      </c>
      <c r="J13" s="312">
        <v>309.97490147783253</v>
      </c>
    </row>
    <row r="14" spans="2:10" ht="15.75" customHeight="1">
      <c r="B14" s="536" t="s">
        <v>208</v>
      </c>
      <c r="C14" s="312"/>
      <c r="D14" s="312"/>
      <c r="E14" s="312">
        <v>292.59709655156826</v>
      </c>
      <c r="F14" s="312"/>
      <c r="G14" s="312">
        <v>287.77029222468747</v>
      </c>
      <c r="H14" s="312"/>
      <c r="I14" s="312"/>
      <c r="J14" s="312"/>
    </row>
    <row r="15" spans="2:10" ht="15.75" customHeight="1">
      <c r="B15" s="536" t="s">
        <v>209</v>
      </c>
      <c r="C15" s="312"/>
      <c r="D15" s="312"/>
      <c r="E15" s="312">
        <v>286.655369874163</v>
      </c>
      <c r="F15" s="312"/>
      <c r="G15" s="312">
        <v>299.99107440423677</v>
      </c>
      <c r="H15" s="312"/>
      <c r="I15" s="312">
        <v>287.45999999999998</v>
      </c>
      <c r="J15" s="312"/>
    </row>
    <row r="16" spans="2:10" ht="15.75" customHeight="1">
      <c r="B16" s="536" t="s">
        <v>210</v>
      </c>
      <c r="C16" s="312"/>
      <c r="D16" s="312"/>
      <c r="E16" s="312">
        <v>316.09199537806018</v>
      </c>
      <c r="F16" s="378"/>
      <c r="G16" s="312">
        <v>303.16879538667814</v>
      </c>
      <c r="H16" s="378"/>
      <c r="I16" s="312">
        <v>287.45999999999998</v>
      </c>
      <c r="J16" s="312"/>
    </row>
    <row r="17" spans="2:10" ht="15.75" customHeight="1">
      <c r="B17" s="536" t="s">
        <v>211</v>
      </c>
      <c r="C17" s="312"/>
      <c r="D17" s="312"/>
      <c r="E17" s="312">
        <v>325.43502984297066</v>
      </c>
      <c r="F17" s="378"/>
      <c r="G17" s="312"/>
      <c r="H17" s="378"/>
      <c r="I17" s="312">
        <v>303.95377932515538</v>
      </c>
      <c r="J17" s="312"/>
    </row>
    <row r="18" spans="2:10" ht="15.75" customHeight="1">
      <c r="B18" s="536" t="s">
        <v>212</v>
      </c>
      <c r="C18" s="312"/>
      <c r="D18" s="312"/>
      <c r="E18" s="312">
        <v>321.69534860559958</v>
      </c>
      <c r="F18" s="378"/>
      <c r="G18" s="312">
        <v>314.03975673801369</v>
      </c>
      <c r="H18" s="378"/>
      <c r="I18" s="312">
        <v>344.17999036313466</v>
      </c>
      <c r="J18" s="312"/>
    </row>
    <row r="19" spans="2:10" ht="15.75" customHeight="1">
      <c r="B19" s="536" t="s">
        <v>196</v>
      </c>
      <c r="C19" s="312"/>
      <c r="D19" s="312"/>
      <c r="E19" s="312">
        <v>335.78767750184187</v>
      </c>
      <c r="F19" s="378"/>
      <c r="G19" s="312">
        <v>325.17170713746373</v>
      </c>
      <c r="H19" s="378"/>
      <c r="I19" s="312">
        <v>320.5096880984064</v>
      </c>
      <c r="J19" s="312"/>
    </row>
    <row r="20" spans="2:10" ht="15.75" customHeight="1">
      <c r="B20" s="536" t="s">
        <v>197</v>
      </c>
      <c r="C20" s="312"/>
      <c r="D20" s="312"/>
      <c r="E20" s="312">
        <v>347.48302512812751</v>
      </c>
      <c r="F20" s="378"/>
      <c r="G20" s="312">
        <v>346.690000592643</v>
      </c>
      <c r="H20" s="378"/>
      <c r="I20" s="312">
        <v>311.94</v>
      </c>
      <c r="J20" s="312"/>
    </row>
    <row r="21" spans="2:10" ht="29.1" customHeight="1">
      <c r="B21" s="791" t="s">
        <v>234</v>
      </c>
      <c r="C21" s="791"/>
      <c r="D21" s="791"/>
      <c r="E21" s="791"/>
      <c r="F21" s="791"/>
      <c r="G21" s="791"/>
      <c r="H21" s="791"/>
      <c r="I21" s="791"/>
      <c r="J21" s="791"/>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D93"/>
  <sheetViews>
    <sheetView zoomScaleNormal="100" zoomScaleSheetLayoutView="75" workbookViewId="0">
      <selection activeCell="O17" sqref="O17"/>
    </sheetView>
  </sheetViews>
  <sheetFormatPr baseColWidth="10" defaultColWidth="7.23046875" defaultRowHeight="11.4"/>
  <cols>
    <col min="1" max="1" width="1.23046875" style="1" customWidth="1"/>
    <col min="2" max="2" width="6.921875" style="1" customWidth="1"/>
    <col min="3" max="10" width="5.3828125" style="1" customWidth="1"/>
    <col min="11" max="11" width="7.3046875" style="1" customWidth="1"/>
    <col min="12" max="12" width="8.3828125" style="373" customWidth="1"/>
    <col min="13" max="13" width="7.23046875" style="373"/>
    <col min="14" max="15" width="7.23046875" style="373" customWidth="1"/>
    <col min="16" max="16" width="7.23046875" style="373"/>
    <col min="17" max="18" width="7.3828125" style="373" bestFit="1" customWidth="1"/>
    <col min="19" max="22" width="7.23046875" style="373"/>
    <col min="23" max="30" width="7.23046875" style="720"/>
    <col min="31" max="16384" width="7.23046875" style="1"/>
  </cols>
  <sheetData>
    <row r="1" spans="2:30" s="15" customFormat="1" ht="13.2">
      <c r="B1" s="766" t="s">
        <v>238</v>
      </c>
      <c r="C1" s="766"/>
      <c r="D1" s="766"/>
      <c r="E1" s="766"/>
      <c r="F1" s="766"/>
      <c r="G1" s="766"/>
      <c r="H1" s="766"/>
      <c r="I1" s="766"/>
      <c r="J1" s="766"/>
      <c r="K1" s="766"/>
      <c r="L1" s="308"/>
      <c r="M1" s="308"/>
      <c r="N1" s="308"/>
      <c r="O1" s="308"/>
      <c r="P1" s="308"/>
      <c r="Q1" s="308"/>
      <c r="R1" s="308"/>
      <c r="S1" s="308"/>
      <c r="T1" s="308"/>
      <c r="U1" s="308"/>
      <c r="V1" s="308"/>
      <c r="W1" s="743"/>
      <c r="X1" s="743"/>
      <c r="Y1" s="743"/>
      <c r="Z1" s="743"/>
      <c r="AA1" s="743"/>
      <c r="AB1" s="743"/>
      <c r="AC1" s="743"/>
      <c r="AD1" s="743"/>
    </row>
    <row r="2" spans="2:30" s="15" customFormat="1" ht="13.2">
      <c r="L2" s="308"/>
      <c r="M2" s="308"/>
      <c r="N2" s="308"/>
      <c r="O2" s="308"/>
      <c r="P2" s="308"/>
      <c r="Q2" s="308"/>
      <c r="R2" s="308"/>
      <c r="S2" s="308"/>
      <c r="T2" s="308"/>
      <c r="U2" s="308"/>
      <c r="V2" s="308"/>
      <c r="W2" s="743"/>
      <c r="X2" s="743"/>
      <c r="Y2" s="743"/>
      <c r="Z2" s="743"/>
      <c r="AA2" s="743"/>
      <c r="AB2" s="743"/>
      <c r="AC2" s="743"/>
      <c r="AD2" s="743"/>
    </row>
    <row r="3" spans="2:30" s="15" customFormat="1" ht="13.2">
      <c r="B3" s="766" t="s">
        <v>239</v>
      </c>
      <c r="C3" s="766"/>
      <c r="D3" s="766"/>
      <c r="E3" s="766"/>
      <c r="F3" s="766"/>
      <c r="G3" s="766"/>
      <c r="H3" s="766"/>
      <c r="I3" s="766"/>
      <c r="J3" s="766"/>
      <c r="K3" s="766"/>
      <c r="L3" s="308"/>
      <c r="M3" s="308"/>
      <c r="N3" s="308"/>
      <c r="O3" s="308"/>
      <c r="P3" s="308"/>
      <c r="Q3" s="308"/>
      <c r="R3" s="308"/>
      <c r="S3" s="308"/>
      <c r="T3" s="308"/>
      <c r="U3" s="308"/>
      <c r="V3" s="308"/>
      <c r="W3" s="743"/>
      <c r="X3" s="743"/>
      <c r="Y3" s="743"/>
      <c r="Z3" s="743"/>
      <c r="AA3" s="743"/>
      <c r="AB3" s="743"/>
      <c r="AC3" s="743"/>
      <c r="AD3" s="743"/>
    </row>
    <row r="4" spans="2:30" s="15" customFormat="1" ht="13.2">
      <c r="B4" s="766" t="s">
        <v>661</v>
      </c>
      <c r="C4" s="766"/>
      <c r="D4" s="766"/>
      <c r="E4" s="766"/>
      <c r="F4" s="766"/>
      <c r="G4" s="766"/>
      <c r="H4" s="766"/>
      <c r="I4" s="766"/>
      <c r="J4" s="766"/>
      <c r="K4" s="766"/>
      <c r="L4" s="308"/>
      <c r="M4" s="308"/>
      <c r="N4" s="308"/>
      <c r="O4" s="308"/>
      <c r="P4" s="308"/>
      <c r="Q4" s="308"/>
      <c r="R4" s="308"/>
      <c r="S4" s="308"/>
      <c r="T4" s="308"/>
      <c r="U4" s="308"/>
      <c r="V4" s="308"/>
      <c r="W4" s="743"/>
      <c r="X4" s="743"/>
      <c r="Y4" s="743"/>
      <c r="Z4" s="743"/>
      <c r="AA4" s="743"/>
      <c r="AB4" s="743"/>
      <c r="AC4" s="743"/>
      <c r="AD4" s="743"/>
    </row>
    <row r="5" spans="2:30" s="15" customFormat="1" ht="18" customHeight="1">
      <c r="B5" s="766" t="s">
        <v>240</v>
      </c>
      <c r="C5" s="766"/>
      <c r="D5" s="766"/>
      <c r="E5" s="766"/>
      <c r="F5" s="766"/>
      <c r="G5" s="766"/>
      <c r="H5" s="766"/>
      <c r="I5" s="766"/>
      <c r="J5" s="766"/>
      <c r="K5" s="766"/>
      <c r="L5" s="308"/>
      <c r="M5" s="308"/>
      <c r="N5" s="308"/>
      <c r="O5" s="308"/>
      <c r="P5" s="308"/>
      <c r="Q5" s="308"/>
      <c r="R5" s="308"/>
      <c r="S5" s="308"/>
      <c r="T5" s="308"/>
      <c r="U5" s="308"/>
      <c r="V5" s="308"/>
      <c r="W5" s="743"/>
      <c r="X5" s="743"/>
      <c r="Y5" s="743"/>
      <c r="Z5" s="743"/>
      <c r="AA5" s="743"/>
      <c r="AB5" s="743"/>
      <c r="AC5" s="743"/>
      <c r="AD5" s="743"/>
    </row>
    <row r="6" spans="2:30" s="22" customFormat="1" ht="24.75" customHeight="1">
      <c r="B6" s="792" t="s">
        <v>201</v>
      </c>
      <c r="C6" s="829" t="s">
        <v>216</v>
      </c>
      <c r="D6" s="829"/>
      <c r="E6" s="829" t="s">
        <v>176</v>
      </c>
      <c r="F6" s="829"/>
      <c r="G6" s="829" t="s">
        <v>217</v>
      </c>
      <c r="H6" s="829"/>
      <c r="I6" s="792" t="s">
        <v>198</v>
      </c>
      <c r="J6" s="792"/>
      <c r="K6" s="792"/>
      <c r="L6" s="300"/>
      <c r="M6" s="300"/>
      <c r="N6" s="300"/>
      <c r="O6" s="300"/>
      <c r="P6" s="300"/>
      <c r="Q6" s="300"/>
      <c r="R6" s="300"/>
      <c r="S6" s="300"/>
      <c r="T6" s="300"/>
      <c r="U6" s="300"/>
      <c r="V6" s="300"/>
      <c r="W6" s="377"/>
      <c r="X6" s="377"/>
      <c r="Y6" s="377"/>
      <c r="Z6" s="377"/>
      <c r="AA6" s="377"/>
      <c r="AB6" s="377"/>
      <c r="AC6" s="377"/>
      <c r="AD6" s="377"/>
    </row>
    <row r="7" spans="2:30" s="22" customFormat="1" ht="48" customHeight="1">
      <c r="B7" s="792"/>
      <c r="C7" s="309">
        <v>2021</v>
      </c>
      <c r="D7" s="309">
        <v>2022</v>
      </c>
      <c r="E7" s="309">
        <v>2021</v>
      </c>
      <c r="F7" s="309">
        <v>2022</v>
      </c>
      <c r="G7" s="309">
        <v>2021</v>
      </c>
      <c r="H7" s="309">
        <v>2022</v>
      </c>
      <c r="I7" s="309">
        <v>2021</v>
      </c>
      <c r="J7" s="309">
        <v>2022</v>
      </c>
      <c r="K7" s="636" t="s">
        <v>662</v>
      </c>
      <c r="L7" s="300"/>
      <c r="M7" s="300"/>
      <c r="N7" s="300"/>
      <c r="O7" s="300"/>
      <c r="P7" s="300"/>
      <c r="Q7" s="300"/>
      <c r="R7" s="300"/>
      <c r="S7" s="300"/>
      <c r="T7" s="300"/>
      <c r="U7" s="300"/>
      <c r="V7" s="300"/>
      <c r="W7" s="377"/>
      <c r="X7" s="377"/>
      <c r="Y7" s="377"/>
      <c r="Z7" s="377"/>
      <c r="AA7" s="377"/>
      <c r="AB7" s="377"/>
      <c r="AC7" s="377"/>
      <c r="AD7" s="377"/>
    </row>
    <row r="8" spans="2:30" s="22" customFormat="1" ht="15.75" customHeight="1">
      <c r="B8" s="635" t="s">
        <v>203</v>
      </c>
      <c r="C8" s="378">
        <v>190.7912081790758</v>
      </c>
      <c r="D8" s="378">
        <v>296.72220207125514</v>
      </c>
      <c r="E8" s="378">
        <v>195.03810664112387</v>
      </c>
      <c r="F8" s="378">
        <v>302.83298429290295</v>
      </c>
      <c r="G8" s="378">
        <v>199.09104166666665</v>
      </c>
      <c r="H8" s="378">
        <v>304.37498602402354</v>
      </c>
      <c r="I8" s="378">
        <v>194.0952477085016</v>
      </c>
      <c r="J8" s="378">
        <v>300.76105179839061</v>
      </c>
      <c r="K8" s="384">
        <f>J8/I8-1</f>
        <v>0.5495539192700023</v>
      </c>
      <c r="L8" s="300"/>
      <c r="M8" s="381"/>
      <c r="N8" s="300" t="s">
        <v>241</v>
      </c>
      <c r="O8" s="300" t="s">
        <v>176</v>
      </c>
      <c r="P8" s="300" t="s">
        <v>217</v>
      </c>
      <c r="Q8" s="391"/>
      <c r="R8" s="391"/>
      <c r="S8" s="391"/>
      <c r="T8" s="391"/>
      <c r="U8" s="300"/>
      <c r="V8" s="300"/>
      <c r="W8" s="377"/>
      <c r="X8" s="377"/>
      <c r="Y8" s="377"/>
      <c r="Z8" s="377"/>
      <c r="AA8" s="377"/>
      <c r="AB8" s="377"/>
      <c r="AC8" s="377"/>
      <c r="AD8" s="377"/>
    </row>
    <row r="9" spans="2:30" s="22" customFormat="1" ht="15.75" customHeight="1">
      <c r="B9" s="635" t="s">
        <v>204</v>
      </c>
      <c r="C9" s="378">
        <v>194.04661943319834</v>
      </c>
      <c r="D9" s="378">
        <v>298.88499861003208</v>
      </c>
      <c r="E9" s="378">
        <v>197.594057537743</v>
      </c>
      <c r="F9" s="378">
        <v>302.96309112589893</v>
      </c>
      <c r="G9" s="378">
        <v>201.98578373015877</v>
      </c>
      <c r="H9" s="378">
        <v>306.50197736556436</v>
      </c>
      <c r="I9" s="378">
        <v>196.69490219373131</v>
      </c>
      <c r="J9" s="378">
        <v>301.97271149869175</v>
      </c>
      <c r="K9" s="384">
        <f>J9/I9-1</f>
        <v>0.5352340509631961</v>
      </c>
      <c r="L9" s="300"/>
      <c r="M9" s="381">
        <v>44197</v>
      </c>
      <c r="N9" s="391">
        <f t="shared" ref="N9:N20" si="0">C8</f>
        <v>190.7912081790758</v>
      </c>
      <c r="O9" s="391">
        <f t="shared" ref="O9:O20" si="1">E8</f>
        <v>195.03810664112387</v>
      </c>
      <c r="P9" s="391">
        <f t="shared" ref="P9:P20" si="2">G8</f>
        <v>199.09104166666665</v>
      </c>
      <c r="Q9" s="300"/>
      <c r="R9" s="391"/>
      <c r="S9" s="391"/>
      <c r="T9" s="391"/>
      <c r="U9" s="300"/>
      <c r="V9" s="300"/>
      <c r="W9" s="377"/>
      <c r="X9" s="377"/>
      <c r="Y9" s="377"/>
      <c r="Z9" s="377"/>
      <c r="AA9" s="377"/>
      <c r="AB9" s="377"/>
      <c r="AC9" s="377"/>
      <c r="AD9" s="377"/>
    </row>
    <row r="10" spans="2:30" s="22" customFormat="1" ht="15.75" customHeight="1">
      <c r="B10" s="635" t="s">
        <v>205</v>
      </c>
      <c r="C10" s="378">
        <v>195.93255131964807</v>
      </c>
      <c r="D10" s="378">
        <v>304.3157952781043</v>
      </c>
      <c r="E10" s="378">
        <v>201.09551971326164</v>
      </c>
      <c r="F10" s="378">
        <v>308.17002688172045</v>
      </c>
      <c r="G10" s="378">
        <v>203.53825475599669</v>
      </c>
      <c r="H10" s="378">
        <v>310.54892473118281</v>
      </c>
      <c r="I10" s="378">
        <v>199.68956093189965</v>
      </c>
      <c r="J10" s="378">
        <v>306.84014537460752</v>
      </c>
      <c r="K10" s="384">
        <f>J10/I10-1</f>
        <v>0.53658580820481427</v>
      </c>
      <c r="L10" s="300"/>
      <c r="M10" s="381">
        <v>44228</v>
      </c>
      <c r="N10" s="391">
        <f t="shared" si="0"/>
        <v>194.04661943319834</v>
      </c>
      <c r="O10" s="391">
        <f t="shared" si="1"/>
        <v>197.594057537743</v>
      </c>
      <c r="P10" s="391">
        <f t="shared" si="2"/>
        <v>201.98578373015877</v>
      </c>
      <c r="Q10" s="300"/>
      <c r="R10" s="391"/>
      <c r="S10" s="391"/>
      <c r="T10" s="391"/>
      <c r="U10" s="300"/>
      <c r="V10" s="300"/>
      <c r="W10" s="377"/>
      <c r="X10" s="377"/>
      <c r="Y10" s="377"/>
      <c r="Z10" s="377"/>
      <c r="AA10" s="377"/>
      <c r="AB10" s="377"/>
      <c r="AC10" s="377"/>
      <c r="AD10" s="377"/>
    </row>
    <row r="11" spans="2:30" s="22" customFormat="1" ht="15.75" customHeight="1">
      <c r="B11" s="635" t="s">
        <v>206</v>
      </c>
      <c r="C11" s="398">
        <v>200.89111111111114</v>
      </c>
      <c r="D11" s="398">
        <v>318.56333333333328</v>
      </c>
      <c r="E11" s="398">
        <v>205.39523809523808</v>
      </c>
      <c r="F11" s="398">
        <v>319.00555555555559</v>
      </c>
      <c r="G11" s="398">
        <v>208.02047619047619</v>
      </c>
      <c r="H11" s="398">
        <v>309.75833333333333</v>
      </c>
      <c r="I11" s="398">
        <v>205.06735690235692</v>
      </c>
      <c r="J11" s="398">
        <v>315.95068330362449</v>
      </c>
      <c r="K11" s="384">
        <f>J11/I11-1</f>
        <v>0.54071661173291852</v>
      </c>
      <c r="L11" s="300"/>
      <c r="M11" s="381">
        <v>44256</v>
      </c>
      <c r="N11" s="391">
        <f t="shared" si="0"/>
        <v>195.93255131964807</v>
      </c>
      <c r="O11" s="391">
        <f t="shared" si="1"/>
        <v>201.09551971326164</v>
      </c>
      <c r="P11" s="391">
        <f t="shared" si="2"/>
        <v>203.53825475599669</v>
      </c>
      <c r="Q11" s="300"/>
      <c r="R11" s="300"/>
      <c r="S11" s="300"/>
      <c r="T11" s="300"/>
      <c r="U11" s="300"/>
      <c r="V11" s="300"/>
      <c r="W11" s="377"/>
      <c r="X11" s="377"/>
      <c r="Y11" s="377"/>
      <c r="Z11" s="377"/>
      <c r="AA11" s="377"/>
      <c r="AB11" s="377"/>
      <c r="AC11" s="377"/>
      <c r="AD11" s="377"/>
    </row>
    <row r="12" spans="2:30" s="22" customFormat="1" ht="15.75" customHeight="1">
      <c r="B12" s="635" t="s">
        <v>207</v>
      </c>
      <c r="C12" s="398">
        <v>203.28819444444446</v>
      </c>
      <c r="D12" s="398">
        <v>398.56896551724139</v>
      </c>
      <c r="E12" s="398">
        <v>208.30208333333331</v>
      </c>
      <c r="F12" s="398">
        <v>400.54597701149424</v>
      </c>
      <c r="G12" s="398">
        <v>211.36904761904759</v>
      </c>
      <c r="H12" s="398">
        <v>399.67241379310349</v>
      </c>
      <c r="I12" s="398">
        <v>210.09970674486803</v>
      </c>
      <c r="J12" s="398">
        <v>400.28554143980631</v>
      </c>
      <c r="K12" s="384">
        <f t="shared" ref="K12" si="3">J12/I12-1</f>
        <v>0.90521704024027061</v>
      </c>
      <c r="L12" s="300"/>
      <c r="M12" s="381">
        <v>44287</v>
      </c>
      <c r="N12" s="391">
        <f t="shared" si="0"/>
        <v>200.89111111111114</v>
      </c>
      <c r="O12" s="391">
        <f t="shared" si="1"/>
        <v>205.39523809523808</v>
      </c>
      <c r="P12" s="391">
        <f t="shared" si="2"/>
        <v>208.02047619047619</v>
      </c>
      <c r="Q12" s="300"/>
      <c r="R12" s="300"/>
      <c r="S12" s="300"/>
      <c r="T12" s="300"/>
      <c r="U12" s="391"/>
      <c r="V12" s="300"/>
      <c r="W12" s="377"/>
      <c r="X12" s="377"/>
      <c r="Y12" s="377"/>
      <c r="Z12" s="377"/>
      <c r="AA12" s="377"/>
      <c r="AB12" s="377"/>
      <c r="AC12" s="377"/>
      <c r="AD12" s="377"/>
    </row>
    <row r="13" spans="2:30" s="22" customFormat="1" ht="15.75" customHeight="1">
      <c r="B13" s="635" t="s">
        <v>208</v>
      </c>
      <c r="C13" s="398">
        <v>209.24126984126983</v>
      </c>
      <c r="D13" s="398"/>
      <c r="E13" s="398">
        <v>212.06726190476192</v>
      </c>
      <c r="F13" s="398"/>
      <c r="G13" s="398">
        <v>216.07428571428574</v>
      </c>
      <c r="H13" s="398"/>
      <c r="I13" s="398">
        <v>214.99577922077921</v>
      </c>
      <c r="J13" s="398"/>
      <c r="K13" s="384"/>
      <c r="L13" s="300"/>
      <c r="M13" s="381">
        <v>44317</v>
      </c>
      <c r="N13" s="391">
        <f t="shared" si="0"/>
        <v>203.28819444444446</v>
      </c>
      <c r="O13" s="391">
        <f t="shared" si="1"/>
        <v>208.30208333333331</v>
      </c>
      <c r="P13" s="391">
        <f t="shared" si="2"/>
        <v>211.36904761904759</v>
      </c>
      <c r="Q13" s="300"/>
      <c r="R13" s="300"/>
      <c r="S13" s="300"/>
      <c r="T13" s="300"/>
      <c r="U13" s="300"/>
      <c r="V13" s="300"/>
      <c r="W13" s="377"/>
      <c r="X13" s="377"/>
      <c r="Y13" s="377"/>
      <c r="Z13" s="377"/>
      <c r="AA13" s="377"/>
      <c r="AB13" s="377"/>
      <c r="AC13" s="377"/>
      <c r="AD13" s="377"/>
    </row>
    <row r="14" spans="2:30" s="22" customFormat="1" ht="15.75" customHeight="1">
      <c r="B14" s="635" t="s">
        <v>209</v>
      </c>
      <c r="C14" s="398">
        <v>218.50952380952384</v>
      </c>
      <c r="D14" s="398"/>
      <c r="E14" s="398">
        <v>221.21300563236045</v>
      </c>
      <c r="F14" s="398"/>
      <c r="G14" s="398">
        <v>224.66666666666663</v>
      </c>
      <c r="H14" s="398"/>
      <c r="I14" s="398">
        <v>223.89039938556067</v>
      </c>
      <c r="J14" s="398"/>
      <c r="K14" s="384"/>
      <c r="L14" s="300"/>
      <c r="M14" s="381">
        <v>44348</v>
      </c>
      <c r="N14" s="391">
        <f t="shared" si="0"/>
        <v>209.24126984126983</v>
      </c>
      <c r="O14" s="391">
        <f t="shared" si="1"/>
        <v>212.06726190476192</v>
      </c>
      <c r="P14" s="391">
        <f t="shared" si="2"/>
        <v>216.07428571428574</v>
      </c>
      <c r="Q14" s="490"/>
      <c r="R14" s="391"/>
      <c r="S14" s="391"/>
      <c r="T14" s="391"/>
      <c r="U14" s="300"/>
      <c r="V14" s="300"/>
      <c r="W14" s="377"/>
      <c r="X14" s="377"/>
      <c r="Y14" s="377"/>
      <c r="Z14" s="377"/>
      <c r="AA14" s="377"/>
      <c r="AB14" s="377"/>
      <c r="AC14" s="377"/>
      <c r="AD14" s="377"/>
    </row>
    <row r="15" spans="2:30" s="22" customFormat="1" ht="15.75" customHeight="1">
      <c r="B15" s="635" t="s">
        <v>210</v>
      </c>
      <c r="C15" s="378">
        <v>241.22043010752685</v>
      </c>
      <c r="D15" s="378"/>
      <c r="E15" s="378">
        <v>239.81566820276501</v>
      </c>
      <c r="F15" s="378"/>
      <c r="G15" s="378">
        <v>246.98306451612902</v>
      </c>
      <c r="H15" s="378"/>
      <c r="I15" s="378">
        <v>244.85588367675308</v>
      </c>
      <c r="J15" s="378"/>
      <c r="K15" s="384"/>
      <c r="L15" s="300"/>
      <c r="M15" s="381">
        <v>44378</v>
      </c>
      <c r="N15" s="391">
        <f t="shared" si="0"/>
        <v>218.50952380952384</v>
      </c>
      <c r="O15" s="391">
        <f t="shared" si="1"/>
        <v>221.21300563236045</v>
      </c>
      <c r="P15" s="391">
        <f t="shared" si="2"/>
        <v>224.66666666666663</v>
      </c>
      <c r="Q15" s="300"/>
      <c r="R15" s="300"/>
      <c r="S15" s="391"/>
      <c r="T15" s="391"/>
      <c r="U15" s="300"/>
      <c r="V15" s="300"/>
      <c r="W15" s="377"/>
      <c r="X15" s="377"/>
      <c r="Y15" s="377"/>
      <c r="Z15" s="377"/>
      <c r="AA15" s="377"/>
      <c r="AB15" s="377"/>
      <c r="AC15" s="377"/>
      <c r="AD15" s="377"/>
    </row>
    <row r="16" spans="2:30" s="22" customFormat="1" ht="15.75" customHeight="1">
      <c r="B16" s="635" t="s">
        <v>211</v>
      </c>
      <c r="C16" s="378">
        <v>248.58148148148149</v>
      </c>
      <c r="D16" s="378"/>
      <c r="E16" s="378">
        <v>249.5</v>
      </c>
      <c r="F16" s="378"/>
      <c r="G16" s="378">
        <v>256.52333333333331</v>
      </c>
      <c r="H16" s="378"/>
      <c r="I16" s="378">
        <v>255.28937133539188</v>
      </c>
      <c r="J16" s="378"/>
      <c r="K16" s="384"/>
      <c r="L16" s="300"/>
      <c r="M16" s="381">
        <v>44409</v>
      </c>
      <c r="N16" s="391">
        <f t="shared" si="0"/>
        <v>241.22043010752685</v>
      </c>
      <c r="O16" s="391">
        <f t="shared" si="1"/>
        <v>239.81566820276501</v>
      </c>
      <c r="P16" s="391">
        <f t="shared" si="2"/>
        <v>246.98306451612902</v>
      </c>
      <c r="Q16" s="300"/>
      <c r="R16" s="300"/>
      <c r="S16" s="391"/>
      <c r="T16" s="391"/>
      <c r="U16" s="627"/>
      <c r="V16" s="627"/>
      <c r="W16" s="744"/>
      <c r="X16" s="377"/>
      <c r="Y16" s="377"/>
      <c r="Z16" s="377"/>
      <c r="AA16" s="377"/>
      <c r="AB16" s="377"/>
      <c r="AC16" s="377"/>
      <c r="AD16" s="377"/>
    </row>
    <row r="17" spans="2:30" s="22" customFormat="1" ht="15.75" customHeight="1">
      <c r="B17" s="635" t="s">
        <v>212</v>
      </c>
      <c r="C17" s="378">
        <v>265.85483870967744</v>
      </c>
      <c r="D17" s="378"/>
      <c r="E17" s="378">
        <v>264.58774845226452</v>
      </c>
      <c r="F17" s="378"/>
      <c r="G17" s="378">
        <v>274.62598566308242</v>
      </c>
      <c r="H17" s="378"/>
      <c r="I17" s="378">
        <v>272.56445652433064</v>
      </c>
      <c r="J17" s="742"/>
      <c r="K17" s="384"/>
      <c r="L17" s="300"/>
      <c r="M17" s="381">
        <v>44440</v>
      </c>
      <c r="N17" s="391">
        <f t="shared" si="0"/>
        <v>248.58148148148149</v>
      </c>
      <c r="O17" s="391">
        <f t="shared" si="1"/>
        <v>249.5</v>
      </c>
      <c r="P17" s="391">
        <f t="shared" si="2"/>
        <v>256.52333333333331</v>
      </c>
      <c r="Q17" s="300"/>
      <c r="R17" s="391"/>
      <c r="S17" s="391"/>
      <c r="T17" s="391"/>
      <c r="U17" s="627"/>
      <c r="V17" s="627"/>
      <c r="W17" s="744"/>
      <c r="X17" s="377"/>
      <c r="Y17" s="377"/>
      <c r="Z17" s="377"/>
      <c r="AA17" s="377"/>
      <c r="AB17" s="377"/>
      <c r="AC17" s="377"/>
      <c r="AD17" s="377"/>
    </row>
    <row r="18" spans="2:30" s="22" customFormat="1" ht="15.75" customHeight="1">
      <c r="B18" s="635" t="s">
        <v>196</v>
      </c>
      <c r="C18" s="378">
        <v>264.04166666666669</v>
      </c>
      <c r="D18" s="378"/>
      <c r="E18" s="378">
        <v>265.03777777777776</v>
      </c>
      <c r="F18" s="378"/>
      <c r="G18" s="378">
        <v>279.125</v>
      </c>
      <c r="H18" s="378"/>
      <c r="I18" s="378">
        <v>271.44920634920635</v>
      </c>
      <c r="J18" s="742"/>
      <c r="K18" s="384"/>
      <c r="L18" s="300"/>
      <c r="M18" s="381">
        <v>44470</v>
      </c>
      <c r="N18" s="391">
        <f t="shared" si="0"/>
        <v>265.85483870967744</v>
      </c>
      <c r="O18" s="391">
        <f t="shared" si="1"/>
        <v>264.58774845226452</v>
      </c>
      <c r="P18" s="391">
        <f t="shared" si="2"/>
        <v>274.62598566308242</v>
      </c>
      <c r="Q18" s="300"/>
      <c r="R18" s="391"/>
      <c r="S18" s="391"/>
      <c r="T18" s="391"/>
      <c r="U18" s="627"/>
      <c r="V18" s="627"/>
      <c r="W18" s="744"/>
      <c r="X18" s="377"/>
      <c r="Y18" s="377"/>
      <c r="Z18" s="377"/>
      <c r="AA18" s="377"/>
      <c r="AB18" s="377"/>
      <c r="AC18" s="377"/>
      <c r="AD18" s="377"/>
    </row>
    <row r="19" spans="2:30" s="22" customFormat="1" ht="15.75" customHeight="1">
      <c r="B19" s="635" t="s">
        <v>197</v>
      </c>
      <c r="C19" s="378">
        <v>296.86307435254804</v>
      </c>
      <c r="D19" s="378"/>
      <c r="E19" s="378">
        <v>302.93791341508734</v>
      </c>
      <c r="F19" s="378"/>
      <c r="G19" s="378">
        <v>305.78578042328041</v>
      </c>
      <c r="H19" s="378"/>
      <c r="I19" s="378">
        <v>300.02992706302962</v>
      </c>
      <c r="J19" s="742"/>
      <c r="K19" s="384"/>
      <c r="L19" s="300"/>
      <c r="M19" s="381">
        <v>44501</v>
      </c>
      <c r="N19" s="391">
        <f t="shared" si="0"/>
        <v>264.04166666666669</v>
      </c>
      <c r="O19" s="391">
        <f t="shared" si="1"/>
        <v>265.03777777777776</v>
      </c>
      <c r="P19" s="391">
        <f t="shared" si="2"/>
        <v>279.125</v>
      </c>
      <c r="Q19" s="491"/>
      <c r="R19" s="391"/>
      <c r="S19" s="391"/>
      <c r="T19" s="391"/>
      <c r="U19" s="300"/>
      <c r="V19" s="300"/>
      <c r="W19" s="377"/>
      <c r="X19" s="377"/>
      <c r="Y19" s="377"/>
      <c r="Z19" s="377"/>
      <c r="AA19" s="377"/>
      <c r="AB19" s="377"/>
      <c r="AC19" s="377"/>
      <c r="AD19" s="377"/>
    </row>
    <row r="20" spans="2:30" s="22" customFormat="1" ht="21.75" customHeight="1">
      <c r="B20" s="863" t="s">
        <v>242</v>
      </c>
      <c r="C20" s="863"/>
      <c r="D20" s="863"/>
      <c r="E20" s="863"/>
      <c r="F20" s="863"/>
      <c r="G20" s="863"/>
      <c r="H20" s="863"/>
      <c r="I20" s="863"/>
      <c r="J20" s="863"/>
      <c r="K20" s="863"/>
      <c r="L20" s="300"/>
      <c r="M20" s="381">
        <v>44531</v>
      </c>
      <c r="N20" s="391">
        <f t="shared" si="0"/>
        <v>296.86307435254804</v>
      </c>
      <c r="O20" s="391">
        <f t="shared" si="1"/>
        <v>302.93791341508734</v>
      </c>
      <c r="P20" s="391">
        <f t="shared" si="2"/>
        <v>305.78578042328041</v>
      </c>
      <c r="Q20" s="300"/>
      <c r="R20" s="391"/>
      <c r="S20" s="391"/>
      <c r="T20" s="391"/>
      <c r="U20" s="300"/>
      <c r="V20" s="300"/>
      <c r="W20" s="377"/>
      <c r="X20" s="377"/>
      <c r="Y20" s="377"/>
      <c r="Z20" s="377"/>
      <c r="AA20" s="377"/>
      <c r="AB20" s="377"/>
      <c r="AC20" s="377"/>
      <c r="AD20" s="377"/>
    </row>
    <row r="21" spans="2:30" s="22" customFormat="1" ht="13.2">
      <c r="B21" s="1"/>
      <c r="C21" s="421"/>
      <c r="D21" s="421"/>
      <c r="G21" s="216"/>
      <c r="H21" s="216"/>
      <c r="I21" s="36"/>
      <c r="J21" s="36"/>
      <c r="K21" s="56"/>
      <c r="L21" s="300"/>
      <c r="M21" s="381">
        <v>44562</v>
      </c>
      <c r="N21" s="391">
        <f>D8</f>
        <v>296.72220207125514</v>
      </c>
      <c r="O21" s="391">
        <f>F8</f>
        <v>302.83298429290295</v>
      </c>
      <c r="P21" s="391">
        <f>H8</f>
        <v>304.37498602402354</v>
      </c>
      <c r="Q21" s="300"/>
      <c r="R21" s="300"/>
      <c r="S21" s="300"/>
      <c r="T21" s="300"/>
      <c r="U21" s="300"/>
      <c r="V21" s="300"/>
      <c r="W21" s="377"/>
      <c r="X21" s="377"/>
      <c r="Y21" s="377"/>
      <c r="Z21" s="377"/>
      <c r="AA21" s="377"/>
      <c r="AB21" s="377"/>
      <c r="AC21" s="377"/>
      <c r="AD21" s="377"/>
    </row>
    <row r="22" spans="2:30" ht="17.399999999999999">
      <c r="C22" s="299"/>
      <c r="D22" s="422"/>
      <c r="E22" s="299"/>
      <c r="F22" s="422"/>
      <c r="G22" s="299"/>
      <c r="H22" s="422"/>
      <c r="I22" s="299"/>
      <c r="J22" s="299"/>
      <c r="M22" s="381">
        <v>44593</v>
      </c>
      <c r="N22" s="391">
        <f t="shared" ref="N22:N23" si="4">D9</f>
        <v>298.88499861003208</v>
      </c>
      <c r="O22" s="391">
        <f t="shared" ref="O22:O23" si="5">F9</f>
        <v>302.96309112589893</v>
      </c>
      <c r="P22" s="391">
        <f t="shared" ref="P22:P23" si="6">H9</f>
        <v>306.50197736556436</v>
      </c>
    </row>
    <row r="23" spans="2:30" s="22" customFormat="1" ht="20.399999999999999" customHeight="1">
      <c r="L23" s="300"/>
      <c r="M23" s="381">
        <v>44621</v>
      </c>
      <c r="N23" s="391">
        <f t="shared" si="4"/>
        <v>304.3157952781043</v>
      </c>
      <c r="O23" s="391">
        <f t="shared" si="5"/>
        <v>308.17002688172045</v>
      </c>
      <c r="P23" s="391">
        <f t="shared" si="6"/>
        <v>310.54892473118281</v>
      </c>
      <c r="Q23" s="300"/>
      <c r="R23" s="300"/>
      <c r="S23" s="300"/>
      <c r="T23" s="300"/>
      <c r="U23" s="300"/>
      <c r="V23" s="300"/>
      <c r="W23" s="377"/>
      <c r="X23" s="377"/>
      <c r="Y23" s="377"/>
      <c r="Z23" s="377"/>
      <c r="AA23" s="377"/>
      <c r="AB23" s="377"/>
      <c r="AC23" s="377"/>
      <c r="AD23" s="377"/>
    </row>
    <row r="24" spans="2:30" s="22" customFormat="1" ht="20.399999999999999" customHeight="1">
      <c r="L24" s="300"/>
      <c r="M24" s="381">
        <v>44652</v>
      </c>
      <c r="N24" s="391">
        <f t="shared" ref="N24" si="7">D11</f>
        <v>318.56333333333328</v>
      </c>
      <c r="O24" s="391">
        <f t="shared" ref="O24" si="8">F11</f>
        <v>319.00555555555559</v>
      </c>
      <c r="P24" s="391">
        <f t="shared" ref="P24" si="9">H11</f>
        <v>309.75833333333333</v>
      </c>
      <c r="Q24" s="300"/>
      <c r="R24" s="300"/>
      <c r="S24" s="300"/>
      <c r="T24" s="300"/>
      <c r="U24" s="300"/>
      <c r="V24" s="300"/>
      <c r="W24" s="377"/>
      <c r="X24" s="377"/>
      <c r="Y24" s="377"/>
      <c r="Z24" s="377"/>
      <c r="AA24" s="377"/>
      <c r="AB24" s="377"/>
      <c r="AC24" s="377"/>
      <c r="AD24" s="377"/>
    </row>
    <row r="25" spans="2:30" s="22" customFormat="1" ht="20.399999999999999" customHeight="1">
      <c r="L25" s="300"/>
      <c r="M25" s="381">
        <v>44682</v>
      </c>
      <c r="N25" s="391">
        <f t="shared" ref="N25" si="10">D12</f>
        <v>398.56896551724139</v>
      </c>
      <c r="O25" s="391">
        <f t="shared" ref="O25" si="11">F12</f>
        <v>400.54597701149424</v>
      </c>
      <c r="P25" s="391">
        <f t="shared" ref="P25" si="12">H12</f>
        <v>399.67241379310349</v>
      </c>
      <c r="Q25" s="300"/>
      <c r="R25" s="300"/>
      <c r="S25" s="300"/>
      <c r="T25" s="300"/>
      <c r="U25" s="300"/>
      <c r="V25" s="300"/>
      <c r="W25" s="377"/>
      <c r="X25" s="377"/>
      <c r="Y25" s="377"/>
      <c r="Z25" s="377"/>
      <c r="AA25" s="377"/>
      <c r="AB25" s="377"/>
      <c r="AC25" s="377"/>
      <c r="AD25" s="377"/>
    </row>
    <row r="26" spans="2:30" s="22" customFormat="1" ht="20.399999999999999" customHeight="1">
      <c r="L26" s="300"/>
      <c r="M26" s="381">
        <v>44713</v>
      </c>
      <c r="N26" s="391"/>
      <c r="O26" s="391"/>
      <c r="P26" s="391"/>
      <c r="Q26" s="300"/>
      <c r="R26" s="300"/>
      <c r="S26" s="300"/>
      <c r="T26" s="300"/>
      <c r="U26" s="300"/>
      <c r="V26" s="300"/>
      <c r="W26" s="377"/>
      <c r="X26" s="377"/>
      <c r="Y26" s="377"/>
      <c r="Z26" s="377"/>
      <c r="AA26" s="377"/>
      <c r="AB26" s="377"/>
      <c r="AC26" s="377"/>
      <c r="AD26" s="377"/>
    </row>
    <row r="27" spans="2:30" s="22" customFormat="1" ht="20.399999999999999" customHeight="1">
      <c r="L27" s="300"/>
      <c r="M27" s="381">
        <v>44743</v>
      </c>
      <c r="N27" s="391"/>
      <c r="O27" s="391"/>
      <c r="P27" s="391"/>
      <c r="Q27" s="300"/>
      <c r="R27" s="300"/>
      <c r="S27" s="300"/>
      <c r="T27" s="300"/>
      <c r="U27" s="300"/>
      <c r="V27" s="300"/>
      <c r="W27" s="377"/>
      <c r="X27" s="377"/>
      <c r="Y27" s="377"/>
      <c r="Z27" s="377"/>
      <c r="AA27" s="377"/>
      <c r="AB27" s="377"/>
      <c r="AC27" s="377"/>
      <c r="AD27" s="377"/>
    </row>
    <row r="28" spans="2:30" s="22" customFormat="1" ht="20.399999999999999" customHeight="1">
      <c r="L28" s="300"/>
      <c r="M28" s="381">
        <v>44774</v>
      </c>
      <c r="N28" s="391"/>
      <c r="O28" s="391"/>
      <c r="P28" s="391"/>
      <c r="Q28" s="300"/>
      <c r="R28" s="300"/>
      <c r="S28" s="300"/>
      <c r="T28" s="300"/>
      <c r="U28" s="300"/>
      <c r="V28" s="300"/>
      <c r="W28" s="377"/>
      <c r="X28" s="377"/>
      <c r="Y28" s="377"/>
      <c r="Z28" s="377"/>
      <c r="AA28" s="377"/>
      <c r="AB28" s="377"/>
      <c r="AC28" s="377"/>
      <c r="AD28" s="377"/>
    </row>
    <row r="29" spans="2:30" s="22" customFormat="1" ht="20.399999999999999" customHeight="1">
      <c r="L29" s="300"/>
      <c r="M29" s="381">
        <v>44805</v>
      </c>
      <c r="N29" s="391"/>
      <c r="O29" s="391"/>
      <c r="P29" s="391"/>
      <c r="Q29" s="300"/>
      <c r="R29" s="300"/>
      <c r="S29" s="300"/>
      <c r="T29" s="300"/>
      <c r="U29" s="300"/>
      <c r="V29" s="300"/>
      <c r="W29" s="377"/>
      <c r="X29" s="377"/>
      <c r="Y29" s="377"/>
      <c r="Z29" s="377"/>
      <c r="AA29" s="377"/>
      <c r="AB29" s="377"/>
      <c r="AC29" s="377"/>
      <c r="AD29" s="377"/>
    </row>
    <row r="30" spans="2:30" s="22" customFormat="1" ht="20.399999999999999" customHeight="1">
      <c r="L30" s="300"/>
      <c r="M30" s="381">
        <v>44835</v>
      </c>
      <c r="N30" s="391"/>
      <c r="O30" s="391"/>
      <c r="P30" s="391"/>
      <c r="Q30" s="300"/>
      <c r="R30" s="300"/>
      <c r="S30" s="300"/>
      <c r="T30" s="300"/>
      <c r="U30" s="300"/>
      <c r="V30" s="300"/>
      <c r="W30" s="377"/>
      <c r="X30" s="377"/>
      <c r="Y30" s="377"/>
      <c r="Z30" s="377"/>
      <c r="AA30" s="377"/>
      <c r="AB30" s="377"/>
      <c r="AC30" s="377"/>
      <c r="AD30" s="377"/>
    </row>
    <row r="31" spans="2:30" s="22" customFormat="1" ht="20.399999999999999" customHeight="1">
      <c r="B31" s="1"/>
      <c r="L31" s="300"/>
      <c r="M31" s="381">
        <v>44866</v>
      </c>
      <c r="N31" s="391"/>
      <c r="O31" s="391"/>
      <c r="P31" s="391"/>
      <c r="Q31" s="300"/>
      <c r="R31" s="300"/>
      <c r="S31" s="300"/>
      <c r="T31" s="300"/>
      <c r="U31" s="300"/>
      <c r="V31" s="300"/>
      <c r="W31" s="377"/>
      <c r="X31" s="377"/>
      <c r="Y31" s="377"/>
      <c r="Z31" s="377"/>
      <c r="AA31" s="377"/>
      <c r="AB31" s="377"/>
      <c r="AC31" s="377"/>
      <c r="AD31" s="377"/>
    </row>
    <row r="32" spans="2:30" ht="20.399999999999999" customHeight="1">
      <c r="B32" s="423"/>
      <c r="M32" s="381">
        <v>44896</v>
      </c>
    </row>
    <row r="33" spans="2:13" ht="20.399999999999999" customHeight="1">
      <c r="B33" s="862" t="s">
        <v>242</v>
      </c>
      <c r="C33" s="862"/>
      <c r="D33" s="862"/>
      <c r="E33" s="862"/>
      <c r="F33" s="862"/>
      <c r="G33" s="862"/>
      <c r="H33" s="862"/>
      <c r="I33" s="862"/>
      <c r="J33" s="862"/>
      <c r="K33" s="862"/>
      <c r="M33" s="381">
        <v>44927</v>
      </c>
    </row>
    <row r="34" spans="2:13" ht="20.399999999999999" customHeight="1">
      <c r="M34" s="381">
        <v>44958</v>
      </c>
    </row>
    <row r="35" spans="2:13" ht="20.399999999999999" customHeight="1">
      <c r="M35" s="381">
        <v>44986</v>
      </c>
    </row>
    <row r="36" spans="2:13" ht="20.399999999999999" customHeight="1">
      <c r="M36" s="381">
        <v>45017</v>
      </c>
    </row>
    <row r="37" spans="2:13" ht="20.399999999999999" customHeight="1">
      <c r="M37" s="381">
        <v>45047</v>
      </c>
    </row>
    <row r="38" spans="2:13" ht="20.399999999999999" customHeight="1"/>
    <row r="39" spans="2:13" ht="20.399999999999999" customHeight="1"/>
    <row r="49" ht="13.8" customHeight="1"/>
    <row r="50" ht="13.8" customHeight="1"/>
    <row r="51" ht="13.8" customHeight="1"/>
    <row r="52" ht="13.8"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 right="0" top="0" bottom="0" header="0" footer="0"/>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D80"/>
  <sheetViews>
    <sheetView zoomScaleNormal="100" zoomScaleSheetLayoutView="75" workbookViewId="0">
      <selection activeCell="X6" sqref="X6"/>
    </sheetView>
  </sheetViews>
  <sheetFormatPr baseColWidth="10" defaultColWidth="10.921875" defaultRowHeight="11.4"/>
  <cols>
    <col min="1" max="1" width="1.3046875" style="1" customWidth="1"/>
    <col min="2" max="2" width="10.3828125" style="1" customWidth="1"/>
    <col min="3" max="3" width="4.3046875" style="1" customWidth="1"/>
    <col min="4" max="4" width="4.69140625" style="1" customWidth="1"/>
    <col min="5" max="6" width="6.15234375" style="1" bestFit="1" customWidth="1"/>
    <col min="7" max="7" width="3.3046875" style="1" bestFit="1" customWidth="1"/>
    <col min="8" max="8" width="6.15234375" style="1" bestFit="1" customWidth="1"/>
    <col min="9" max="9" width="4.07421875" style="1" customWidth="1"/>
    <col min="10" max="10" width="3.921875" style="1" customWidth="1"/>
    <col min="11" max="11" width="4.69140625" style="1" customWidth="1"/>
    <col min="12" max="13" width="3.3046875" style="1" bestFit="1" customWidth="1"/>
    <col min="14" max="14" width="4.07421875" style="1" customWidth="1"/>
    <col min="15" max="15" width="3.07421875" style="1" customWidth="1"/>
    <col min="16" max="17" width="5.69140625" style="1" customWidth="1"/>
    <col min="18" max="25" width="5.69140625" style="618" customWidth="1"/>
    <col min="26" max="26" width="4.921875" style="618" customWidth="1"/>
    <col min="27" max="27" width="4.765625" style="618" customWidth="1"/>
    <col min="28" max="30" width="10.921875" style="618"/>
    <col min="31" max="16384" width="10.921875" style="1"/>
  </cols>
  <sheetData>
    <row r="1" spans="2:30" s="15" customFormat="1" ht="13.2">
      <c r="B1" s="766" t="s">
        <v>243</v>
      </c>
      <c r="C1" s="766"/>
      <c r="D1" s="766"/>
      <c r="E1" s="766"/>
      <c r="F1" s="766"/>
      <c r="G1" s="766"/>
      <c r="H1" s="766"/>
      <c r="I1" s="766"/>
      <c r="J1" s="766"/>
      <c r="K1" s="766"/>
      <c r="L1" s="766"/>
      <c r="M1" s="766"/>
      <c r="N1" s="766"/>
      <c r="R1" s="611"/>
      <c r="S1" s="611"/>
      <c r="T1" s="611"/>
      <c r="U1" s="611"/>
      <c r="V1" s="611"/>
      <c r="W1" s="611"/>
      <c r="X1" s="611"/>
      <c r="Y1" s="611"/>
      <c r="Z1" s="611"/>
      <c r="AA1" s="611"/>
      <c r="AB1" s="611"/>
      <c r="AC1" s="611"/>
      <c r="AD1" s="611"/>
    </row>
    <row r="2" spans="2:30" s="15" customFormat="1" ht="13.2">
      <c r="B2" s="17"/>
      <c r="C2" s="17"/>
      <c r="D2" s="17"/>
      <c r="E2" s="17"/>
      <c r="F2" s="17"/>
      <c r="G2" s="17"/>
      <c r="H2" s="17"/>
      <c r="I2" s="17"/>
      <c r="J2" s="17"/>
      <c r="K2" s="17"/>
      <c r="L2" s="17"/>
      <c r="M2" s="17"/>
      <c r="N2" s="17"/>
      <c r="R2" s="611"/>
      <c r="S2" s="611"/>
      <c r="T2" s="611"/>
      <c r="U2" s="611"/>
      <c r="V2" s="611"/>
      <c r="W2" s="611"/>
      <c r="X2" s="611"/>
      <c r="Y2" s="611"/>
      <c r="Z2" s="611"/>
      <c r="AA2" s="611"/>
      <c r="AB2" s="611"/>
      <c r="AC2" s="611"/>
      <c r="AD2" s="611"/>
    </row>
    <row r="3" spans="2:30" s="15" customFormat="1" ht="18.3" customHeight="1">
      <c r="B3" s="766" t="s">
        <v>244</v>
      </c>
      <c r="C3" s="766"/>
      <c r="D3" s="766"/>
      <c r="E3" s="766"/>
      <c r="F3" s="766"/>
      <c r="G3" s="766"/>
      <c r="H3" s="766"/>
      <c r="I3" s="766"/>
      <c r="J3" s="766"/>
      <c r="K3" s="766"/>
      <c r="L3" s="766"/>
      <c r="M3" s="766"/>
      <c r="N3" s="766"/>
      <c r="R3" s="611"/>
      <c r="S3" s="611"/>
      <c r="T3" s="611"/>
      <c r="U3" s="611"/>
      <c r="V3" s="611"/>
      <c r="W3" s="611"/>
      <c r="X3" s="611"/>
      <c r="Y3" s="611"/>
      <c r="Z3" s="611"/>
      <c r="AA3" s="611"/>
      <c r="AB3" s="611"/>
      <c r="AC3" s="611"/>
      <c r="AD3" s="611"/>
    </row>
    <row r="4" spans="2:30" s="15" customFormat="1" ht="17.25" customHeight="1">
      <c r="B4" s="766" t="s">
        <v>240</v>
      </c>
      <c r="C4" s="766"/>
      <c r="D4" s="766"/>
      <c r="E4" s="766"/>
      <c r="F4" s="766"/>
      <c r="G4" s="766"/>
      <c r="H4" s="766"/>
      <c r="I4" s="766"/>
      <c r="J4" s="766"/>
      <c r="K4" s="766"/>
      <c r="L4" s="766"/>
      <c r="M4" s="766"/>
      <c r="N4" s="766"/>
      <c r="R4" s="611"/>
      <c r="S4" s="611"/>
      <c r="T4" s="611"/>
      <c r="U4" s="611"/>
      <c r="V4" s="611"/>
      <c r="W4" s="611"/>
      <c r="X4" s="611"/>
      <c r="Y4" s="611"/>
      <c r="Z4" s="611"/>
      <c r="AA4" s="611"/>
      <c r="AB4" s="611"/>
      <c r="AC4" s="611"/>
      <c r="AD4" s="611"/>
    </row>
    <row r="5" spans="2:30" s="14" customFormat="1" ht="35.700000000000003" customHeight="1">
      <c r="B5" s="853" t="s">
        <v>201</v>
      </c>
      <c r="C5" s="865" t="s">
        <v>245</v>
      </c>
      <c r="D5" s="865"/>
      <c r="E5" s="865" t="s">
        <v>246</v>
      </c>
      <c r="F5" s="865"/>
      <c r="G5" s="865" t="s">
        <v>247</v>
      </c>
      <c r="H5" s="865"/>
      <c r="I5" s="865" t="s">
        <v>248</v>
      </c>
      <c r="J5" s="865"/>
      <c r="K5" s="865" t="s">
        <v>249</v>
      </c>
      <c r="L5" s="865"/>
      <c r="M5" s="866" t="s">
        <v>157</v>
      </c>
      <c r="N5" s="866"/>
      <c r="O5" s="310"/>
      <c r="P5" s="20"/>
      <c r="Q5" s="22"/>
      <c r="R5" s="612"/>
      <c r="S5" s="612"/>
      <c r="T5" s="613"/>
      <c r="U5" s="612"/>
      <c r="V5" s="612"/>
      <c r="W5" s="612"/>
      <c r="X5" s="612"/>
      <c r="Y5" s="612"/>
      <c r="Z5" s="612"/>
      <c r="AA5" s="612"/>
      <c r="AB5" s="612"/>
      <c r="AC5" s="612"/>
      <c r="AD5" s="612"/>
    </row>
    <row r="6" spans="2:30" s="14" customFormat="1" ht="42" customHeight="1">
      <c r="B6" s="853"/>
      <c r="C6" s="309">
        <v>2021</v>
      </c>
      <c r="D6" s="309">
        <v>2022</v>
      </c>
      <c r="E6" s="309">
        <v>2021</v>
      </c>
      <c r="F6" s="309">
        <v>2022</v>
      </c>
      <c r="G6" s="309">
        <v>2021</v>
      </c>
      <c r="H6" s="309">
        <v>2022</v>
      </c>
      <c r="I6" s="309">
        <v>2021</v>
      </c>
      <c r="J6" s="309">
        <v>2022</v>
      </c>
      <c r="K6" s="309">
        <v>2021</v>
      </c>
      <c r="L6" s="309">
        <v>2022</v>
      </c>
      <c r="M6" s="309">
        <v>2021</v>
      </c>
      <c r="N6" s="309">
        <v>2022</v>
      </c>
      <c r="O6" s="22"/>
      <c r="P6" s="22"/>
      <c r="Q6" s="22"/>
      <c r="R6" s="612"/>
      <c r="S6" s="612"/>
      <c r="T6" s="612"/>
      <c r="U6" s="612"/>
      <c r="V6" s="612"/>
      <c r="W6" s="612"/>
      <c r="X6" s="612"/>
      <c r="Y6" s="612"/>
      <c r="Z6" s="612"/>
      <c r="AA6" s="612"/>
      <c r="AB6" s="612"/>
      <c r="AC6" s="612"/>
      <c r="AD6" s="612"/>
    </row>
    <row r="7" spans="2:30" s="14" customFormat="1" ht="15.75" customHeight="1">
      <c r="B7" s="24" t="s">
        <v>203</v>
      </c>
      <c r="C7" s="434">
        <v>205.9375</v>
      </c>
      <c r="D7" s="434">
        <v>311.08832565284177</v>
      </c>
      <c r="E7" s="434">
        <v>193.80454545454549</v>
      </c>
      <c r="F7" s="434">
        <v>298.97258064516132</v>
      </c>
      <c r="G7" s="434">
        <v>191.33333333333331</v>
      </c>
      <c r="H7" s="434">
        <v>290.39032258064515</v>
      </c>
      <c r="I7" s="434">
        <v>190.6875</v>
      </c>
      <c r="J7" s="434">
        <v>302.01136712749621</v>
      </c>
      <c r="K7" s="434">
        <v>188.66666666666669</v>
      </c>
      <c r="L7" s="434">
        <v>298.35591133004925</v>
      </c>
      <c r="M7" s="434">
        <v>195.03810664112387</v>
      </c>
      <c r="N7" s="434">
        <v>302.83298429290295</v>
      </c>
      <c r="O7" s="22"/>
      <c r="P7" s="22"/>
      <c r="Q7" s="22"/>
      <c r="R7" s="612"/>
      <c r="S7" s="614"/>
      <c r="T7" s="614"/>
      <c r="U7" s="614"/>
      <c r="V7" s="614"/>
      <c r="W7" s="614"/>
      <c r="X7" s="614"/>
      <c r="Y7" s="614"/>
      <c r="Z7" s="614"/>
      <c r="AA7" s="614"/>
      <c r="AB7" s="614"/>
      <c r="AC7" s="614"/>
      <c r="AD7" s="614"/>
    </row>
    <row r="8" spans="2:30" s="14" customFormat="1" ht="15.75" customHeight="1">
      <c r="B8" s="24" t="s">
        <v>204</v>
      </c>
      <c r="C8" s="434">
        <v>213.75</v>
      </c>
      <c r="D8" s="434">
        <v>314.15816326530614</v>
      </c>
      <c r="E8" s="434">
        <v>195.34920634920633</v>
      </c>
      <c r="F8" s="434">
        <v>297.27023809523814</v>
      </c>
      <c r="G8" s="434">
        <v>194.20833333333331</v>
      </c>
      <c r="H8" s="434">
        <v>295.36488095238099</v>
      </c>
      <c r="I8" s="434">
        <v>193.21250000000001</v>
      </c>
      <c r="J8" s="434">
        <v>300.20408163265307</v>
      </c>
      <c r="K8" s="434">
        <v>196.71845238095241</v>
      </c>
      <c r="L8" s="434">
        <v>307.44982993197283</v>
      </c>
      <c r="M8" s="434">
        <v>197.594057537743</v>
      </c>
      <c r="N8" s="434">
        <v>302.96309112589893</v>
      </c>
      <c r="O8" s="22"/>
      <c r="P8" s="22"/>
      <c r="Q8" s="22"/>
      <c r="R8" s="612"/>
      <c r="S8" s="614"/>
      <c r="T8" s="614"/>
      <c r="U8" s="614"/>
      <c r="V8" s="614"/>
      <c r="W8" s="614"/>
      <c r="X8" s="614"/>
      <c r="Y8" s="614"/>
      <c r="Z8" s="614"/>
      <c r="AA8" s="614"/>
      <c r="AB8" s="614"/>
      <c r="AC8" s="614"/>
      <c r="AD8" s="614"/>
    </row>
    <row r="9" spans="2:30" s="14" customFormat="1" ht="15.75" customHeight="1">
      <c r="B9" s="24" t="s">
        <v>205</v>
      </c>
      <c r="C9" s="434">
        <v>0</v>
      </c>
      <c r="D9" s="434">
        <v>321.02150537634407</v>
      </c>
      <c r="E9" s="434">
        <v>198</v>
      </c>
      <c r="F9" s="434">
        <v>305.41935483870964</v>
      </c>
      <c r="G9" s="434">
        <v>198.19892473118279</v>
      </c>
      <c r="H9" s="434">
        <v>295.25</v>
      </c>
      <c r="I9" s="434">
        <v>198.51612903225808</v>
      </c>
      <c r="J9" s="434">
        <v>298.53333333333336</v>
      </c>
      <c r="K9" s="434">
        <v>201.6021505376344</v>
      </c>
      <c r="L9" s="434">
        <v>308.16129032258067</v>
      </c>
      <c r="M9" s="434">
        <v>201.09551971326164</v>
      </c>
      <c r="N9" s="434">
        <v>308.17002688172045</v>
      </c>
      <c r="O9" s="22"/>
      <c r="P9" s="624"/>
      <c r="Q9" s="22"/>
      <c r="R9" s="612"/>
      <c r="S9" s="614"/>
      <c r="T9" s="614"/>
      <c r="U9" s="614"/>
      <c r="V9" s="614"/>
      <c r="W9" s="614"/>
      <c r="X9" s="614"/>
      <c r="Y9" s="614"/>
      <c r="Z9" s="614"/>
      <c r="AA9" s="614"/>
      <c r="AB9" s="614"/>
      <c r="AC9" s="614"/>
      <c r="AD9" s="614"/>
    </row>
    <row r="10" spans="2:30" s="14" customFormat="1" ht="15.75" customHeight="1">
      <c r="B10" s="24" t="s">
        <v>206</v>
      </c>
      <c r="C10" s="434">
        <v>0</v>
      </c>
      <c r="D10" s="434">
        <v>321.66666666666669</v>
      </c>
      <c r="E10" s="434"/>
      <c r="F10" s="434">
        <v>308</v>
      </c>
      <c r="G10" s="434">
        <v>203.48888888888888</v>
      </c>
      <c r="H10" s="434"/>
      <c r="I10" s="434">
        <v>201</v>
      </c>
      <c r="J10" s="434">
        <v>350</v>
      </c>
      <c r="K10" s="434">
        <v>201</v>
      </c>
      <c r="L10" s="434">
        <v>317</v>
      </c>
      <c r="M10" s="434">
        <v>205.39523809523808</v>
      </c>
      <c r="N10" s="434">
        <v>319.00555555555559</v>
      </c>
      <c r="O10" s="22"/>
      <c r="P10" s="26"/>
      <c r="Q10" s="22"/>
      <c r="R10" s="612"/>
      <c r="S10" s="614"/>
      <c r="T10" s="614"/>
      <c r="U10" s="614"/>
      <c r="V10" s="614"/>
      <c r="W10" s="614"/>
      <c r="X10" s="614"/>
      <c r="Y10" s="614"/>
      <c r="Z10" s="614"/>
      <c r="AA10" s="614"/>
      <c r="AB10" s="614"/>
      <c r="AC10" s="614"/>
      <c r="AD10" s="614"/>
    </row>
    <row r="11" spans="2:30" s="14" customFormat="1" ht="15.75" customHeight="1">
      <c r="B11" s="24" t="s">
        <v>207</v>
      </c>
      <c r="C11" s="434">
        <v>0</v>
      </c>
      <c r="D11" s="434">
        <v>430</v>
      </c>
      <c r="E11" s="434"/>
      <c r="F11" s="434"/>
      <c r="G11" s="434">
        <v>208.20138888888886</v>
      </c>
      <c r="H11" s="434"/>
      <c r="I11" s="434">
        <v>198.0625</v>
      </c>
      <c r="J11" s="434">
        <v>350</v>
      </c>
      <c r="K11" s="434">
        <v>201</v>
      </c>
      <c r="L11" s="434">
        <v>386.89655172413791</v>
      </c>
      <c r="M11" s="434">
        <v>208.30208333333331</v>
      </c>
      <c r="N11" s="434">
        <v>400.54597701149424</v>
      </c>
      <c r="O11" s="22"/>
      <c r="P11" s="26"/>
      <c r="Q11" s="22"/>
      <c r="R11" s="612"/>
      <c r="S11" s="614"/>
      <c r="T11" s="614"/>
      <c r="U11" s="614"/>
      <c r="V11" s="614"/>
      <c r="W11" s="614"/>
      <c r="X11" s="614"/>
      <c r="Y11" s="614"/>
      <c r="Z11" s="614"/>
      <c r="AA11" s="614"/>
      <c r="AB11" s="614"/>
      <c r="AC11" s="614"/>
      <c r="AD11" s="614"/>
    </row>
    <row r="12" spans="2:30" s="14" customFormat="1" ht="15.75" customHeight="1">
      <c r="B12" s="24" t="s">
        <v>208</v>
      </c>
      <c r="C12" s="434">
        <v>240</v>
      </c>
      <c r="D12" s="434"/>
      <c r="E12" s="434"/>
      <c r="F12" s="434"/>
      <c r="G12" s="434">
        <v>210.93333333333331</v>
      </c>
      <c r="H12" s="434"/>
      <c r="I12" s="434">
        <v>207.5</v>
      </c>
      <c r="J12" s="434"/>
      <c r="K12" s="434">
        <v>201</v>
      </c>
      <c r="L12" s="434"/>
      <c r="M12" s="434">
        <v>212.06726190476192</v>
      </c>
      <c r="N12" s="434"/>
      <c r="O12" s="22"/>
      <c r="P12" s="26"/>
      <c r="Q12" s="22"/>
      <c r="R12" s="612"/>
      <c r="S12" s="614"/>
      <c r="T12" s="614"/>
      <c r="U12" s="614"/>
      <c r="V12" s="614"/>
      <c r="W12" s="614"/>
      <c r="X12" s="614"/>
      <c r="Y12" s="614"/>
      <c r="Z12" s="614"/>
      <c r="AA12" s="614"/>
      <c r="AB12" s="614"/>
      <c r="AC12" s="614"/>
      <c r="AD12" s="614"/>
    </row>
    <row r="13" spans="2:30" s="14" customFormat="1" ht="15.75" customHeight="1">
      <c r="B13" s="24" t="s">
        <v>209</v>
      </c>
      <c r="C13" s="434">
        <v>240</v>
      </c>
      <c r="D13" s="434"/>
      <c r="E13" s="434"/>
      <c r="F13" s="434"/>
      <c r="G13" s="434">
        <v>218.72849462365593</v>
      </c>
      <c r="H13" s="434"/>
      <c r="I13" s="434">
        <v>196.20967741935485</v>
      </c>
      <c r="J13" s="434"/>
      <c r="K13" s="434">
        <v>224.51612903225808</v>
      </c>
      <c r="L13" s="434"/>
      <c r="M13" s="434">
        <v>221.21300563236045</v>
      </c>
      <c r="N13" s="434"/>
      <c r="O13" s="22"/>
      <c r="P13" s="95"/>
      <c r="Q13" s="22"/>
      <c r="R13" s="612"/>
      <c r="S13" s="614"/>
      <c r="T13" s="614"/>
      <c r="U13" s="614"/>
      <c r="V13" s="614"/>
      <c r="W13" s="614"/>
      <c r="X13" s="614"/>
      <c r="Y13" s="614"/>
      <c r="Z13" s="614"/>
      <c r="AA13" s="614"/>
      <c r="AB13" s="614"/>
      <c r="AC13" s="614"/>
      <c r="AD13" s="614"/>
    </row>
    <row r="14" spans="2:30" s="14" customFormat="1" ht="15.75" customHeight="1">
      <c r="B14" s="24" t="s">
        <v>210</v>
      </c>
      <c r="C14" s="434">
        <v>255.36666666666667</v>
      </c>
      <c r="D14" s="434"/>
      <c r="E14" s="434"/>
      <c r="F14" s="434"/>
      <c r="G14" s="434">
        <v>229.37096774193549</v>
      </c>
      <c r="H14" s="434"/>
      <c r="I14" s="434">
        <v>209.35483870967744</v>
      </c>
      <c r="J14" s="434"/>
      <c r="K14" s="434">
        <v>241.67741935483872</v>
      </c>
      <c r="L14" s="434"/>
      <c r="M14" s="434">
        <v>239.81566820276501</v>
      </c>
      <c r="N14" s="434"/>
      <c r="O14" s="22"/>
      <c r="P14" s="95"/>
      <c r="Q14" s="22"/>
      <c r="R14" s="612"/>
      <c r="S14" s="614"/>
      <c r="T14" s="614"/>
      <c r="U14" s="614"/>
      <c r="V14" s="614"/>
      <c r="W14" s="614"/>
      <c r="X14" s="614"/>
      <c r="Y14" s="614"/>
      <c r="Z14" s="614"/>
      <c r="AA14" s="614"/>
      <c r="AB14" s="614"/>
      <c r="AC14" s="614"/>
      <c r="AD14" s="614"/>
    </row>
    <row r="15" spans="2:30" s="14" customFormat="1" ht="15.75" customHeight="1">
      <c r="B15" s="24" t="s">
        <v>211</v>
      </c>
      <c r="C15" s="434">
        <v>271.10000000000002</v>
      </c>
      <c r="D15" s="434"/>
      <c r="E15" s="434"/>
      <c r="F15" s="434"/>
      <c r="G15" s="434">
        <v>231.25</v>
      </c>
      <c r="H15" s="434"/>
      <c r="I15" s="434">
        <v>210</v>
      </c>
      <c r="J15" s="434"/>
      <c r="K15" s="434">
        <v>256.16666666666669</v>
      </c>
      <c r="L15" s="434"/>
      <c r="M15" s="434">
        <v>249.5</v>
      </c>
      <c r="N15" s="434"/>
      <c r="O15" s="22"/>
      <c r="P15" s="22"/>
      <c r="Q15" s="22"/>
      <c r="R15" s="612"/>
      <c r="S15" s="614"/>
      <c r="T15" s="614"/>
      <c r="U15" s="614"/>
      <c r="V15" s="614"/>
      <c r="W15" s="614"/>
      <c r="X15" s="614"/>
      <c r="Y15" s="614"/>
      <c r="Z15" s="614"/>
      <c r="AA15" s="614"/>
      <c r="AB15" s="614"/>
      <c r="AC15" s="614"/>
      <c r="AD15" s="614"/>
    </row>
    <row r="16" spans="2:30" s="14" customFormat="1" ht="15.75" customHeight="1">
      <c r="B16" s="24" t="s">
        <v>212</v>
      </c>
      <c r="C16" s="434">
        <v>299.58064516129036</v>
      </c>
      <c r="D16" s="434"/>
      <c r="E16" s="434"/>
      <c r="F16" s="434"/>
      <c r="G16" s="434">
        <v>240.78225806451613</v>
      </c>
      <c r="H16" s="434"/>
      <c r="I16" s="434">
        <v>210</v>
      </c>
      <c r="J16" s="434"/>
      <c r="K16" s="434">
        <v>267</v>
      </c>
      <c r="L16" s="434"/>
      <c r="M16" s="434">
        <v>264.58774845226452</v>
      </c>
      <c r="N16" s="434"/>
      <c r="O16" s="22"/>
      <c r="P16" s="22"/>
      <c r="Q16" s="22"/>
      <c r="R16" s="615"/>
      <c r="S16" s="614"/>
      <c r="T16" s="614"/>
      <c r="U16" s="614"/>
      <c r="V16" s="614"/>
      <c r="W16" s="614"/>
      <c r="X16" s="614"/>
      <c r="Y16" s="614"/>
      <c r="Z16" s="614"/>
      <c r="AA16" s="614"/>
      <c r="AB16" s="614"/>
      <c r="AC16" s="614"/>
      <c r="AD16" s="614"/>
    </row>
    <row r="17" spans="2:30" s="14" customFormat="1" ht="15.75" customHeight="1">
      <c r="B17" s="24" t="s">
        <v>196</v>
      </c>
      <c r="C17" s="434">
        <v>307.5</v>
      </c>
      <c r="D17" s="434"/>
      <c r="E17" s="434"/>
      <c r="F17" s="434"/>
      <c r="G17" s="434">
        <v>264.94166666666666</v>
      </c>
      <c r="H17" s="434"/>
      <c r="I17" s="434">
        <v>210</v>
      </c>
      <c r="J17" s="434"/>
      <c r="K17" s="434"/>
      <c r="L17" s="434"/>
      <c r="M17" s="434">
        <v>265.03777777777776</v>
      </c>
      <c r="N17" s="434"/>
      <c r="O17" s="22"/>
      <c r="P17" s="26"/>
      <c r="Q17" s="22"/>
      <c r="R17" s="612"/>
      <c r="S17" s="614"/>
      <c r="T17" s="614"/>
      <c r="U17" s="614"/>
      <c r="V17" s="614"/>
      <c r="W17" s="614"/>
      <c r="X17" s="614"/>
      <c r="Y17" s="614"/>
      <c r="Z17" s="614"/>
      <c r="AA17" s="614"/>
      <c r="AB17" s="614"/>
      <c r="AC17" s="614"/>
      <c r="AD17" s="614"/>
    </row>
    <row r="18" spans="2:30" s="14" customFormat="1" ht="15.75" customHeight="1">
      <c r="B18" s="24" t="s">
        <v>197</v>
      </c>
      <c r="C18" s="434">
        <v>314.15509259259261</v>
      </c>
      <c r="D18" s="434"/>
      <c r="E18" s="434">
        <v>295.4649122807017</v>
      </c>
      <c r="F18" s="434"/>
      <c r="G18" s="434">
        <v>277.69791666666669</v>
      </c>
      <c r="H18" s="434"/>
      <c r="I18" s="434">
        <v>308.95833333333331</v>
      </c>
      <c r="J18" s="434"/>
      <c r="K18" s="434"/>
      <c r="L18" s="434"/>
      <c r="M18" s="434">
        <v>302.93791341508734</v>
      </c>
      <c r="N18" s="434"/>
      <c r="O18" s="22"/>
      <c r="P18" s="26"/>
      <c r="Q18" s="22"/>
      <c r="R18" s="612"/>
      <c r="S18" s="614"/>
      <c r="T18" s="614"/>
      <c r="U18" s="614"/>
      <c r="V18" s="614"/>
      <c r="W18" s="614"/>
      <c r="X18" s="614"/>
      <c r="Y18" s="614"/>
      <c r="Z18" s="614"/>
      <c r="AA18" s="614"/>
      <c r="AB18" s="614"/>
      <c r="AC18" s="614"/>
      <c r="AD18" s="614"/>
    </row>
    <row r="19" spans="2:30" s="14" customFormat="1" ht="15" customHeight="1">
      <c r="B19" s="867" t="s">
        <v>250</v>
      </c>
      <c r="C19" s="867"/>
      <c r="D19" s="867"/>
      <c r="E19" s="867"/>
      <c r="F19" s="867"/>
      <c r="G19" s="867"/>
      <c r="H19" s="867"/>
      <c r="I19" s="867"/>
      <c r="J19" s="867"/>
      <c r="K19" s="867"/>
      <c r="L19" s="867"/>
      <c r="M19" s="867"/>
      <c r="N19" s="867"/>
      <c r="O19" s="22"/>
      <c r="P19" s="22"/>
      <c r="Q19" s="22"/>
      <c r="R19" s="616"/>
      <c r="S19" s="616"/>
      <c r="T19" s="616"/>
      <c r="U19" s="616"/>
      <c r="V19" s="616"/>
      <c r="W19" s="617"/>
      <c r="X19" s="617"/>
      <c r="Y19" s="617"/>
      <c r="Z19" s="617"/>
      <c r="AA19" s="617"/>
      <c r="AB19" s="617"/>
      <c r="AC19" s="617"/>
      <c r="AD19" s="617"/>
    </row>
    <row r="20" spans="2:30" ht="33" customHeight="1">
      <c r="B20" s="867"/>
      <c r="C20" s="867"/>
      <c r="D20" s="867"/>
      <c r="E20" s="867"/>
      <c r="F20" s="867"/>
      <c r="G20" s="867"/>
      <c r="H20" s="867"/>
      <c r="I20" s="867"/>
      <c r="J20" s="867"/>
      <c r="K20" s="867"/>
      <c r="L20" s="867"/>
      <c r="M20" s="867"/>
      <c r="N20" s="867"/>
    </row>
    <row r="21" spans="2:30" ht="14.25" customHeight="1">
      <c r="B21" s="864"/>
      <c r="C21" s="864"/>
      <c r="D21" s="864"/>
      <c r="E21" s="864"/>
      <c r="F21" s="864"/>
      <c r="G21" s="864"/>
      <c r="H21" s="864"/>
      <c r="I21" s="50"/>
      <c r="J21" s="50"/>
      <c r="K21" s="50"/>
      <c r="L21" s="50"/>
      <c r="M21" s="50"/>
      <c r="N21" s="49"/>
    </row>
    <row r="22" spans="2:30">
      <c r="J22" s="6"/>
      <c r="K22" s="6"/>
    </row>
    <row r="23" spans="2:30">
      <c r="J23" s="6"/>
      <c r="K23" s="6"/>
    </row>
    <row r="24" spans="2:30">
      <c r="J24" s="6"/>
      <c r="K24" s="6"/>
    </row>
    <row r="25" spans="2:30">
      <c r="J25" s="6"/>
      <c r="K25" s="6"/>
    </row>
    <row r="26" spans="2:30">
      <c r="J26" s="6"/>
      <c r="K26" s="6"/>
    </row>
    <row r="27" spans="2:30">
      <c r="J27" s="6"/>
      <c r="K27" s="6"/>
    </row>
    <row r="28" spans="2:30">
      <c r="J28" s="6"/>
      <c r="K28" s="6"/>
    </row>
    <row r="29" spans="2:30">
      <c r="J29" s="6"/>
      <c r="K29" s="6"/>
    </row>
    <row r="33" spans="19:30" ht="17.399999999999999">
      <c r="S33" s="619"/>
      <c r="T33" s="619"/>
      <c r="U33" s="619"/>
      <c r="V33" s="619"/>
      <c r="W33" s="619"/>
      <c r="X33" s="619"/>
      <c r="Y33" s="619"/>
      <c r="Z33" s="619"/>
      <c r="AA33" s="619"/>
      <c r="AB33" s="619"/>
      <c r="AC33" s="619"/>
      <c r="AD33" s="619"/>
    </row>
    <row r="34" spans="19:30" ht="17.399999999999999">
      <c r="S34" s="619"/>
      <c r="T34" s="619"/>
      <c r="U34" s="619"/>
      <c r="V34" s="619"/>
      <c r="W34" s="619"/>
      <c r="X34" s="619"/>
      <c r="Y34" s="619"/>
      <c r="Z34" s="619"/>
      <c r="AA34" s="619"/>
      <c r="AB34" s="619"/>
      <c r="AC34" s="619"/>
      <c r="AD34" s="619"/>
    </row>
    <row r="36" spans="19:30" ht="13.8" customHeight="1"/>
    <row r="37" spans="19:30" ht="13.8" customHeight="1"/>
    <row r="38" spans="19:30" ht="13.8" customHeight="1"/>
    <row r="39" spans="19:30" ht="13.8" customHeight="1"/>
    <row r="40" spans="19:30" ht="12.75" customHeight="1"/>
    <row r="41" spans="19:30" ht="12.75" customHeight="1"/>
    <row r="42" spans="19:30" ht="15" customHeight="1"/>
    <row r="43" spans="19:30" ht="15" customHeight="1"/>
    <row r="44" spans="19:30" ht="15" customHeight="1"/>
    <row r="45" spans="19:30" ht="15" customHeight="1"/>
    <row r="46" spans="19:30" ht="15" customHeight="1"/>
    <row r="47" spans="19:30" ht="15" customHeight="1"/>
    <row r="48" spans="19:30"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c r="U60" s="620"/>
    </row>
    <row r="61" spans="21:21" ht="15" customHeight="1">
      <c r="U61" s="620"/>
    </row>
    <row r="62" spans="21:21" ht="15" customHeight="1">
      <c r="U62" s="620"/>
    </row>
    <row r="63" spans="21:21" ht="15" customHeight="1">
      <c r="U63" s="620"/>
    </row>
    <row r="64" spans="21:21" ht="15" customHeight="1">
      <c r="U64" s="620"/>
    </row>
    <row r="65" spans="21:21" ht="15" customHeight="1">
      <c r="U65" s="620"/>
    </row>
    <row r="66" spans="21:21" ht="15" customHeight="1">
      <c r="U66" s="620"/>
    </row>
    <row r="67" spans="21:21" ht="15" customHeight="1"/>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topLeftCell="A3" zoomScale="90" zoomScaleNormal="90" workbookViewId="0">
      <selection activeCell="G8" sqref="G8"/>
    </sheetView>
  </sheetViews>
  <sheetFormatPr baseColWidth="10" defaultColWidth="10.921875" defaultRowHeight="17.399999999999999"/>
  <cols>
    <col min="1" max="5" width="12.3046875" customWidth="1"/>
    <col min="7" max="7" width="58.15234375" style="672" customWidth="1"/>
  </cols>
  <sheetData>
    <row r="1" spans="1:7">
      <c r="A1" s="766" t="s">
        <v>12</v>
      </c>
      <c r="B1" s="766"/>
      <c r="C1" s="766"/>
      <c r="D1" s="766"/>
      <c r="E1" s="766"/>
    </row>
    <row r="2" spans="1:7">
      <c r="A2" s="767"/>
      <c r="B2" s="767"/>
      <c r="C2" s="767"/>
      <c r="D2" s="767"/>
      <c r="E2" s="767"/>
    </row>
    <row r="3" spans="1:7" ht="28.05" customHeight="1">
      <c r="A3" s="768" t="s">
        <v>755</v>
      </c>
      <c r="B3" s="768"/>
      <c r="C3" s="768"/>
      <c r="D3" s="768"/>
      <c r="E3" s="768"/>
      <c r="G3" s="672" t="s">
        <v>13</v>
      </c>
    </row>
    <row r="4" spans="1:7" ht="19.05" customHeight="1">
      <c r="A4" s="768"/>
      <c r="B4" s="768"/>
      <c r="C4" s="768"/>
      <c r="D4" s="768"/>
      <c r="E4" s="768"/>
    </row>
    <row r="5" spans="1:7" ht="28.05" customHeight="1">
      <c r="A5" s="768"/>
      <c r="B5" s="768"/>
      <c r="C5" s="768"/>
      <c r="D5" s="768"/>
      <c r="E5" s="768"/>
    </row>
    <row r="6" spans="1:7" ht="37.049999999999997" customHeight="1">
      <c r="A6" s="768"/>
      <c r="B6" s="768"/>
      <c r="C6" s="768"/>
      <c r="D6" s="768"/>
      <c r="E6" s="768"/>
    </row>
    <row r="7" spans="1:7" ht="37.049999999999997" customHeight="1">
      <c r="A7" s="768"/>
      <c r="B7" s="768"/>
      <c r="C7" s="768"/>
      <c r="D7" s="768"/>
      <c r="E7" s="768"/>
    </row>
    <row r="8" spans="1:7" ht="39.75" customHeight="1">
      <c r="A8" s="768"/>
      <c r="B8" s="768"/>
      <c r="C8" s="768"/>
      <c r="D8" s="768"/>
      <c r="E8" s="768"/>
    </row>
    <row r="9" spans="1:7" ht="39.75" customHeight="1">
      <c r="A9" s="768"/>
      <c r="B9" s="768"/>
      <c r="C9" s="768"/>
      <c r="D9" s="768"/>
      <c r="E9" s="768"/>
    </row>
    <row r="10" spans="1:7" ht="39.75" customHeight="1">
      <c r="A10" s="768"/>
      <c r="B10" s="768"/>
      <c r="C10" s="768"/>
      <c r="D10" s="768"/>
      <c r="E10" s="768"/>
    </row>
    <row r="11" spans="1:7" ht="409.6" customHeight="1">
      <c r="A11" s="768"/>
      <c r="B11" s="768"/>
      <c r="C11" s="768"/>
      <c r="D11" s="768"/>
      <c r="E11" s="768"/>
    </row>
    <row r="12" spans="1:7" ht="29.25" customHeight="1">
      <c r="C12" s="69"/>
    </row>
    <row r="13" spans="1:7">
      <c r="C13" s="69"/>
    </row>
    <row r="14" spans="1:7">
      <c r="C14" s="69"/>
    </row>
    <row r="15" spans="1:7">
      <c r="C15" s="69"/>
    </row>
    <row r="16" spans="1:7">
      <c r="C16" s="69"/>
    </row>
    <row r="17" spans="3:3">
      <c r="C17" s="69"/>
    </row>
    <row r="18" spans="3:3">
      <c r="C18" s="6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L137"/>
  <sheetViews>
    <sheetView zoomScaleNormal="100" zoomScaleSheetLayoutView="75" workbookViewId="0">
      <selection activeCell="L15" sqref="L15"/>
    </sheetView>
  </sheetViews>
  <sheetFormatPr baseColWidth="10" defaultColWidth="10.921875" defaultRowHeight="11.4"/>
  <cols>
    <col min="1" max="1" width="2.23046875" style="1" customWidth="1"/>
    <col min="2" max="2" width="8.84375" style="4" customWidth="1"/>
    <col min="3" max="4" width="8.84375" style="1" customWidth="1"/>
    <col min="5" max="5" width="8.84375" style="1" hidden="1" customWidth="1"/>
    <col min="6" max="8" width="8.84375" style="1" customWidth="1"/>
    <col min="9" max="9" width="3.765625" style="1" customWidth="1"/>
    <col min="10" max="16384" width="10.921875" style="1"/>
  </cols>
  <sheetData>
    <row r="1" spans="2:12" s="18" customFormat="1" ht="13.2">
      <c r="B1" s="766" t="s">
        <v>251</v>
      </c>
      <c r="C1" s="766"/>
      <c r="D1" s="766"/>
      <c r="E1" s="766"/>
      <c r="F1" s="766"/>
      <c r="G1" s="766"/>
      <c r="H1" s="766"/>
    </row>
    <row r="2" spans="2:12" s="18" customFormat="1" ht="13.2">
      <c r="B2" s="17"/>
      <c r="C2" s="15"/>
      <c r="D2" s="15"/>
      <c r="E2" s="15"/>
      <c r="F2" s="15"/>
      <c r="G2" s="15"/>
    </row>
    <row r="3" spans="2:12" s="18" customFormat="1" ht="13.2">
      <c r="B3" s="766" t="s">
        <v>252</v>
      </c>
      <c r="C3" s="766"/>
      <c r="D3" s="766"/>
      <c r="E3" s="766"/>
      <c r="F3" s="766"/>
      <c r="G3" s="766"/>
      <c r="H3" s="766"/>
    </row>
    <row r="4" spans="2:12" s="18" customFormat="1" ht="13.2">
      <c r="B4" s="766" t="s">
        <v>253</v>
      </c>
      <c r="C4" s="766"/>
      <c r="D4" s="766"/>
      <c r="E4" s="766"/>
      <c r="F4" s="766"/>
      <c r="G4" s="766"/>
      <c r="H4" s="766"/>
    </row>
    <row r="5" spans="2:12" s="18" customFormat="1" ht="66.75" customHeight="1">
      <c r="B5" s="537" t="s">
        <v>201</v>
      </c>
      <c r="C5" s="401" t="s">
        <v>254</v>
      </c>
      <c r="D5" s="401" t="s">
        <v>255</v>
      </c>
      <c r="E5" s="401" t="s">
        <v>256</v>
      </c>
      <c r="F5" s="401" t="s">
        <v>257</v>
      </c>
      <c r="G5" s="401" t="s">
        <v>258</v>
      </c>
      <c r="H5" s="401" t="s">
        <v>259</v>
      </c>
    </row>
    <row r="6" spans="2:12" ht="14.25" customHeight="1">
      <c r="B6" s="538">
        <v>44197</v>
      </c>
      <c r="C6" s="312">
        <v>206.52368560645161</v>
      </c>
      <c r="D6" s="312">
        <v>238.06580645161293</v>
      </c>
      <c r="E6" s="312">
        <v>0</v>
      </c>
      <c r="F6" s="312">
        <v>235.21935483870965</v>
      </c>
      <c r="G6" s="312">
        <v>205.9375</v>
      </c>
      <c r="H6" s="312">
        <v>179.06751708119464</v>
      </c>
      <c r="I6" s="245"/>
      <c r="J6" s="299"/>
    </row>
    <row r="7" spans="2:12" ht="14.25" customHeight="1">
      <c r="B7" s="538">
        <v>44228</v>
      </c>
      <c r="C7" s="312">
        <v>208.47107582500001</v>
      </c>
      <c r="D7" s="312">
        <v>240.04750000000001</v>
      </c>
      <c r="E7" s="312">
        <v>0</v>
      </c>
      <c r="F7" s="312">
        <v>228.05</v>
      </c>
      <c r="G7" s="312">
        <v>213.75</v>
      </c>
      <c r="H7" s="312">
        <v>189.30695667784781</v>
      </c>
      <c r="I7" s="245"/>
      <c r="J7" s="299"/>
    </row>
    <row r="8" spans="2:12" ht="14.25" customHeight="1">
      <c r="B8" s="538">
        <v>44256</v>
      </c>
      <c r="C8" s="312">
        <v>206.6650406580645</v>
      </c>
      <c r="D8" s="312">
        <v>243.50451612903228</v>
      </c>
      <c r="E8" s="312">
        <v>0</v>
      </c>
      <c r="F8" s="312">
        <v>226.72774193548386</v>
      </c>
      <c r="G8" s="312"/>
      <c r="H8" s="312">
        <v>183.41406272080454</v>
      </c>
      <c r="I8" s="245"/>
      <c r="J8" s="299"/>
    </row>
    <row r="9" spans="2:12" ht="14.25" customHeight="1">
      <c r="B9" s="538">
        <v>44287</v>
      </c>
      <c r="C9" s="312">
        <v>205.32786012666668</v>
      </c>
      <c r="D9" s="312">
        <v>239.45733333333334</v>
      </c>
      <c r="E9" s="312">
        <v>0</v>
      </c>
      <c r="F9" s="312">
        <v>227.636</v>
      </c>
      <c r="G9" s="312"/>
      <c r="H9" s="312">
        <v>204.15279983555058</v>
      </c>
      <c r="I9" s="245"/>
      <c r="J9" s="299"/>
    </row>
    <row r="10" spans="2:12" ht="14.25" customHeight="1">
      <c r="B10" s="538">
        <v>44317</v>
      </c>
      <c r="C10" s="312">
        <v>211.2085545354839</v>
      </c>
      <c r="D10" s="312">
        <v>246.23354838709679</v>
      </c>
      <c r="E10" s="312">
        <v>0</v>
      </c>
      <c r="F10" s="312">
        <v>239.34774193548387</v>
      </c>
      <c r="G10" s="312"/>
      <c r="H10" s="312">
        <v>210.65756835698585</v>
      </c>
      <c r="I10" s="245"/>
      <c r="J10" s="299"/>
    </row>
    <row r="11" spans="2:12" ht="14.25" customHeight="1">
      <c r="B11" s="538">
        <v>44348</v>
      </c>
      <c r="C11" s="312">
        <v>201.10716614666663</v>
      </c>
      <c r="D11" s="312">
        <v>245.18666666666667</v>
      </c>
      <c r="E11" s="312">
        <v>0</v>
      </c>
      <c r="F11" s="312">
        <v>243.10333333333332</v>
      </c>
      <c r="G11" s="312">
        <v>240</v>
      </c>
      <c r="H11" s="312">
        <v>209.66826032490411</v>
      </c>
      <c r="I11" s="245"/>
      <c r="J11" s="299"/>
      <c r="L11" s="1" t="s">
        <v>690</v>
      </c>
    </row>
    <row r="12" spans="2:12" ht="14.25" customHeight="1">
      <c r="B12" s="538">
        <v>44378</v>
      </c>
      <c r="C12" s="312">
        <v>197.07337011612904</v>
      </c>
      <c r="D12" s="312">
        <v>240.82741935483872</v>
      </c>
      <c r="E12" s="312">
        <v>0</v>
      </c>
      <c r="F12" s="312">
        <v>251.781935483871</v>
      </c>
      <c r="G12" s="312">
        <v>240</v>
      </c>
      <c r="H12" s="312">
        <v>220.76350792425433</v>
      </c>
      <c r="I12" s="245"/>
      <c r="J12" s="299"/>
    </row>
    <row r="13" spans="2:12" ht="14.25" customHeight="1">
      <c r="B13" s="538">
        <v>44409</v>
      </c>
      <c r="C13" s="312">
        <v>221.59484986451614</v>
      </c>
      <c r="D13" s="312">
        <v>280.78870967741938</v>
      </c>
      <c r="E13" s="312">
        <v>0</v>
      </c>
      <c r="F13" s="312">
        <v>269.73161290322582</v>
      </c>
      <c r="G13" s="312">
        <v>255.36666666666667</v>
      </c>
      <c r="H13" s="312">
        <v>241.25919977991967</v>
      </c>
      <c r="I13" s="245"/>
      <c r="J13" s="299"/>
    </row>
    <row r="14" spans="2:12" ht="14.25" customHeight="1">
      <c r="B14" s="538">
        <v>44440</v>
      </c>
      <c r="C14" s="312">
        <v>237.3859754333333</v>
      </c>
      <c r="D14" s="312">
        <v>295.92366666666663</v>
      </c>
      <c r="E14" s="312">
        <v>0</v>
      </c>
      <c r="F14" s="312">
        <v>284.89733333333334</v>
      </c>
      <c r="G14" s="312">
        <v>271.10000000000002</v>
      </c>
      <c r="H14" s="312">
        <v>254.62518425105466</v>
      </c>
      <c r="I14" s="245"/>
      <c r="J14" s="299"/>
    </row>
    <row r="15" spans="2:12" ht="14.25" customHeight="1">
      <c r="B15" s="538">
        <v>44470</v>
      </c>
      <c r="C15" s="312">
        <v>260.36799569677419</v>
      </c>
      <c r="D15" s="312">
        <v>322.99709677419355</v>
      </c>
      <c r="E15" s="312">
        <v>0</v>
      </c>
      <c r="F15" s="312">
        <v>305.43677419354839</v>
      </c>
      <c r="G15" s="312">
        <v>299.58064516129036</v>
      </c>
      <c r="H15" s="312">
        <v>259.79918706588194</v>
      </c>
      <c r="I15" s="245"/>
      <c r="J15" s="299"/>
    </row>
    <row r="16" spans="2:12" ht="14.25" customHeight="1">
      <c r="B16" s="538">
        <v>44501</v>
      </c>
      <c r="C16" s="312">
        <v>284.10243978666665</v>
      </c>
      <c r="D16" s="312">
        <v>367.767</v>
      </c>
      <c r="E16" s="312">
        <v>0</v>
      </c>
      <c r="F16" s="312">
        <v>323.863</v>
      </c>
      <c r="G16" s="312">
        <v>307.5</v>
      </c>
      <c r="H16" s="312">
        <v>269.92286061216396</v>
      </c>
      <c r="I16" s="245"/>
      <c r="J16" s="299"/>
    </row>
    <row r="17" spans="2:12" ht="14.25" customHeight="1">
      <c r="B17" s="538">
        <v>44531</v>
      </c>
      <c r="C17" s="312">
        <v>287.9614667806452</v>
      </c>
      <c r="D17" s="312">
        <v>370.1725806451613</v>
      </c>
      <c r="E17" s="312">
        <v>0</v>
      </c>
      <c r="F17" s="312">
        <v>340.73096774193544</v>
      </c>
      <c r="G17" s="312">
        <v>314.15509259259261</v>
      </c>
      <c r="H17" s="312">
        <v>294.84701899390365</v>
      </c>
      <c r="I17" s="245"/>
      <c r="J17" s="299"/>
    </row>
    <row r="18" spans="2:12" ht="14.25" customHeight="1">
      <c r="B18" s="538">
        <v>44562</v>
      </c>
      <c r="C18" s="312">
        <v>275.58402632258066</v>
      </c>
      <c r="D18" s="312">
        <v>353.91774193548389</v>
      </c>
      <c r="E18" s="312">
        <v>0</v>
      </c>
      <c r="F18" s="312">
        <v>324.30677419354839</v>
      </c>
      <c r="G18" s="312">
        <v>311.08832565284177</v>
      </c>
      <c r="H18" s="312">
        <v>267.76866535875007</v>
      </c>
      <c r="I18" s="245"/>
      <c r="J18" s="299"/>
    </row>
    <row r="19" spans="2:12" ht="14.25" customHeight="1">
      <c r="B19" s="538">
        <v>44593</v>
      </c>
      <c r="C19" s="312">
        <v>285.49492586785715</v>
      </c>
      <c r="D19" s="312">
        <v>353.36607142857144</v>
      </c>
      <c r="E19" s="312">
        <v>0</v>
      </c>
      <c r="F19" s="312">
        <v>325.3257142857143</v>
      </c>
      <c r="G19" s="312">
        <v>314.15816326530614</v>
      </c>
      <c r="H19" s="312">
        <v>283.74659203941059</v>
      </c>
      <c r="I19" s="245"/>
      <c r="J19" s="299"/>
      <c r="K19" s="246"/>
      <c r="L19" s="246"/>
    </row>
    <row r="20" spans="2:12" ht="14.25" customHeight="1">
      <c r="B20" s="538">
        <v>44621</v>
      </c>
      <c r="C20" s="312">
        <v>371.82381054838703</v>
      </c>
      <c r="D20" s="312">
        <v>440.50032258064516</v>
      </c>
      <c r="E20" s="312">
        <v>0</v>
      </c>
      <c r="F20" s="312">
        <v>393.41967741935485</v>
      </c>
      <c r="G20" s="312">
        <v>321.02150537634407</v>
      </c>
      <c r="H20" s="312">
        <v>278.05501162064633</v>
      </c>
      <c r="I20" s="245"/>
      <c r="J20" s="299"/>
      <c r="K20" s="246"/>
      <c r="L20" s="246"/>
    </row>
    <row r="21" spans="2:12" ht="14.25" customHeight="1">
      <c r="B21" s="538">
        <v>44652</v>
      </c>
      <c r="C21" s="312">
        <v>359.99697766533342</v>
      </c>
      <c r="D21" s="312">
        <v>428.64464075649948</v>
      </c>
      <c r="E21" s="312">
        <v>0</v>
      </c>
      <c r="F21" s="312">
        <v>405.56366243244156</v>
      </c>
      <c r="G21" s="312">
        <v>321.66666666666669</v>
      </c>
      <c r="H21" s="312">
        <v>290.36895454054587</v>
      </c>
      <c r="I21" s="245"/>
      <c r="J21" s="299"/>
      <c r="K21" s="246"/>
      <c r="L21" s="246"/>
    </row>
    <row r="22" spans="2:12" ht="14.25" customHeight="1">
      <c r="B22" s="538">
        <v>44682</v>
      </c>
      <c r="C22" s="312">
        <v>397.0527512386206</v>
      </c>
      <c r="D22" s="312">
        <v>462.79371025013364</v>
      </c>
      <c r="E22" s="312"/>
      <c r="F22" s="312">
        <v>467.04868495006764</v>
      </c>
      <c r="G22" s="312">
        <v>430</v>
      </c>
      <c r="H22" s="312">
        <v>350.13848762681442</v>
      </c>
      <c r="I22" s="245"/>
      <c r="J22" s="299"/>
      <c r="K22" s="246"/>
      <c r="L22" s="246"/>
    </row>
    <row r="23" spans="2:12" ht="14.25" customHeight="1">
      <c r="B23" s="791" t="s">
        <v>260</v>
      </c>
      <c r="C23" s="791"/>
      <c r="D23" s="791"/>
      <c r="E23" s="791"/>
      <c r="F23" s="791"/>
      <c r="G23" s="791"/>
      <c r="H23" s="791"/>
      <c r="I23" s="245"/>
    </row>
    <row r="24" spans="2:12" ht="14.25" customHeight="1">
      <c r="B24" s="311"/>
      <c r="C24" s="539"/>
      <c r="D24" s="539"/>
      <c r="E24" s="539"/>
      <c r="F24" s="539"/>
      <c r="G24" s="539"/>
      <c r="H24" s="539"/>
      <c r="I24" s="245"/>
    </row>
    <row r="25" spans="2:12" ht="14.25" customHeight="1">
      <c r="B25" s="311"/>
      <c r="C25" s="539"/>
      <c r="D25" s="539"/>
      <c r="E25" s="539"/>
      <c r="F25" s="539"/>
      <c r="G25" s="539"/>
      <c r="H25" s="539"/>
      <c r="I25" s="245"/>
    </row>
    <row r="26" spans="2:12" ht="15" customHeight="1">
      <c r="B26" s="1"/>
      <c r="I26" s="245"/>
    </row>
    <row r="27" spans="2:12" ht="12.75" customHeight="1">
      <c r="B27" s="1"/>
      <c r="C27" s="30"/>
      <c r="D27" s="30"/>
      <c r="E27" s="30"/>
      <c r="F27" s="30"/>
      <c r="G27" s="30"/>
      <c r="H27" s="30"/>
      <c r="I27" s="30"/>
    </row>
    <row r="28" spans="2:12" ht="15" customHeight="1">
      <c r="C28" s="30"/>
      <c r="G28" s="30"/>
      <c r="I28" s="13"/>
    </row>
    <row r="29" spans="2:12" ht="15" customHeight="1">
      <c r="I29" s="13"/>
    </row>
    <row r="30" spans="2:12" ht="15" customHeight="1">
      <c r="I30" s="13"/>
    </row>
    <row r="31" spans="2:12" ht="15" customHeight="1"/>
    <row r="32" spans="2:12" ht="15" customHeight="1"/>
    <row r="33" spans="2:2" ht="15" customHeight="1"/>
    <row r="34" spans="2:2" ht="15" customHeight="1"/>
    <row r="35" spans="2:2" ht="15" customHeight="1"/>
    <row r="36" spans="2:2" ht="15" customHeight="1"/>
    <row r="37" spans="2:2" ht="15" customHeight="1"/>
    <row r="38" spans="2:2" ht="15" customHeight="1"/>
    <row r="39" spans="2:2" ht="13.8" customHeight="1"/>
    <row r="40" spans="2:2" ht="13.8" customHeight="1"/>
    <row r="41" spans="2:2" ht="13.8" customHeight="1"/>
    <row r="42" spans="2:2" ht="13.8" customHeight="1"/>
    <row r="43" spans="2:2" ht="13.8" customHeight="1"/>
    <row r="44" spans="2:2" ht="7.5" customHeight="1"/>
    <row r="45" spans="2:2" ht="12" customHeight="1"/>
    <row r="46" spans="2:2" ht="13.8" customHeight="1">
      <c r="B46" s="1"/>
    </row>
    <row r="47" spans="2:2" ht="13.8" customHeight="1"/>
    <row r="48" spans="2:2" ht="13.8" customHeight="1"/>
    <row r="49" spans="9:9" ht="13.8" customHeight="1"/>
    <row r="50" spans="9:9" ht="13.8" customHeight="1"/>
    <row r="51" spans="9:9" ht="13.8" customHeight="1"/>
    <row r="52" spans="9:9" ht="13.8" customHeight="1"/>
    <row r="53" spans="9:9" ht="13.8" customHeight="1"/>
    <row r="54" spans="9:9" ht="13.8" customHeight="1"/>
    <row r="55" spans="9:9" ht="13.8" customHeight="1"/>
    <row r="56" spans="9:9" ht="13.8" customHeight="1"/>
    <row r="57" spans="9:9" ht="13.8" customHeight="1"/>
    <row r="58" spans="9:9" ht="13.8" customHeight="1"/>
    <row r="59" spans="9:9" ht="13.8" customHeight="1">
      <c r="I59" s="4"/>
    </row>
    <row r="60" spans="9:9" ht="13.8" customHeight="1">
      <c r="I60" s="4"/>
    </row>
    <row r="61" spans="9:9" ht="13.8" customHeight="1"/>
    <row r="62" spans="9:9" ht="13.8" customHeight="1"/>
    <row r="63" spans="9:9" ht="13.8" customHeight="1"/>
    <row r="64" spans="9:9" ht="13.8" customHeight="1"/>
    <row r="65" ht="13.8" customHeight="1"/>
    <row r="66" ht="13.8" customHeight="1"/>
    <row r="67" ht="13.8" customHeight="1"/>
    <row r="68" ht="13.8" customHeight="1"/>
    <row r="69" ht="13.8" customHeight="1"/>
    <row r="70" ht="13.8" customHeight="1"/>
    <row r="71" ht="13.8" customHeight="1"/>
    <row r="72" ht="13.8" customHeight="1"/>
    <row r="73" ht="13.8" customHeight="1"/>
    <row r="74" ht="13.8" customHeight="1"/>
    <row r="75" ht="13.8" customHeight="1"/>
    <row r="76" ht="13.8" customHeight="1"/>
    <row r="77" ht="13.8" customHeight="1"/>
    <row r="78" ht="13.8" customHeight="1"/>
    <row r="79" ht="13.8" customHeight="1"/>
    <row r="80" ht="13.8" customHeight="1"/>
    <row r="81" ht="13.8" customHeight="1"/>
    <row r="82" ht="13.8" customHeight="1"/>
    <row r="83" ht="13.8" customHeight="1"/>
    <row r="84" ht="13.8" customHeight="1"/>
    <row r="85" ht="13.8" customHeight="1"/>
    <row r="86" ht="13.8" customHeight="1"/>
    <row r="87" ht="13.8" customHeight="1"/>
    <row r="88" ht="13.8" customHeight="1"/>
    <row r="89" ht="13.8" customHeight="1"/>
    <row r="90" ht="13.8" customHeight="1"/>
    <row r="91" ht="13.8" customHeight="1"/>
    <row r="92" ht="13.8" customHeight="1"/>
    <row r="93" ht="13.8" customHeight="1"/>
    <row r="94" ht="13.8" customHeight="1"/>
    <row r="95" ht="13.8" customHeight="1"/>
    <row r="96" ht="13.8" customHeight="1"/>
    <row r="97" ht="13.8" customHeight="1"/>
    <row r="98" ht="13.8" customHeight="1"/>
    <row r="99" ht="13.8" customHeight="1"/>
    <row r="100" ht="13.8" customHeight="1"/>
    <row r="101" ht="13.8" customHeight="1"/>
    <row r="102" ht="13.8" customHeight="1"/>
    <row r="103" ht="13.8" customHeight="1"/>
    <row r="104" ht="13.8" customHeight="1"/>
    <row r="105" ht="13.8" customHeight="1"/>
    <row r="106" ht="13.8" customHeight="1"/>
    <row r="107"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row r="118" ht="13.8" customHeight="1"/>
    <row r="119" ht="13.8" customHeight="1"/>
    <row r="120" ht="13.8" customHeight="1"/>
    <row r="121" ht="13.8" customHeight="1"/>
    <row r="122" ht="13.8" customHeight="1"/>
    <row r="123" ht="13.8" customHeight="1"/>
    <row r="124" ht="13.8" customHeight="1"/>
    <row r="125" ht="13.8" customHeight="1"/>
    <row r="126" ht="13.8" customHeight="1"/>
    <row r="127" ht="13.8" customHeight="1"/>
    <row r="128" ht="13.8" customHeight="1"/>
    <row r="129" ht="13.8" customHeight="1"/>
    <row r="130" ht="13.8" customHeight="1"/>
    <row r="131" ht="13.8" customHeight="1"/>
    <row r="132" ht="13.8" customHeight="1"/>
    <row r="133" ht="13.8" customHeight="1"/>
    <row r="134" ht="13.8" customHeight="1"/>
    <row r="135" ht="13.8" customHeight="1"/>
    <row r="136" ht="13.8" customHeight="1"/>
    <row r="137" ht="13.8"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3:H23"/>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B1:AY124"/>
  <sheetViews>
    <sheetView zoomScale="80" zoomScaleNormal="80" workbookViewId="0">
      <pane ySplit="1" topLeftCell="A2" activePane="bottomLeft" state="frozen"/>
      <selection activeCell="F47" sqref="F47"/>
      <selection pane="bottomLeft" activeCell="U21" sqref="U21"/>
    </sheetView>
  </sheetViews>
  <sheetFormatPr baseColWidth="10" defaultColWidth="7.23046875" defaultRowHeight="13.2"/>
  <cols>
    <col min="1" max="1" width="3.84375" style="720" customWidth="1"/>
    <col min="2" max="2" width="8.23046875" style="720" customWidth="1"/>
    <col min="3" max="10" width="6.3828125" style="720" customWidth="1"/>
    <col min="11" max="11" width="7.15234375" style="720" customWidth="1"/>
    <col min="12" max="12" width="7.69140625" style="678" customWidth="1"/>
    <col min="13" max="13" width="7.69140625" style="725" customWidth="1"/>
    <col min="14" max="19" width="7.69140625" style="373" hidden="1" customWidth="1"/>
    <col min="20" max="41" width="7.69140625" style="373" customWidth="1"/>
    <col min="42" max="51" width="7.23046875" style="373"/>
    <col min="52" max="16384" width="7.23046875" style="720"/>
  </cols>
  <sheetData>
    <row r="1" spans="2:51" s="377" customFormat="1">
      <c r="L1" s="677"/>
      <c r="M1" s="724"/>
      <c r="N1" s="467">
        <v>44256</v>
      </c>
      <c r="O1" s="467">
        <v>44317</v>
      </c>
      <c r="P1" s="467">
        <v>44378</v>
      </c>
      <c r="Q1" s="467">
        <v>44440</v>
      </c>
      <c r="R1" s="467">
        <v>44531</v>
      </c>
      <c r="S1" s="467">
        <v>44621</v>
      </c>
      <c r="T1" s="467">
        <v>44652</v>
      </c>
      <c r="U1" s="467">
        <v>44682</v>
      </c>
      <c r="V1" s="467">
        <v>44713</v>
      </c>
      <c r="W1" s="467">
        <v>44743</v>
      </c>
      <c r="X1" s="467">
        <v>44774</v>
      </c>
      <c r="Y1" s="467">
        <v>44805</v>
      </c>
      <c r="Z1" s="467">
        <v>44835</v>
      </c>
      <c r="AA1" s="467">
        <v>44896</v>
      </c>
      <c r="AB1" s="467">
        <v>44986</v>
      </c>
      <c r="AC1" s="467">
        <v>45170</v>
      </c>
      <c r="AD1" s="467">
        <v>45352</v>
      </c>
      <c r="AE1" s="300"/>
      <c r="AF1" s="300"/>
      <c r="AG1" s="300"/>
      <c r="AH1" s="300"/>
      <c r="AI1" s="300"/>
      <c r="AJ1" s="300"/>
      <c r="AK1" s="300"/>
      <c r="AL1" s="300"/>
      <c r="AM1" s="300"/>
      <c r="AN1" s="300"/>
      <c r="AO1" s="300"/>
      <c r="AP1" s="300"/>
      <c r="AQ1" s="300"/>
      <c r="AR1" s="300"/>
      <c r="AS1" s="300"/>
      <c r="AT1" s="300"/>
      <c r="AU1" s="300"/>
      <c r="AV1" s="300"/>
      <c r="AW1" s="300"/>
      <c r="AX1" s="300"/>
      <c r="AY1" s="300"/>
    </row>
    <row r="2" spans="2:51" s="377" customFormat="1" ht="17.7" customHeight="1">
      <c r="L2" s="678">
        <v>44200</v>
      </c>
      <c r="M2" s="725" t="s">
        <v>261</v>
      </c>
      <c r="N2" s="583">
        <v>220.28028</v>
      </c>
      <c r="O2" s="583"/>
      <c r="P2" s="583">
        <v>222.30119999999999</v>
      </c>
      <c r="Q2" s="583">
        <v>223.77096</v>
      </c>
      <c r="R2" s="583">
        <v>226.52676</v>
      </c>
      <c r="S2" s="583">
        <v>227.90466000000001</v>
      </c>
      <c r="T2" s="583"/>
      <c r="U2" s="583"/>
      <c r="V2" s="583"/>
      <c r="W2" s="583"/>
      <c r="X2" s="583"/>
      <c r="Y2" s="467">
        <v>44835</v>
      </c>
      <c r="Z2" s="583"/>
      <c r="AA2" s="373"/>
      <c r="AB2" s="373"/>
      <c r="AC2" s="300"/>
      <c r="AD2" s="300"/>
      <c r="AE2" s="300"/>
      <c r="AF2" s="300"/>
      <c r="AG2" s="300"/>
      <c r="AH2" s="300"/>
      <c r="AI2" s="300"/>
      <c r="AJ2" s="300"/>
      <c r="AK2" s="300"/>
      <c r="AL2" s="300"/>
      <c r="AM2" s="300"/>
      <c r="AN2" s="300"/>
      <c r="AO2" s="300"/>
      <c r="AP2" s="300"/>
      <c r="AQ2" s="300"/>
      <c r="AR2" s="300"/>
      <c r="AS2" s="300"/>
      <c r="AT2" s="300"/>
      <c r="AU2" s="300"/>
      <c r="AV2" s="300"/>
      <c r="AW2" s="300"/>
      <c r="AX2" s="300"/>
      <c r="AY2" s="300"/>
    </row>
    <row r="3" spans="2:51" s="377" customFormat="1" ht="17.7" customHeight="1">
      <c r="L3" s="678">
        <v>44207</v>
      </c>
      <c r="M3" s="725" t="s">
        <v>262</v>
      </c>
      <c r="N3" s="583">
        <v>218.25935999999999</v>
      </c>
      <c r="O3" s="583"/>
      <c r="P3" s="583">
        <v>221.10702000000001</v>
      </c>
      <c r="Q3" s="583">
        <v>222.94422</v>
      </c>
      <c r="R3" s="583">
        <v>225.70001999999999</v>
      </c>
      <c r="S3" s="583">
        <v>227.3535</v>
      </c>
      <c r="T3" s="583"/>
      <c r="U3" s="583"/>
      <c r="V3" s="583"/>
      <c r="W3" s="583"/>
      <c r="X3" s="583"/>
      <c r="Y3" s="467">
        <v>44866</v>
      </c>
      <c r="Z3" s="583"/>
      <c r="AA3" s="373"/>
      <c r="AB3" s="373"/>
      <c r="AC3" s="300"/>
      <c r="AD3" s="300"/>
      <c r="AE3" s="300"/>
      <c r="AF3" s="300"/>
      <c r="AG3" s="300"/>
      <c r="AH3" s="300"/>
      <c r="AI3" s="300"/>
      <c r="AJ3" s="300"/>
      <c r="AK3" s="300"/>
      <c r="AL3" s="300"/>
      <c r="AM3" s="300"/>
      <c r="AN3" s="300"/>
      <c r="AO3" s="300"/>
      <c r="AP3" s="300"/>
      <c r="AQ3" s="300"/>
      <c r="AR3" s="300"/>
      <c r="AS3" s="300"/>
      <c r="AT3" s="300"/>
      <c r="AU3" s="300"/>
      <c r="AV3" s="300"/>
      <c r="AW3" s="300"/>
      <c r="AX3" s="300"/>
      <c r="AY3" s="300"/>
    </row>
    <row r="4" spans="2:51" s="377" customFormat="1" ht="17.7" customHeight="1">
      <c r="L4" s="678">
        <v>44215</v>
      </c>
      <c r="M4" s="581" t="s">
        <v>264</v>
      </c>
      <c r="N4" s="583">
        <v>236.63136</v>
      </c>
      <c r="O4" s="583"/>
      <c r="P4" s="583">
        <v>237.4581</v>
      </c>
      <c r="Q4" s="583">
        <v>238.65227999999999</v>
      </c>
      <c r="R4" s="583">
        <v>241.04064</v>
      </c>
      <c r="S4" s="583">
        <v>241.49993999999998</v>
      </c>
      <c r="T4" s="583"/>
      <c r="U4" s="583"/>
      <c r="V4" s="583"/>
      <c r="W4" s="583"/>
      <c r="X4" s="583"/>
      <c r="Y4" s="467">
        <v>44896</v>
      </c>
      <c r="Z4" s="583"/>
      <c r="AA4" s="373"/>
      <c r="AB4" s="373"/>
      <c r="AC4" s="300"/>
      <c r="AD4" s="300"/>
      <c r="AE4" s="300"/>
      <c r="AF4" s="300"/>
      <c r="AG4" s="300"/>
      <c r="AH4" s="300"/>
      <c r="AI4" s="300"/>
      <c r="AJ4" s="300"/>
      <c r="AK4" s="300"/>
      <c r="AL4" s="300"/>
      <c r="AM4" s="300"/>
      <c r="AN4" s="300"/>
      <c r="AO4" s="300"/>
      <c r="AP4" s="300"/>
      <c r="AQ4" s="300"/>
      <c r="AR4" s="300"/>
      <c r="AS4" s="300"/>
      <c r="AT4" s="300"/>
      <c r="AU4" s="300"/>
      <c r="AV4" s="300"/>
      <c r="AW4" s="300"/>
      <c r="AX4" s="300"/>
      <c r="AY4" s="300"/>
    </row>
    <row r="5" spans="2:51" s="377" customFormat="1" ht="26.4">
      <c r="L5" s="678">
        <v>44221</v>
      </c>
      <c r="M5" s="581" t="s">
        <v>265</v>
      </c>
      <c r="N5" s="583">
        <v>230.47674000000001</v>
      </c>
      <c r="O5" s="583"/>
      <c r="P5" s="583">
        <v>231.21161999999998</v>
      </c>
      <c r="Q5" s="583">
        <v>231.94649999999999</v>
      </c>
      <c r="R5" s="583">
        <v>233.78369999999998</v>
      </c>
      <c r="S5" s="583">
        <v>234.24299999999999</v>
      </c>
      <c r="T5" s="583"/>
      <c r="U5" s="583"/>
      <c r="V5" s="583"/>
      <c r="W5" s="583"/>
      <c r="X5" s="583"/>
      <c r="Y5" s="467">
        <v>44927</v>
      </c>
      <c r="Z5" s="583"/>
      <c r="AA5" s="373"/>
      <c r="AB5" s="373"/>
      <c r="AC5" s="300"/>
      <c r="AD5" s="300"/>
      <c r="AE5" s="300"/>
      <c r="AF5" s="300"/>
      <c r="AG5" s="300"/>
      <c r="AH5" s="300"/>
      <c r="AI5" s="300"/>
      <c r="AJ5" s="300"/>
      <c r="AK5" s="300"/>
      <c r="AL5" s="300"/>
      <c r="AM5" s="300"/>
      <c r="AN5" s="300"/>
      <c r="AO5" s="300"/>
      <c r="AP5" s="300"/>
      <c r="AQ5" s="300"/>
      <c r="AR5" s="300"/>
      <c r="AS5" s="300"/>
      <c r="AT5" s="300"/>
      <c r="AU5" s="300"/>
      <c r="AV5" s="300"/>
      <c r="AW5" s="300"/>
      <c r="AX5" s="300"/>
      <c r="AY5" s="300"/>
    </row>
    <row r="6" spans="2:51" s="377" customFormat="1" ht="26.4">
      <c r="L6" s="678">
        <v>44228</v>
      </c>
      <c r="M6" s="581" t="s">
        <v>266</v>
      </c>
      <c r="N6" s="583">
        <v>229.74186</v>
      </c>
      <c r="O6" s="583"/>
      <c r="P6" s="583">
        <v>230.66046</v>
      </c>
      <c r="Q6" s="583">
        <v>231.21161999999998</v>
      </c>
      <c r="R6" s="583">
        <v>232.86509999999998</v>
      </c>
      <c r="S6" s="583">
        <v>233.04882000000001</v>
      </c>
      <c r="T6" s="583"/>
      <c r="U6" s="583"/>
      <c r="V6" s="583"/>
      <c r="W6" s="583"/>
      <c r="X6" s="583"/>
      <c r="Y6" s="467">
        <v>44958</v>
      </c>
      <c r="Z6" s="583"/>
      <c r="AA6" s="583"/>
      <c r="AB6" s="373"/>
      <c r="AC6" s="300"/>
      <c r="AD6" s="300"/>
      <c r="AE6" s="300"/>
      <c r="AF6" s="300"/>
      <c r="AG6" s="300"/>
      <c r="AH6" s="300"/>
      <c r="AI6" s="300"/>
      <c r="AJ6" s="300"/>
      <c r="AK6" s="300"/>
      <c r="AL6" s="300"/>
      <c r="AM6" s="300"/>
      <c r="AN6" s="300"/>
      <c r="AO6" s="300"/>
      <c r="AP6" s="300"/>
      <c r="AQ6" s="300"/>
      <c r="AR6" s="300"/>
      <c r="AS6" s="300"/>
      <c r="AT6" s="300"/>
      <c r="AU6" s="300"/>
      <c r="AV6" s="300"/>
      <c r="AW6" s="300"/>
      <c r="AX6" s="300"/>
      <c r="AY6" s="300"/>
    </row>
    <row r="7" spans="2:51" ht="12.75" customHeight="1">
      <c r="B7" s="377"/>
      <c r="C7" s="377"/>
      <c r="D7" s="377"/>
      <c r="E7" s="377"/>
      <c r="F7" s="377"/>
      <c r="G7" s="377"/>
      <c r="H7" s="377"/>
      <c r="I7" s="377"/>
      <c r="J7" s="377"/>
      <c r="K7" s="377"/>
      <c r="L7" s="678">
        <v>44235</v>
      </c>
      <c r="M7" s="581" t="s">
        <v>267</v>
      </c>
      <c r="N7" s="583">
        <v>234.97788</v>
      </c>
      <c r="O7" s="583">
        <v>236.72322</v>
      </c>
      <c r="P7" s="583">
        <v>236.90693999999999</v>
      </c>
      <c r="Q7" s="583">
        <v>238.00925999999998</v>
      </c>
      <c r="R7" s="583">
        <v>240.03018</v>
      </c>
      <c r="S7" s="583">
        <v>241.22435999999999</v>
      </c>
      <c r="T7" s="583"/>
      <c r="U7" s="583"/>
      <c r="V7" s="583"/>
      <c r="W7" s="583"/>
      <c r="X7" s="583"/>
      <c r="Y7" s="467">
        <v>44986</v>
      </c>
      <c r="Z7" s="583"/>
    </row>
    <row r="8" spans="2:51" s="377" customFormat="1" ht="12" customHeight="1">
      <c r="L8" s="678">
        <v>44243</v>
      </c>
      <c r="M8" s="725" t="s">
        <v>268</v>
      </c>
      <c r="N8" s="583">
        <v>234.24299999999999</v>
      </c>
      <c r="O8" s="583">
        <v>236.35577999999998</v>
      </c>
      <c r="P8" s="583">
        <v>237.09065999999999</v>
      </c>
      <c r="Q8" s="583">
        <v>238.46856</v>
      </c>
      <c r="R8" s="583">
        <v>240.58133999999998</v>
      </c>
      <c r="S8" s="583">
        <v>242.32667999999998</v>
      </c>
      <c r="T8" s="583"/>
      <c r="U8" s="583"/>
      <c r="V8" s="583"/>
      <c r="W8" s="583"/>
      <c r="X8" s="583"/>
      <c r="Y8" s="467">
        <v>45017</v>
      </c>
      <c r="Z8" s="583"/>
      <c r="AA8" s="373"/>
      <c r="AB8" s="373"/>
      <c r="AC8" s="300"/>
      <c r="AD8" s="300"/>
      <c r="AE8" s="300"/>
      <c r="AF8" s="300"/>
      <c r="AG8" s="300"/>
      <c r="AH8" s="300"/>
      <c r="AI8" s="300"/>
      <c r="AJ8" s="300"/>
      <c r="AK8" s="300"/>
      <c r="AL8" s="300"/>
      <c r="AM8" s="300"/>
      <c r="AN8" s="300"/>
      <c r="AO8" s="300"/>
      <c r="AP8" s="300"/>
      <c r="AQ8" s="300"/>
      <c r="AR8" s="300"/>
      <c r="AS8" s="300"/>
      <c r="AT8" s="300"/>
      <c r="AU8" s="300"/>
      <c r="AV8" s="300"/>
      <c r="AW8" s="300"/>
      <c r="AX8" s="300"/>
      <c r="AY8" s="300"/>
    </row>
    <row r="9" spans="2:51" s="377" customFormat="1" ht="12" customHeight="1">
      <c r="L9" s="678">
        <v>44249</v>
      </c>
      <c r="M9" s="725" t="s">
        <v>269</v>
      </c>
      <c r="N9" s="583">
        <v>236.81507999999999</v>
      </c>
      <c r="O9" s="583">
        <v>239.20344</v>
      </c>
      <c r="P9" s="583">
        <v>240.48947999999999</v>
      </c>
      <c r="Q9" s="583">
        <v>241.95923999999999</v>
      </c>
      <c r="R9" s="583">
        <v>243.98015999999998</v>
      </c>
      <c r="S9" s="583">
        <v>245.44991999999999</v>
      </c>
      <c r="T9" s="583"/>
      <c r="U9" s="583"/>
      <c r="V9" s="583"/>
      <c r="W9" s="583"/>
      <c r="X9" s="583"/>
      <c r="Y9" s="467">
        <v>45047</v>
      </c>
      <c r="Z9" s="583"/>
      <c r="AA9" s="373"/>
      <c r="AB9" s="373"/>
      <c r="AC9" s="300"/>
      <c r="AD9" s="300"/>
      <c r="AE9" s="300"/>
      <c r="AF9" s="300"/>
      <c r="AG9" s="300"/>
      <c r="AH9" s="300"/>
      <c r="AI9" s="300"/>
      <c r="AJ9" s="300"/>
      <c r="AK9" s="300"/>
      <c r="AL9" s="300"/>
      <c r="AM9" s="300"/>
      <c r="AN9" s="300"/>
      <c r="AO9" s="300"/>
      <c r="AP9" s="300"/>
      <c r="AQ9" s="300"/>
      <c r="AR9" s="300"/>
      <c r="AS9" s="300"/>
      <c r="AT9" s="300"/>
      <c r="AU9" s="300"/>
      <c r="AV9" s="300"/>
      <c r="AW9" s="300"/>
      <c r="AX9" s="300"/>
      <c r="AY9" s="300"/>
    </row>
    <row r="10" spans="2:51" s="377" customFormat="1" ht="12" customHeight="1">
      <c r="L10" s="678">
        <v>44256</v>
      </c>
      <c r="M10" s="725" t="s">
        <v>270</v>
      </c>
      <c r="N10" s="583">
        <v>225.70001999999999</v>
      </c>
      <c r="O10" s="583">
        <v>229.00698</v>
      </c>
      <c r="P10" s="583">
        <v>231.02789999999999</v>
      </c>
      <c r="Q10" s="583">
        <v>232.77323999999999</v>
      </c>
      <c r="R10" s="583">
        <v>235.62090000000001</v>
      </c>
      <c r="S10" s="583">
        <v>237.91739999999999</v>
      </c>
      <c r="T10" s="583"/>
      <c r="U10" s="583"/>
      <c r="V10" s="583"/>
      <c r="W10" s="583"/>
      <c r="X10" s="583"/>
      <c r="Y10" s="467">
        <v>45078</v>
      </c>
      <c r="Z10" s="583"/>
      <c r="AA10" s="373"/>
      <c r="AB10" s="373"/>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0"/>
      <c r="AY10" s="300"/>
    </row>
    <row r="11" spans="2:51" s="377" customFormat="1" ht="12" customHeight="1">
      <c r="L11" s="678">
        <v>44263</v>
      </c>
      <c r="M11" s="725" t="s">
        <v>271</v>
      </c>
      <c r="N11" s="583">
        <v>225.33258000000001</v>
      </c>
      <c r="O11" s="583">
        <v>228.45581999999999</v>
      </c>
      <c r="P11" s="583">
        <v>230.5686</v>
      </c>
      <c r="Q11" s="583">
        <v>232.58951999999999</v>
      </c>
      <c r="R11" s="583">
        <v>235.25345999999999</v>
      </c>
      <c r="S11" s="583">
        <v>237.36624</v>
      </c>
      <c r="T11" s="583"/>
      <c r="U11" s="583"/>
      <c r="V11" s="583"/>
      <c r="W11" s="583"/>
      <c r="X11" s="583"/>
      <c r="Y11" s="467">
        <v>45108</v>
      </c>
      <c r="Z11" s="583"/>
      <c r="AA11" s="583"/>
      <c r="AB11" s="373"/>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0"/>
    </row>
    <row r="12" spans="2:51" s="377" customFormat="1" ht="12" customHeight="1">
      <c r="L12" s="678">
        <v>44270</v>
      </c>
      <c r="M12" s="725" t="s">
        <v>272</v>
      </c>
      <c r="N12" s="373"/>
      <c r="O12" s="583">
        <v>222.94422</v>
      </c>
      <c r="P12" s="583">
        <v>224.78142</v>
      </c>
      <c r="Q12" s="583">
        <v>226.80233999999999</v>
      </c>
      <c r="R12" s="583">
        <v>229.65</v>
      </c>
      <c r="S12" s="583">
        <v>231.85463999999999</v>
      </c>
      <c r="T12" s="583"/>
      <c r="U12" s="583"/>
      <c r="V12" s="583"/>
      <c r="W12" s="583"/>
      <c r="X12" s="583"/>
      <c r="Y12" s="467">
        <v>45139</v>
      </c>
      <c r="Z12" s="583"/>
      <c r="AA12" s="583"/>
      <c r="AB12" s="373"/>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row>
    <row r="13" spans="2:51" s="377" customFormat="1" ht="12" customHeight="1">
      <c r="L13" s="678">
        <v>44325</v>
      </c>
      <c r="M13" s="726" t="s">
        <v>273</v>
      </c>
      <c r="N13" s="373"/>
      <c r="O13" s="373">
        <v>212.47217999999998</v>
      </c>
      <c r="P13" s="373">
        <v>214.67681999999999</v>
      </c>
      <c r="Q13" s="373">
        <v>216.78960000000001</v>
      </c>
      <c r="R13" s="373">
        <v>219.82097999999999</v>
      </c>
      <c r="S13" s="373">
        <v>222.30119999999999</v>
      </c>
      <c r="T13" s="373"/>
      <c r="U13" s="373"/>
      <c r="V13" s="373"/>
      <c r="W13" s="373"/>
      <c r="X13" s="373"/>
      <c r="Y13" s="467">
        <v>45170</v>
      </c>
      <c r="Z13" s="373"/>
      <c r="AA13" s="373"/>
      <c r="AB13" s="373"/>
      <c r="AC13" s="373"/>
      <c r="AD13" s="373"/>
      <c r="AE13" s="373"/>
      <c r="AF13" s="373"/>
      <c r="AG13" s="373"/>
      <c r="AH13" s="373"/>
      <c r="AI13" s="373"/>
      <c r="AJ13" s="300"/>
      <c r="AK13" s="300"/>
      <c r="AL13" s="300"/>
      <c r="AM13" s="300"/>
      <c r="AN13" s="300"/>
      <c r="AO13" s="300"/>
      <c r="AP13" s="300"/>
      <c r="AQ13" s="300"/>
      <c r="AR13" s="300"/>
      <c r="AS13" s="300"/>
      <c r="AT13" s="300"/>
      <c r="AU13" s="300"/>
      <c r="AV13" s="300"/>
      <c r="AW13" s="300"/>
      <c r="AX13" s="300"/>
      <c r="AY13" s="300"/>
    </row>
    <row r="14" spans="2:51" s="377" customFormat="1" ht="12" customHeight="1">
      <c r="L14" s="678">
        <v>44284</v>
      </c>
      <c r="M14" s="726" t="s">
        <v>274</v>
      </c>
      <c r="N14" s="373"/>
      <c r="O14" s="373">
        <v>209.25708</v>
      </c>
      <c r="P14" s="373">
        <v>211.46171999999999</v>
      </c>
      <c r="Q14" s="373">
        <v>213.75821999999999</v>
      </c>
      <c r="R14" s="373">
        <v>217.24889999999999</v>
      </c>
      <c r="S14" s="373">
        <v>220.28028</v>
      </c>
      <c r="T14" s="373"/>
      <c r="U14" s="373"/>
      <c r="V14" s="373"/>
      <c r="W14" s="373"/>
      <c r="X14" s="373"/>
      <c r="Y14" s="467">
        <v>45200</v>
      </c>
      <c r="Z14" s="373"/>
      <c r="AA14" s="373"/>
      <c r="AB14" s="373"/>
      <c r="AC14" s="373"/>
      <c r="AD14" s="373"/>
      <c r="AE14" s="373"/>
      <c r="AF14" s="373"/>
      <c r="AG14" s="373"/>
      <c r="AH14" s="373"/>
      <c r="AI14" s="373"/>
      <c r="AJ14" s="300"/>
      <c r="AK14" s="300"/>
      <c r="AL14" s="300"/>
      <c r="AM14" s="300"/>
      <c r="AN14" s="300"/>
      <c r="AO14" s="300"/>
      <c r="AP14" s="300"/>
      <c r="AQ14" s="300"/>
      <c r="AR14" s="300"/>
      <c r="AS14" s="300"/>
      <c r="AT14" s="300"/>
      <c r="AU14" s="300"/>
      <c r="AV14" s="300"/>
      <c r="AW14" s="300"/>
      <c r="AX14" s="300"/>
      <c r="AY14" s="300"/>
    </row>
    <row r="15" spans="2:51" s="721" customFormat="1" ht="12" customHeight="1">
      <c r="L15" s="680">
        <v>44291</v>
      </c>
      <c r="M15" s="727" t="s">
        <v>275</v>
      </c>
      <c r="N15" s="458"/>
      <c r="O15" s="458">
        <v>206.86872</v>
      </c>
      <c r="P15" s="458">
        <v>209.34894</v>
      </c>
      <c r="Q15" s="458">
        <v>211.7373</v>
      </c>
      <c r="R15" s="458">
        <v>215.59541999999999</v>
      </c>
      <c r="S15" s="458">
        <v>219.08609999999999</v>
      </c>
      <c r="T15" s="458"/>
      <c r="U15" s="458"/>
      <c r="V15" s="458"/>
      <c r="W15" s="458"/>
      <c r="X15" s="458"/>
      <c r="Y15" s="467">
        <v>45231</v>
      </c>
      <c r="Z15" s="458"/>
      <c r="AA15" s="458">
        <v>223.12794</v>
      </c>
      <c r="AB15" s="458"/>
      <c r="AC15" s="458"/>
      <c r="AD15" s="458"/>
      <c r="AE15" s="458"/>
      <c r="AF15" s="458"/>
      <c r="AG15" s="458"/>
      <c r="AH15" s="458"/>
      <c r="AI15" s="458"/>
      <c r="AJ15" s="679"/>
      <c r="AK15" s="679"/>
      <c r="AL15" s="679"/>
      <c r="AM15" s="679"/>
      <c r="AN15" s="679"/>
      <c r="AO15" s="679"/>
      <c r="AP15" s="679"/>
      <c r="AQ15" s="679"/>
      <c r="AR15" s="679"/>
      <c r="AS15" s="679"/>
      <c r="AT15" s="679"/>
      <c r="AU15" s="679"/>
      <c r="AV15" s="679"/>
      <c r="AW15" s="679"/>
      <c r="AX15" s="679"/>
      <c r="AY15" s="679"/>
    </row>
    <row r="16" spans="2:51" s="377" customFormat="1" ht="12" customHeight="1">
      <c r="L16" s="678">
        <v>44298</v>
      </c>
      <c r="M16" s="726" t="s">
        <v>276</v>
      </c>
      <c r="N16" s="373"/>
      <c r="O16" s="373">
        <v>212.74776</v>
      </c>
      <c r="P16" s="373">
        <v>215.59541999999999</v>
      </c>
      <c r="Q16" s="373">
        <v>217.98378</v>
      </c>
      <c r="R16" s="373">
        <v>221.56631999999999</v>
      </c>
      <c r="S16" s="373">
        <v>225.05699999999999</v>
      </c>
      <c r="T16" s="373"/>
      <c r="U16" s="373"/>
      <c r="V16" s="373"/>
      <c r="W16" s="373"/>
      <c r="X16" s="373"/>
      <c r="Y16" s="467">
        <v>45261</v>
      </c>
      <c r="Z16" s="373"/>
      <c r="AA16" s="373">
        <v>226.89419999999998</v>
      </c>
      <c r="AB16" s="373"/>
      <c r="AC16" s="373"/>
      <c r="AD16" s="373"/>
      <c r="AE16" s="373"/>
      <c r="AF16" s="373"/>
      <c r="AG16" s="373"/>
      <c r="AH16" s="373"/>
      <c r="AI16" s="373"/>
      <c r="AJ16" s="300"/>
      <c r="AK16" s="300"/>
      <c r="AL16" s="300"/>
      <c r="AM16" s="300"/>
      <c r="AN16" s="300"/>
      <c r="AO16" s="300"/>
      <c r="AP16" s="300"/>
      <c r="AQ16" s="300"/>
      <c r="AR16" s="300"/>
      <c r="AS16" s="300"/>
      <c r="AT16" s="300"/>
      <c r="AU16" s="300"/>
      <c r="AV16" s="300"/>
      <c r="AW16" s="300"/>
      <c r="AX16" s="300"/>
      <c r="AY16" s="300"/>
    </row>
    <row r="17" spans="2:28" ht="12" customHeight="1">
      <c r="B17" s="377"/>
      <c r="C17" s="377"/>
      <c r="D17" s="377"/>
      <c r="E17" s="377"/>
      <c r="F17" s="377"/>
      <c r="G17" s="377"/>
      <c r="H17" s="377"/>
      <c r="I17" s="377"/>
      <c r="J17" s="377"/>
      <c r="K17" s="377"/>
      <c r="L17" s="678">
        <v>44305</v>
      </c>
      <c r="M17" s="726" t="s">
        <v>277</v>
      </c>
      <c r="O17" s="373">
        <v>224.87327999999999</v>
      </c>
      <c r="P17" s="373">
        <v>227.3535</v>
      </c>
      <c r="Q17" s="373">
        <v>229.65</v>
      </c>
      <c r="R17" s="373">
        <v>232.95695999999998</v>
      </c>
      <c r="S17" s="373">
        <v>235.89648</v>
      </c>
      <c r="Y17" s="467">
        <v>45292</v>
      </c>
      <c r="AA17" s="373">
        <v>234.79416000000001</v>
      </c>
    </row>
    <row r="18" spans="2:28" ht="12" customHeight="1">
      <c r="B18" s="377"/>
      <c r="C18" s="377"/>
      <c r="D18" s="377"/>
      <c r="E18" s="377"/>
      <c r="F18" s="377"/>
      <c r="G18" s="377"/>
      <c r="H18" s="377"/>
      <c r="I18" s="377"/>
      <c r="J18" s="377"/>
      <c r="K18" s="377"/>
      <c r="L18" s="678">
        <v>44312</v>
      </c>
      <c r="M18" s="726" t="s">
        <v>278</v>
      </c>
      <c r="O18" s="373">
        <v>257.85102000000001</v>
      </c>
      <c r="P18" s="373">
        <v>260.42309999999998</v>
      </c>
      <c r="Q18" s="373">
        <v>261.98471999999998</v>
      </c>
      <c r="R18" s="373">
        <v>264.28122000000002</v>
      </c>
      <c r="S18" s="373">
        <v>266.66958</v>
      </c>
      <c r="Y18" s="467">
        <v>45323</v>
      </c>
      <c r="AA18" s="373">
        <v>252.98244</v>
      </c>
    </row>
    <row r="19" spans="2:28" ht="12" customHeight="1">
      <c r="B19" s="377"/>
      <c r="C19" s="377"/>
      <c r="D19" s="377"/>
      <c r="E19" s="377"/>
      <c r="F19" s="377"/>
      <c r="G19" s="377"/>
      <c r="H19" s="377"/>
      <c r="I19" s="377"/>
      <c r="J19" s="377"/>
      <c r="K19" s="377"/>
      <c r="L19" s="678">
        <v>44319</v>
      </c>
      <c r="M19" s="726" t="s">
        <v>279</v>
      </c>
      <c r="O19" s="373">
        <v>250.77779999999998</v>
      </c>
      <c r="P19" s="373">
        <v>252.98244</v>
      </c>
      <c r="Q19" s="373">
        <v>254.72778</v>
      </c>
      <c r="R19" s="373">
        <v>257.39171999999996</v>
      </c>
      <c r="S19" s="373">
        <v>260.14751999999999</v>
      </c>
      <c r="Y19" s="467">
        <v>45352</v>
      </c>
      <c r="AA19" s="373">
        <v>248.4813</v>
      </c>
    </row>
    <row r="20" spans="2:28" ht="12" customHeight="1">
      <c r="B20" s="377"/>
      <c r="C20" s="377"/>
      <c r="D20" s="377"/>
      <c r="E20" s="377"/>
      <c r="F20" s="377"/>
      <c r="G20" s="377"/>
      <c r="H20" s="377"/>
      <c r="I20" s="377"/>
      <c r="J20" s="377"/>
      <c r="K20" s="377"/>
      <c r="L20" s="678">
        <v>44326</v>
      </c>
      <c r="M20" s="726" t="s">
        <v>280</v>
      </c>
      <c r="O20" s="373">
        <v>255.55452</v>
      </c>
      <c r="P20" s="373">
        <v>258.49403999999998</v>
      </c>
      <c r="Q20" s="373">
        <v>259.96379999999999</v>
      </c>
      <c r="R20" s="373">
        <v>262.35215999999997</v>
      </c>
      <c r="S20" s="373">
        <v>264.64866000000001</v>
      </c>
      <c r="Y20" s="467">
        <v>45383</v>
      </c>
      <c r="AA20" s="373">
        <v>252.06384</v>
      </c>
    </row>
    <row r="21" spans="2:28" ht="12" customHeight="1">
      <c r="B21" s="377"/>
      <c r="C21" s="377"/>
      <c r="D21" s="377"/>
      <c r="E21" s="377"/>
      <c r="F21" s="377"/>
      <c r="G21" s="377"/>
      <c r="H21" s="377"/>
      <c r="I21" s="377"/>
      <c r="J21" s="377"/>
      <c r="K21" s="377"/>
      <c r="L21" s="678">
        <v>44333</v>
      </c>
      <c r="M21" s="725" t="s">
        <v>281</v>
      </c>
      <c r="P21" s="583">
        <v>239.66273999999999</v>
      </c>
      <c r="Q21" s="583">
        <v>241.59180000000001</v>
      </c>
      <c r="R21" s="583">
        <v>244.07201999999998</v>
      </c>
      <c r="S21" s="583">
        <v>246.55223999999998</v>
      </c>
      <c r="T21" s="583"/>
      <c r="U21" s="583"/>
      <c r="V21" s="583"/>
      <c r="W21" s="583"/>
      <c r="X21" s="583"/>
      <c r="Y21" s="467">
        <v>45413</v>
      </c>
      <c r="Z21" s="583"/>
      <c r="AA21" s="583">
        <v>241.04064</v>
      </c>
    </row>
    <row r="22" spans="2:28" ht="12" customHeight="1">
      <c r="B22" s="377"/>
      <c r="C22" s="377"/>
      <c r="D22" s="377"/>
      <c r="E22" s="377"/>
      <c r="F22" s="377"/>
      <c r="G22" s="377"/>
      <c r="H22" s="377"/>
      <c r="I22" s="377"/>
      <c r="J22" s="377"/>
      <c r="K22" s="377"/>
      <c r="L22" s="678">
        <v>44340</v>
      </c>
      <c r="M22" s="725" t="s">
        <v>282</v>
      </c>
      <c r="P22" s="583">
        <v>226.06745999999998</v>
      </c>
      <c r="Q22" s="583">
        <v>228.82326</v>
      </c>
      <c r="R22" s="583">
        <v>232.31394</v>
      </c>
      <c r="S22" s="583">
        <v>235.34531999999999</v>
      </c>
      <c r="T22" s="583"/>
      <c r="U22" s="583"/>
      <c r="V22" s="583"/>
      <c r="W22" s="583"/>
      <c r="X22" s="583"/>
      <c r="Y22" s="467">
        <v>45444</v>
      </c>
      <c r="Z22" s="583"/>
      <c r="AA22" s="583">
        <v>239.11158</v>
      </c>
    </row>
    <row r="23" spans="2:28" ht="12" customHeight="1">
      <c r="C23" s="377"/>
      <c r="D23" s="377"/>
      <c r="E23" s="377"/>
      <c r="F23" s="377"/>
      <c r="G23" s="377"/>
      <c r="H23" s="377"/>
      <c r="I23" s="377"/>
      <c r="J23" s="377"/>
      <c r="K23" s="377"/>
      <c r="L23" s="678">
        <v>44348</v>
      </c>
      <c r="M23" s="725" t="s">
        <v>283</v>
      </c>
      <c r="P23" s="583">
        <v>234.24299999999999</v>
      </c>
      <c r="Q23" s="583">
        <v>236.99879999999999</v>
      </c>
      <c r="R23" s="583">
        <v>241.13249999999999</v>
      </c>
      <c r="S23" s="583">
        <v>244.62317999999999</v>
      </c>
      <c r="T23" s="583"/>
      <c r="U23" s="583"/>
      <c r="V23" s="583"/>
      <c r="W23" s="583">
        <v>244.71503999999999</v>
      </c>
      <c r="X23" s="583"/>
      <c r="Y23" s="467">
        <v>45474</v>
      </c>
      <c r="Z23" s="583"/>
      <c r="AA23" s="583">
        <v>249.30804000000001</v>
      </c>
    </row>
    <row r="24" spans="2:28" ht="12" customHeight="1">
      <c r="C24" s="377"/>
      <c r="D24" s="377"/>
      <c r="E24" s="377"/>
      <c r="F24" s="377"/>
      <c r="G24" s="377"/>
      <c r="H24" s="377"/>
      <c r="I24" s="377"/>
      <c r="J24" s="377"/>
      <c r="K24" s="377"/>
      <c r="L24" s="678">
        <v>44354</v>
      </c>
      <c r="M24" s="725" t="s">
        <v>284</v>
      </c>
      <c r="P24" s="583">
        <v>231.4872</v>
      </c>
      <c r="Q24" s="583">
        <v>234.42671999999999</v>
      </c>
      <c r="R24" s="583">
        <v>238.3767</v>
      </c>
      <c r="S24" s="583">
        <v>242.05109999999999</v>
      </c>
      <c r="T24" s="583"/>
      <c r="U24" s="583"/>
      <c r="V24" s="583"/>
      <c r="W24" s="583">
        <v>245.54177999999999</v>
      </c>
      <c r="X24" s="583"/>
      <c r="Y24" s="467">
        <v>45505</v>
      </c>
      <c r="Z24" s="583"/>
      <c r="AA24" s="583">
        <v>250.13478000000001</v>
      </c>
      <c r="AB24" s="583"/>
    </row>
    <row r="25" spans="2:28" ht="12" customHeight="1">
      <c r="B25" s="377"/>
      <c r="C25" s="377"/>
      <c r="D25" s="377"/>
      <c r="E25" s="377"/>
      <c r="F25" s="377"/>
      <c r="G25" s="377"/>
      <c r="H25" s="377"/>
      <c r="I25" s="377"/>
      <c r="J25" s="377"/>
      <c r="K25" s="377"/>
      <c r="L25" s="678">
        <v>44361</v>
      </c>
      <c r="M25" s="725" t="s">
        <v>285</v>
      </c>
      <c r="P25" s="681">
        <v>230.75232</v>
      </c>
      <c r="Q25" s="681">
        <v>233.78369999999998</v>
      </c>
      <c r="R25" s="681">
        <v>236.90693999999999</v>
      </c>
      <c r="S25" s="681">
        <v>240.12204</v>
      </c>
      <c r="T25" s="681"/>
      <c r="U25" s="681"/>
      <c r="V25" s="681"/>
      <c r="W25" s="681">
        <v>240.58133999999998</v>
      </c>
      <c r="X25" s="681"/>
      <c r="Y25" s="467">
        <v>45536</v>
      </c>
      <c r="Z25" s="681"/>
      <c r="AA25" s="681">
        <v>244.71503999999999</v>
      </c>
    </row>
    <row r="26" spans="2:28" ht="12" customHeight="1">
      <c r="B26" s="723" t="s">
        <v>263</v>
      </c>
      <c r="C26" s="377"/>
      <c r="D26" s="377"/>
      <c r="E26" s="377"/>
      <c r="F26" s="377"/>
      <c r="G26" s="377"/>
      <c r="H26" s="377"/>
      <c r="I26" s="377"/>
      <c r="J26" s="377"/>
      <c r="K26" s="377"/>
      <c r="L26" s="678">
        <v>44368</v>
      </c>
      <c r="M26" s="725" t="s">
        <v>286</v>
      </c>
      <c r="P26" s="681">
        <v>220.37214</v>
      </c>
      <c r="Q26" s="681">
        <v>223.86282</v>
      </c>
      <c r="R26" s="681">
        <v>227.81279999999998</v>
      </c>
      <c r="S26" s="681">
        <v>231.76277999999999</v>
      </c>
      <c r="T26" s="681"/>
      <c r="U26" s="681"/>
      <c r="V26" s="681"/>
      <c r="W26" s="681">
        <v>233.41625999999999</v>
      </c>
      <c r="X26" s="681"/>
      <c r="Y26" s="467">
        <v>45566</v>
      </c>
      <c r="Z26" s="681"/>
      <c r="AA26" s="681">
        <v>237.82553999999999</v>
      </c>
    </row>
    <row r="27" spans="2:28" ht="12" customHeight="1">
      <c r="B27" s="377"/>
      <c r="C27" s="377"/>
      <c r="D27" s="377"/>
      <c r="E27" s="377"/>
      <c r="F27" s="377"/>
      <c r="G27" s="377"/>
      <c r="H27" s="377"/>
      <c r="I27" s="377"/>
      <c r="J27" s="377"/>
      <c r="K27" s="377"/>
      <c r="L27" s="678">
        <v>44375</v>
      </c>
      <c r="M27" s="725" t="s">
        <v>287</v>
      </c>
      <c r="P27" s="681">
        <v>227.07792000000001</v>
      </c>
      <c r="Q27" s="681">
        <v>230.29301999999998</v>
      </c>
      <c r="R27" s="681">
        <v>233.69183999999998</v>
      </c>
      <c r="S27" s="681">
        <v>236.99879999999999</v>
      </c>
      <c r="T27" s="681"/>
      <c r="U27" s="681"/>
      <c r="V27" s="681"/>
      <c r="W27" s="681">
        <v>236.35577999999998</v>
      </c>
      <c r="X27" s="681"/>
      <c r="Y27" s="467">
        <v>45597</v>
      </c>
      <c r="Z27" s="681"/>
      <c r="AA27" s="681">
        <v>239.75459999999998</v>
      </c>
    </row>
    <row r="28" spans="2:28" ht="12" customHeight="1">
      <c r="B28" s="377"/>
      <c r="C28" s="377"/>
      <c r="D28" s="377"/>
      <c r="E28" s="377"/>
      <c r="F28" s="377"/>
      <c r="G28" s="377"/>
      <c r="H28" s="377"/>
      <c r="I28" s="377"/>
      <c r="J28" s="377"/>
      <c r="K28" s="377"/>
      <c r="L28" s="678">
        <v>44383</v>
      </c>
      <c r="M28" s="725" t="s">
        <v>288</v>
      </c>
      <c r="P28" s="681">
        <v>211.46171999999999</v>
      </c>
      <c r="Q28" s="681">
        <v>214.4931</v>
      </c>
      <c r="R28" s="681">
        <v>218.81052</v>
      </c>
      <c r="S28" s="681">
        <v>222.66863999999998</v>
      </c>
      <c r="T28" s="681"/>
      <c r="U28" s="681"/>
      <c r="V28" s="681"/>
      <c r="W28" s="681">
        <v>224.68956</v>
      </c>
      <c r="X28" s="681"/>
      <c r="Y28" s="467">
        <v>45627</v>
      </c>
      <c r="Z28" s="681"/>
      <c r="AA28" s="681">
        <v>228.36395999999999</v>
      </c>
    </row>
    <row r="29" spans="2:28" ht="12" customHeight="1">
      <c r="B29" s="377"/>
      <c r="C29" s="377"/>
      <c r="D29" s="377"/>
      <c r="E29" s="377"/>
      <c r="F29" s="377"/>
      <c r="G29" s="377"/>
      <c r="H29" s="377"/>
      <c r="I29" s="377"/>
      <c r="J29" s="377"/>
      <c r="K29" s="377"/>
      <c r="L29" s="678">
        <v>44389</v>
      </c>
      <c r="M29" s="725" t="s">
        <v>289</v>
      </c>
      <c r="Q29" s="681">
        <v>226.06745999999998</v>
      </c>
      <c r="R29" s="681">
        <v>229.92558</v>
      </c>
      <c r="S29" s="681">
        <v>233.3244</v>
      </c>
      <c r="T29" s="681"/>
      <c r="U29" s="681"/>
      <c r="V29" s="681"/>
      <c r="W29" s="681">
        <v>233.14068</v>
      </c>
      <c r="X29" s="681"/>
      <c r="Y29" s="467">
        <v>45658</v>
      </c>
      <c r="Z29" s="681"/>
      <c r="AA29" s="681">
        <v>236.90693999999999</v>
      </c>
    </row>
    <row r="30" spans="2:28" ht="12" customHeight="1">
      <c r="B30" s="377"/>
      <c r="C30" s="377"/>
      <c r="D30" s="377"/>
      <c r="E30" s="377"/>
      <c r="F30" s="377"/>
      <c r="G30" s="377"/>
      <c r="H30" s="377"/>
      <c r="I30" s="377"/>
      <c r="J30" s="377"/>
      <c r="K30" s="377"/>
      <c r="L30" s="678">
        <v>44396</v>
      </c>
      <c r="M30" s="725" t="s">
        <v>290</v>
      </c>
      <c r="Q30" s="681">
        <v>239.66273999999999</v>
      </c>
      <c r="R30" s="681">
        <v>243.61272</v>
      </c>
      <c r="S30" s="681">
        <v>246.27665999999999</v>
      </c>
      <c r="T30" s="681"/>
      <c r="U30" s="681"/>
      <c r="V30" s="681"/>
      <c r="W30" s="681">
        <v>243.15341999999998</v>
      </c>
      <c r="X30" s="681"/>
      <c r="Y30" s="467">
        <v>45689</v>
      </c>
      <c r="Z30" s="681"/>
      <c r="AA30" s="681">
        <v>246.27665999999999</v>
      </c>
    </row>
    <row r="31" spans="2:28" ht="12" customHeight="1">
      <c r="B31" s="377"/>
      <c r="C31" s="377"/>
      <c r="D31" s="377"/>
      <c r="E31" s="377"/>
      <c r="F31" s="377"/>
      <c r="G31" s="377"/>
      <c r="H31" s="377"/>
      <c r="I31" s="377"/>
      <c r="J31" s="377"/>
      <c r="K31" s="377"/>
      <c r="L31" s="678">
        <v>44403</v>
      </c>
      <c r="M31" s="725" t="s">
        <v>291</v>
      </c>
      <c r="Q31" s="681">
        <v>234.79416000000001</v>
      </c>
      <c r="R31" s="681">
        <v>239.01972000000001</v>
      </c>
      <c r="S31" s="681">
        <v>241.68366</v>
      </c>
      <c r="T31" s="681"/>
      <c r="U31" s="681"/>
      <c r="V31" s="681"/>
      <c r="W31" s="681">
        <v>239.75459999999998</v>
      </c>
      <c r="X31" s="681"/>
      <c r="Y31" s="467">
        <v>45717</v>
      </c>
      <c r="Z31" s="681"/>
      <c r="AA31" s="681">
        <v>242.5104</v>
      </c>
    </row>
    <row r="32" spans="2:28" ht="12" customHeight="1">
      <c r="B32" s="377"/>
      <c r="C32" s="377"/>
      <c r="D32" s="377"/>
      <c r="E32" s="377"/>
      <c r="F32" s="377"/>
      <c r="G32" s="377"/>
      <c r="H32" s="377"/>
      <c r="I32" s="377"/>
      <c r="J32" s="377"/>
      <c r="K32" s="377"/>
      <c r="L32" s="678">
        <v>44410</v>
      </c>
      <c r="M32" s="725" t="s">
        <v>292</v>
      </c>
      <c r="Q32" s="681">
        <v>258.49403999999998</v>
      </c>
      <c r="R32" s="681">
        <v>262.62774000000002</v>
      </c>
      <c r="S32" s="681">
        <v>265.38353999999998</v>
      </c>
      <c r="T32" s="681"/>
      <c r="U32" s="681"/>
      <c r="V32" s="681"/>
      <c r="W32" s="681">
        <v>258.95333999999997</v>
      </c>
      <c r="X32" s="681"/>
      <c r="Y32" s="467">
        <v>45748</v>
      </c>
      <c r="Z32" s="681"/>
      <c r="AA32" s="681">
        <v>260.97426000000002</v>
      </c>
    </row>
    <row r="33" spans="2:31" ht="12" customHeight="1">
      <c r="B33" s="377"/>
      <c r="C33" s="377"/>
      <c r="D33" s="377"/>
      <c r="E33" s="377"/>
      <c r="F33" s="377"/>
      <c r="G33" s="377"/>
      <c r="H33" s="377"/>
      <c r="I33" s="377"/>
      <c r="J33" s="377"/>
      <c r="K33" s="377"/>
      <c r="L33" s="678">
        <v>44417</v>
      </c>
      <c r="M33" s="725" t="s">
        <v>293</v>
      </c>
      <c r="Q33" s="583">
        <v>257.75916000000001</v>
      </c>
      <c r="R33" s="583">
        <v>262.16843999999998</v>
      </c>
      <c r="S33" s="583">
        <v>265.47539999999998</v>
      </c>
      <c r="T33" s="583"/>
      <c r="U33" s="583"/>
      <c r="V33" s="583"/>
      <c r="W33" s="583">
        <v>259.22892000000002</v>
      </c>
      <c r="X33" s="583"/>
      <c r="Y33" s="467">
        <v>45778</v>
      </c>
      <c r="Z33" s="583"/>
      <c r="AA33" s="583">
        <v>261.43356</v>
      </c>
      <c r="AB33" s="583"/>
    </row>
    <row r="34" spans="2:31" ht="12" customHeight="1">
      <c r="B34" s="377"/>
      <c r="C34" s="377"/>
      <c r="D34" s="377"/>
      <c r="E34" s="377"/>
      <c r="F34" s="377"/>
      <c r="G34" s="377"/>
      <c r="H34" s="377"/>
      <c r="I34" s="377"/>
      <c r="J34" s="377"/>
      <c r="K34" s="377"/>
      <c r="L34" s="678">
        <v>44424</v>
      </c>
      <c r="M34" s="725" t="s">
        <v>294</v>
      </c>
      <c r="Q34" s="583">
        <v>270.61955999999998</v>
      </c>
      <c r="R34" s="583">
        <v>275.30441999999999</v>
      </c>
      <c r="S34" s="583">
        <v>278.42766</v>
      </c>
      <c r="T34" s="583"/>
      <c r="U34" s="583"/>
      <c r="V34" s="583"/>
      <c r="W34" s="583">
        <v>265.93469999999996</v>
      </c>
      <c r="X34" s="583"/>
      <c r="Y34" s="467">
        <v>45809</v>
      </c>
      <c r="Z34" s="583"/>
      <c r="AA34" s="583">
        <v>268.41492</v>
      </c>
      <c r="AB34" s="583"/>
    </row>
    <row r="35" spans="2:31" ht="12" customHeight="1">
      <c r="B35" s="377"/>
      <c r="C35" s="377"/>
      <c r="D35" s="377"/>
      <c r="E35" s="377"/>
      <c r="F35" s="377"/>
      <c r="G35" s="377"/>
      <c r="H35" s="377"/>
      <c r="I35" s="377"/>
      <c r="J35" s="377"/>
      <c r="K35" s="377"/>
      <c r="L35" s="678">
        <v>44431</v>
      </c>
      <c r="M35" s="725" t="s">
        <v>295</v>
      </c>
      <c r="Q35" s="583">
        <v>258.76961999999997</v>
      </c>
      <c r="R35" s="583">
        <v>263.63819999999998</v>
      </c>
      <c r="S35" s="583">
        <v>267.12887999999998</v>
      </c>
      <c r="T35" s="583"/>
      <c r="U35" s="583"/>
      <c r="V35" s="583"/>
      <c r="W35" s="583">
        <v>259.96379999999999</v>
      </c>
      <c r="X35" s="583"/>
      <c r="Y35" s="467">
        <v>45839</v>
      </c>
      <c r="Z35" s="583"/>
      <c r="AA35" s="583">
        <v>263.63819999999998</v>
      </c>
      <c r="AB35" s="583"/>
    </row>
    <row r="36" spans="2:31" ht="13.8" customHeight="1">
      <c r="B36" s="377"/>
      <c r="C36" s="377"/>
      <c r="D36" s="377"/>
      <c r="E36" s="377"/>
      <c r="F36" s="377"/>
      <c r="G36" s="377"/>
      <c r="H36" s="377"/>
      <c r="I36" s="377"/>
      <c r="J36" s="377"/>
      <c r="K36" s="377"/>
      <c r="L36" s="678">
        <v>44438</v>
      </c>
      <c r="M36" s="725" t="s">
        <v>296</v>
      </c>
      <c r="Q36" s="583">
        <v>258.76961999999997</v>
      </c>
      <c r="R36" s="583">
        <v>261.80099999999999</v>
      </c>
      <c r="S36" s="583">
        <v>265.10795999999999</v>
      </c>
      <c r="T36" s="583"/>
      <c r="U36" s="583"/>
      <c r="V36" s="583"/>
      <c r="W36" s="583">
        <v>259.87194</v>
      </c>
      <c r="X36" s="583"/>
      <c r="Y36" s="467">
        <v>45870</v>
      </c>
      <c r="Z36" s="583"/>
      <c r="AA36" s="583">
        <v>263.27076</v>
      </c>
      <c r="AB36" s="583"/>
    </row>
    <row r="37" spans="2:31" ht="13.8" customHeight="1">
      <c r="B37" s="377"/>
      <c r="C37" s="377"/>
      <c r="D37" s="377"/>
      <c r="E37" s="377"/>
      <c r="F37" s="377"/>
      <c r="G37" s="377"/>
      <c r="H37" s="377"/>
      <c r="I37" s="377"/>
      <c r="J37" s="377"/>
      <c r="K37" s="377"/>
      <c r="L37" s="678">
        <v>44446</v>
      </c>
      <c r="M37" s="725" t="s">
        <v>297</v>
      </c>
      <c r="Q37" s="583">
        <v>260.79053999999996</v>
      </c>
      <c r="R37" s="583">
        <v>263.63819999999998</v>
      </c>
      <c r="S37" s="583">
        <v>266.94515999999999</v>
      </c>
      <c r="T37" s="583"/>
      <c r="U37" s="583"/>
      <c r="V37" s="583"/>
      <c r="W37" s="583">
        <v>261.06612000000001</v>
      </c>
      <c r="X37" s="583"/>
      <c r="Y37" s="467">
        <v>45901</v>
      </c>
      <c r="Z37" s="583"/>
      <c r="AA37" s="583">
        <v>265.19981999999999</v>
      </c>
      <c r="AB37" s="583"/>
    </row>
    <row r="38" spans="2:31" ht="12.75" customHeight="1">
      <c r="B38" s="377"/>
      <c r="C38" s="377"/>
      <c r="D38" s="377"/>
      <c r="E38" s="377"/>
      <c r="F38" s="377"/>
      <c r="G38" s="377"/>
      <c r="H38" s="377"/>
      <c r="I38" s="377"/>
      <c r="J38" s="377"/>
      <c r="K38" s="377"/>
      <c r="L38" s="678">
        <v>44452</v>
      </c>
      <c r="M38" s="725" t="s">
        <v>298</v>
      </c>
      <c r="R38" s="583">
        <v>252.1557</v>
      </c>
      <c r="S38" s="583">
        <v>255.3708</v>
      </c>
      <c r="T38" s="583"/>
      <c r="U38" s="583"/>
      <c r="V38" s="583"/>
      <c r="W38" s="583">
        <v>254.08475999999999</v>
      </c>
      <c r="X38" s="583"/>
      <c r="Y38" s="467">
        <v>45931</v>
      </c>
      <c r="Z38" s="583"/>
      <c r="AA38" s="583">
        <v>258.40217999999999</v>
      </c>
    </row>
    <row r="39" spans="2:31" ht="12.75" customHeight="1">
      <c r="B39" s="377"/>
      <c r="C39" s="377"/>
      <c r="D39" s="377"/>
      <c r="E39" s="377"/>
      <c r="F39" s="377"/>
      <c r="G39" s="377"/>
      <c r="H39" s="377"/>
      <c r="I39" s="377"/>
      <c r="J39" s="377"/>
      <c r="K39" s="377"/>
      <c r="L39" s="678">
        <v>44459</v>
      </c>
      <c r="M39" s="725" t="s">
        <v>299</v>
      </c>
      <c r="R39" s="583">
        <v>257.20799999999997</v>
      </c>
      <c r="S39" s="583">
        <v>260.51495999999997</v>
      </c>
      <c r="T39" s="583"/>
      <c r="U39" s="583"/>
      <c r="V39" s="583"/>
      <c r="W39" s="583">
        <v>259.68822</v>
      </c>
      <c r="X39" s="583"/>
      <c r="Y39" s="467">
        <v>45962</v>
      </c>
      <c r="Z39" s="583"/>
      <c r="AA39" s="583">
        <v>264.09749999999997</v>
      </c>
    </row>
    <row r="40" spans="2:31" ht="15" customHeight="1">
      <c r="B40" s="377"/>
      <c r="C40" s="377"/>
      <c r="D40" s="377"/>
      <c r="E40" s="377"/>
      <c r="F40" s="377"/>
      <c r="G40" s="377"/>
      <c r="H40" s="377"/>
      <c r="I40" s="377"/>
      <c r="J40" s="377"/>
      <c r="K40" s="377"/>
      <c r="L40" s="678">
        <v>44466</v>
      </c>
      <c r="M40" s="725" t="s">
        <v>300</v>
      </c>
      <c r="R40" s="583">
        <v>264.83238</v>
      </c>
      <c r="S40" s="583">
        <v>267.68004000000002</v>
      </c>
      <c r="T40" s="583"/>
      <c r="U40" s="583"/>
      <c r="V40" s="583"/>
      <c r="W40" s="583">
        <v>264.28122000000002</v>
      </c>
      <c r="X40" s="583"/>
      <c r="Y40" s="467">
        <v>45992</v>
      </c>
      <c r="Z40" s="583"/>
      <c r="AA40" s="583">
        <v>267.58817999999997</v>
      </c>
    </row>
    <row r="41" spans="2:31" ht="15" customHeight="1">
      <c r="B41" s="377"/>
      <c r="C41" s="377"/>
      <c r="D41" s="377"/>
      <c r="E41" s="377"/>
      <c r="F41" s="377"/>
      <c r="G41" s="377"/>
      <c r="H41" s="377"/>
      <c r="I41" s="377"/>
      <c r="J41" s="377"/>
      <c r="K41" s="377"/>
      <c r="L41" s="678">
        <v>44473</v>
      </c>
      <c r="M41" s="725" t="s">
        <v>301</v>
      </c>
      <c r="R41" s="583">
        <v>277.14161999999999</v>
      </c>
      <c r="S41" s="583">
        <v>279.98928000000001</v>
      </c>
      <c r="T41" s="583"/>
      <c r="U41" s="583"/>
      <c r="V41" s="583"/>
      <c r="W41" s="583">
        <v>276.03929999999997</v>
      </c>
      <c r="X41" s="583"/>
      <c r="Y41" s="467">
        <v>46023</v>
      </c>
      <c r="Z41" s="583"/>
      <c r="AA41" s="583">
        <v>279.07067999999998</v>
      </c>
      <c r="AC41" s="583"/>
      <c r="AD41" s="583"/>
      <c r="AE41" s="583"/>
    </row>
    <row r="42" spans="2:31" ht="15" customHeight="1">
      <c r="B42" s="377"/>
      <c r="C42" s="377"/>
      <c r="D42" s="377"/>
      <c r="E42" s="377"/>
      <c r="F42" s="377"/>
      <c r="G42" s="377"/>
      <c r="H42" s="377"/>
      <c r="I42" s="377"/>
      <c r="J42" s="377"/>
      <c r="K42" s="377"/>
      <c r="L42" s="678">
        <v>44480</v>
      </c>
      <c r="M42" s="725" t="s">
        <v>302</v>
      </c>
      <c r="R42" s="583">
        <v>269.88468</v>
      </c>
      <c r="S42" s="583">
        <v>272.91606000000002</v>
      </c>
      <c r="T42" s="583"/>
      <c r="U42" s="583"/>
      <c r="V42" s="583"/>
      <c r="W42" s="583">
        <v>272.18117999999998</v>
      </c>
      <c r="X42" s="583"/>
      <c r="Y42" s="467">
        <v>46054</v>
      </c>
      <c r="Z42" s="583"/>
      <c r="AA42" s="583">
        <v>275.58</v>
      </c>
      <c r="AD42" s="583"/>
      <c r="AE42" s="583"/>
    </row>
    <row r="43" spans="2:31" ht="15" customHeight="1">
      <c r="B43" s="377"/>
      <c r="C43" s="377"/>
      <c r="D43" s="377"/>
      <c r="E43" s="377"/>
      <c r="F43" s="377"/>
      <c r="G43" s="377"/>
      <c r="H43" s="377"/>
      <c r="I43" s="377"/>
      <c r="J43" s="377"/>
      <c r="K43" s="377"/>
      <c r="L43" s="678">
        <v>44487</v>
      </c>
      <c r="M43" s="725" t="s">
        <v>642</v>
      </c>
      <c r="R43" s="583">
        <v>275.21256</v>
      </c>
      <c r="S43" s="583">
        <v>277.78463999999997</v>
      </c>
      <c r="T43" s="583"/>
      <c r="U43" s="583"/>
      <c r="V43" s="583"/>
      <c r="W43" s="583">
        <v>275.58</v>
      </c>
      <c r="X43" s="583"/>
      <c r="Y43" s="467">
        <v>46082</v>
      </c>
      <c r="Z43" s="583"/>
      <c r="AA43" s="583">
        <v>278.70323999999999</v>
      </c>
      <c r="AD43" s="583"/>
      <c r="AE43" s="583"/>
    </row>
    <row r="44" spans="2:31" ht="15" customHeight="1">
      <c r="B44" s="377"/>
      <c r="C44" s="377"/>
      <c r="D44" s="377"/>
      <c r="E44" s="377"/>
      <c r="F44" s="377"/>
      <c r="G44" s="377"/>
      <c r="H44" s="377"/>
      <c r="I44" s="377"/>
      <c r="J44" s="377"/>
      <c r="K44" s="377"/>
      <c r="L44" s="678">
        <v>44494</v>
      </c>
      <c r="M44" s="725" t="s">
        <v>643</v>
      </c>
      <c r="R44" s="583">
        <v>285.77645999999999</v>
      </c>
      <c r="S44" s="583">
        <v>286.78692000000001</v>
      </c>
      <c r="T44" s="583"/>
      <c r="U44" s="583"/>
      <c r="V44" s="583"/>
      <c r="W44" s="583">
        <v>281.36718000000002</v>
      </c>
      <c r="X44" s="583"/>
      <c r="Y44" s="583">
        <v>281.18345999999997</v>
      </c>
      <c r="Z44" s="583"/>
      <c r="AA44" s="583">
        <v>283.57182</v>
      </c>
      <c r="AD44" s="583"/>
      <c r="AE44" s="583"/>
    </row>
    <row r="45" spans="2:31" ht="15" customHeight="1">
      <c r="B45" s="377"/>
      <c r="C45" s="377"/>
      <c r="D45" s="377"/>
      <c r="E45" s="377"/>
      <c r="F45" s="377"/>
      <c r="G45" s="377"/>
      <c r="H45" s="377"/>
      <c r="I45" s="377"/>
      <c r="J45" s="377"/>
      <c r="K45" s="377"/>
      <c r="L45" s="678">
        <v>44501</v>
      </c>
      <c r="M45" s="725" t="s">
        <v>644</v>
      </c>
      <c r="Q45" s="681"/>
      <c r="R45" s="681">
        <v>296.34035999999998</v>
      </c>
      <c r="S45" s="681">
        <v>297.71825999999999</v>
      </c>
      <c r="T45" s="681"/>
      <c r="U45" s="681"/>
      <c r="V45" s="681"/>
      <c r="W45" s="681">
        <v>292.02294000000001</v>
      </c>
      <c r="X45" s="681"/>
      <c r="Y45" s="681">
        <v>291.37991999999997</v>
      </c>
      <c r="Z45" s="681"/>
      <c r="AA45" s="681">
        <v>293.21711999999997</v>
      </c>
      <c r="AD45" s="583"/>
      <c r="AE45" s="583"/>
    </row>
    <row r="46" spans="2:31" ht="15" customHeight="1">
      <c r="B46" s="377"/>
      <c r="C46" s="377"/>
      <c r="D46" s="377"/>
      <c r="E46" s="377"/>
      <c r="F46" s="377"/>
      <c r="G46" s="377"/>
      <c r="H46" s="377"/>
      <c r="I46" s="377"/>
      <c r="J46" s="377"/>
      <c r="K46" s="377"/>
      <c r="L46" s="678">
        <v>44508</v>
      </c>
      <c r="M46" s="725" t="s">
        <v>645</v>
      </c>
      <c r="R46" s="583">
        <v>286.87878000000001</v>
      </c>
      <c r="S46" s="583">
        <v>288.44040000000001</v>
      </c>
      <c r="T46" s="583"/>
      <c r="U46" s="583"/>
      <c r="V46" s="583"/>
      <c r="W46" s="583">
        <v>285.13344000000001</v>
      </c>
      <c r="X46" s="583"/>
      <c r="Y46" s="583">
        <v>284.39855999999997</v>
      </c>
      <c r="Z46" s="583"/>
      <c r="AA46" s="583">
        <v>286.69506000000001</v>
      </c>
      <c r="AC46" s="583"/>
      <c r="AD46" s="583"/>
      <c r="AE46" s="583"/>
    </row>
    <row r="47" spans="2:31" ht="15" customHeight="1">
      <c r="B47" s="377"/>
      <c r="C47" s="377"/>
      <c r="D47" s="377"/>
      <c r="E47" s="377"/>
      <c r="F47" s="377"/>
      <c r="G47" s="377"/>
      <c r="H47" s="377"/>
      <c r="I47" s="377"/>
      <c r="J47" s="377"/>
      <c r="K47" s="377"/>
      <c r="L47" s="678">
        <v>44515</v>
      </c>
      <c r="M47" s="725" t="s">
        <v>646</v>
      </c>
      <c r="R47" s="583">
        <v>307.17984000000001</v>
      </c>
      <c r="S47" s="583">
        <v>308.09843999999998</v>
      </c>
      <c r="T47" s="583"/>
      <c r="U47" s="583"/>
      <c r="V47" s="583"/>
      <c r="W47" s="583">
        <v>301.76009999999997</v>
      </c>
      <c r="X47" s="583"/>
      <c r="Y47" s="583">
        <v>299.46359999999999</v>
      </c>
      <c r="Z47" s="583"/>
      <c r="AA47" s="583">
        <v>301.02521999999999</v>
      </c>
    </row>
    <row r="48" spans="2:31" ht="15" customHeight="1">
      <c r="B48" s="377"/>
      <c r="C48" s="377"/>
      <c r="D48" s="377"/>
      <c r="E48" s="377"/>
      <c r="F48" s="377"/>
      <c r="G48" s="377"/>
      <c r="H48" s="377"/>
      <c r="I48" s="377"/>
      <c r="J48" s="377"/>
      <c r="K48" s="377"/>
      <c r="L48" s="678">
        <v>44522</v>
      </c>
      <c r="M48" s="725" t="s">
        <v>647</v>
      </c>
      <c r="R48" s="583">
        <v>316.64141999999998</v>
      </c>
      <c r="S48" s="583">
        <v>318.38675999999998</v>
      </c>
      <c r="T48" s="583"/>
      <c r="U48" s="583"/>
      <c r="V48" s="583"/>
      <c r="W48" s="583">
        <v>311.86469999999997</v>
      </c>
      <c r="X48" s="583"/>
      <c r="Y48" s="583">
        <v>310.9461</v>
      </c>
      <c r="Z48" s="583"/>
      <c r="AA48" s="583">
        <v>312.59958</v>
      </c>
    </row>
    <row r="49" spans="2:30" ht="15" customHeight="1">
      <c r="B49" s="377"/>
      <c r="C49" s="377"/>
      <c r="D49" s="377"/>
      <c r="E49" s="377"/>
      <c r="F49" s="377"/>
      <c r="G49" s="377"/>
      <c r="H49" s="377"/>
      <c r="I49" s="377"/>
      <c r="J49" s="377"/>
      <c r="K49" s="377"/>
      <c r="L49" s="678">
        <v>44529</v>
      </c>
      <c r="M49" s="725" t="s">
        <v>648</v>
      </c>
      <c r="R49" s="583">
        <v>313.79375999999996</v>
      </c>
      <c r="S49" s="583">
        <v>314.98793999999998</v>
      </c>
      <c r="T49" s="583"/>
      <c r="U49" s="583"/>
      <c r="V49" s="583"/>
      <c r="W49" s="583">
        <v>307.73099999999999</v>
      </c>
      <c r="X49" s="583"/>
      <c r="Y49" s="583">
        <v>306.81239999999997</v>
      </c>
      <c r="Z49" s="583"/>
      <c r="AA49" s="583">
        <v>308.09843999999998</v>
      </c>
    </row>
    <row r="50" spans="2:30" ht="15" customHeight="1">
      <c r="B50" s="377"/>
      <c r="C50" s="377"/>
      <c r="D50" s="377"/>
      <c r="E50" s="377"/>
      <c r="F50" s="377"/>
      <c r="G50" s="377"/>
      <c r="H50" s="377"/>
      <c r="I50" s="377"/>
      <c r="J50" s="377"/>
      <c r="K50" s="377"/>
      <c r="L50" s="682">
        <v>44536</v>
      </c>
      <c r="M50" s="725" t="s">
        <v>649</v>
      </c>
      <c r="R50" s="583">
        <v>301.85195999999996</v>
      </c>
      <c r="S50" s="583">
        <v>302.21940000000001</v>
      </c>
      <c r="T50" s="583"/>
      <c r="U50" s="583"/>
      <c r="V50" s="583"/>
      <c r="W50" s="583">
        <v>299.46359999999999</v>
      </c>
      <c r="X50" s="583"/>
      <c r="Y50" s="583">
        <v>299.83103999999997</v>
      </c>
      <c r="Z50" s="583"/>
      <c r="AA50" s="583">
        <v>301.85195999999996</v>
      </c>
    </row>
    <row r="51" spans="2:30" ht="15" customHeight="1">
      <c r="B51" s="377"/>
      <c r="C51" s="377"/>
      <c r="D51" s="377"/>
      <c r="E51" s="377"/>
      <c r="F51" s="377"/>
      <c r="G51" s="377"/>
      <c r="H51" s="377"/>
      <c r="I51" s="377"/>
      <c r="J51" s="377"/>
      <c r="K51" s="377"/>
      <c r="L51" s="682">
        <v>44543</v>
      </c>
      <c r="M51" s="725" t="s">
        <v>650</v>
      </c>
      <c r="S51" s="583">
        <v>298.54500000000002</v>
      </c>
      <c r="T51" s="583"/>
      <c r="U51" s="583">
        <v>379.7</v>
      </c>
      <c r="V51" s="583"/>
      <c r="W51" s="583">
        <v>295.23804000000001</v>
      </c>
      <c r="X51" s="583"/>
      <c r="Y51" s="583">
        <v>295.88105999999999</v>
      </c>
      <c r="Z51" s="583"/>
      <c r="AA51" s="583">
        <v>297.71825999999999</v>
      </c>
      <c r="AB51" s="583"/>
    </row>
    <row r="52" spans="2:30" ht="15" customHeight="1">
      <c r="B52" s="377"/>
      <c r="C52" s="377"/>
      <c r="D52" s="377"/>
      <c r="E52" s="377"/>
      <c r="F52" s="377"/>
      <c r="G52" s="377"/>
      <c r="H52" s="377"/>
      <c r="I52" s="377"/>
      <c r="J52" s="377"/>
      <c r="K52" s="377"/>
      <c r="L52" s="682">
        <v>44550</v>
      </c>
      <c r="M52" s="725" t="s">
        <v>651</v>
      </c>
      <c r="S52" s="583">
        <v>298.82058000000001</v>
      </c>
      <c r="T52" s="583"/>
      <c r="U52" s="583">
        <v>379.5</v>
      </c>
      <c r="V52" s="583"/>
      <c r="W52" s="583">
        <v>295.32990000000001</v>
      </c>
      <c r="X52" s="583"/>
      <c r="Y52" s="583">
        <v>295.78919999999999</v>
      </c>
      <c r="Z52" s="583"/>
      <c r="AA52" s="583">
        <v>297.1671</v>
      </c>
      <c r="AB52" s="583"/>
    </row>
    <row r="53" spans="2:30" ht="15" customHeight="1">
      <c r="B53" s="377"/>
      <c r="C53" s="377"/>
      <c r="D53" s="377"/>
      <c r="E53" s="377"/>
      <c r="F53" s="377"/>
      <c r="G53" s="377"/>
      <c r="H53" s="377"/>
      <c r="I53" s="377"/>
      <c r="J53" s="377"/>
      <c r="K53" s="377"/>
      <c r="L53" s="682">
        <v>44557</v>
      </c>
      <c r="M53" s="725" t="s">
        <v>652</v>
      </c>
      <c r="S53" s="583">
        <v>311.22167999999999</v>
      </c>
      <c r="T53" s="583"/>
      <c r="U53" s="583">
        <v>391.9</v>
      </c>
      <c r="V53" s="583"/>
      <c r="W53" s="583">
        <v>308.19029999999998</v>
      </c>
      <c r="X53" s="583"/>
      <c r="Y53" s="583">
        <v>308.37401999999997</v>
      </c>
      <c r="Z53" s="583"/>
      <c r="AA53" s="583">
        <v>309.38448</v>
      </c>
      <c r="AB53" s="583"/>
    </row>
    <row r="54" spans="2:30" ht="15" customHeight="1">
      <c r="B54" s="377"/>
      <c r="C54" s="377"/>
      <c r="D54" s="377"/>
      <c r="E54" s="377"/>
      <c r="F54" s="377"/>
      <c r="G54" s="377"/>
      <c r="H54" s="377"/>
      <c r="I54" s="377"/>
      <c r="J54" s="377"/>
      <c r="K54" s="377"/>
      <c r="L54" s="682">
        <v>44564</v>
      </c>
      <c r="M54" s="725" t="s">
        <v>653</v>
      </c>
      <c r="S54" s="583">
        <v>290.82875999999999</v>
      </c>
      <c r="T54" s="583"/>
      <c r="U54" s="583">
        <v>371.9</v>
      </c>
      <c r="V54" s="583"/>
      <c r="W54" s="583">
        <v>289.91016000000002</v>
      </c>
      <c r="X54" s="583"/>
      <c r="Y54" s="583">
        <v>290.82875999999999</v>
      </c>
      <c r="Z54" s="583"/>
      <c r="AA54" s="583">
        <v>292.66595999999998</v>
      </c>
      <c r="AB54" s="583">
        <v>293.12525999999997</v>
      </c>
    </row>
    <row r="55" spans="2:30" ht="15" customHeight="1">
      <c r="B55" s="377"/>
      <c r="C55" s="377"/>
      <c r="D55" s="377"/>
      <c r="E55" s="377"/>
      <c r="F55" s="377"/>
      <c r="G55" s="377"/>
      <c r="H55" s="377"/>
      <c r="I55" s="377"/>
      <c r="J55" s="377"/>
      <c r="K55" s="377"/>
      <c r="L55" s="682">
        <v>44571</v>
      </c>
      <c r="M55" s="725" t="s">
        <v>670</v>
      </c>
      <c r="S55" s="583">
        <v>285.96017999999998</v>
      </c>
      <c r="T55" s="583"/>
      <c r="U55" s="583">
        <v>370.4</v>
      </c>
      <c r="V55" s="583"/>
      <c r="W55" s="583">
        <v>285.86831999999998</v>
      </c>
      <c r="X55" s="583"/>
      <c r="Y55" s="583">
        <v>286.97064</v>
      </c>
      <c r="Z55" s="583"/>
      <c r="AA55" s="583">
        <v>289.54271999999997</v>
      </c>
      <c r="AB55" s="583">
        <v>290.55318</v>
      </c>
      <c r="AC55" s="583"/>
    </row>
    <row r="56" spans="2:30" ht="15" customHeight="1">
      <c r="B56" s="377"/>
      <c r="C56" s="377"/>
      <c r="D56" s="377"/>
      <c r="E56" s="377"/>
      <c r="F56" s="377"/>
      <c r="G56" s="377"/>
      <c r="H56" s="377"/>
      <c r="I56" s="377"/>
      <c r="J56" s="377"/>
      <c r="K56" s="377"/>
      <c r="L56" s="682">
        <v>44579</v>
      </c>
      <c r="M56" s="725" t="s">
        <v>671</v>
      </c>
      <c r="S56" s="583">
        <v>283.93925999999999</v>
      </c>
      <c r="T56" s="583"/>
      <c r="U56" s="583">
        <v>369.3</v>
      </c>
      <c r="V56" s="583"/>
      <c r="W56" s="583">
        <v>285.50088</v>
      </c>
      <c r="X56" s="583"/>
      <c r="Y56" s="583">
        <v>286.87878000000001</v>
      </c>
      <c r="Z56" s="583"/>
      <c r="AA56" s="583">
        <v>289.54271999999997</v>
      </c>
      <c r="AB56" s="583">
        <v>290.92061999999999</v>
      </c>
      <c r="AC56" s="583"/>
    </row>
    <row r="57" spans="2:30" ht="15" customHeight="1">
      <c r="B57" s="377"/>
      <c r="C57" s="377"/>
      <c r="D57" s="377"/>
      <c r="E57" s="377"/>
      <c r="F57" s="377"/>
      <c r="G57" s="377"/>
      <c r="H57" s="377"/>
      <c r="I57" s="377"/>
      <c r="J57" s="377"/>
      <c r="K57" s="377"/>
      <c r="L57" s="682">
        <v>44585</v>
      </c>
      <c r="M57" s="725" t="s">
        <v>672</v>
      </c>
      <c r="S57" s="583">
        <v>300.56592000000001</v>
      </c>
      <c r="T57" s="583"/>
      <c r="U57" s="583">
        <v>389.6</v>
      </c>
      <c r="V57" s="583"/>
      <c r="W57" s="583">
        <v>301.30079999999998</v>
      </c>
      <c r="X57" s="583"/>
      <c r="Y57" s="583">
        <v>302.40312</v>
      </c>
      <c r="Z57" s="583"/>
      <c r="AA57" s="583">
        <v>304.88333999999998</v>
      </c>
      <c r="AB57" s="583">
        <v>305.15891999999997</v>
      </c>
      <c r="AC57" s="583"/>
    </row>
    <row r="58" spans="2:30" ht="15" customHeight="1">
      <c r="B58" s="377"/>
      <c r="C58" s="377"/>
      <c r="D58" s="377"/>
      <c r="E58" s="377"/>
      <c r="F58" s="377"/>
      <c r="G58" s="377"/>
      <c r="H58" s="377"/>
      <c r="I58" s="377"/>
      <c r="J58" s="377"/>
      <c r="K58" s="377"/>
      <c r="L58" s="682">
        <v>44592</v>
      </c>
      <c r="M58" s="725" t="s">
        <v>673</v>
      </c>
      <c r="S58" s="583">
        <v>287.0625</v>
      </c>
      <c r="T58" s="583"/>
      <c r="U58" s="583">
        <v>380</v>
      </c>
      <c r="V58" s="583"/>
      <c r="W58" s="583">
        <v>288.07295999999997</v>
      </c>
      <c r="X58" s="583"/>
      <c r="Y58" s="583">
        <v>289.45085999999998</v>
      </c>
      <c r="Z58" s="583"/>
      <c r="AA58" s="583">
        <v>292.20666</v>
      </c>
      <c r="AB58" s="583">
        <v>293.21711999999997</v>
      </c>
      <c r="AC58" s="583"/>
    </row>
    <row r="59" spans="2:30" ht="15" customHeight="1">
      <c r="B59" s="377"/>
      <c r="C59" s="377"/>
      <c r="D59" s="377"/>
      <c r="E59" s="377"/>
      <c r="F59" s="377"/>
      <c r="G59" s="377"/>
      <c r="H59" s="377"/>
      <c r="I59" s="377"/>
      <c r="J59" s="377"/>
      <c r="K59" s="377"/>
      <c r="L59" s="682">
        <v>44599</v>
      </c>
      <c r="M59" s="725" t="s">
        <v>674</v>
      </c>
      <c r="S59" s="583">
        <v>290.92061999999999</v>
      </c>
      <c r="T59" s="583"/>
      <c r="U59" s="583">
        <v>380.6</v>
      </c>
      <c r="V59" s="583"/>
      <c r="W59" s="583">
        <v>293.21711999999997</v>
      </c>
      <c r="X59" s="583"/>
      <c r="Y59" s="583">
        <v>294.68687999999997</v>
      </c>
      <c r="Z59" s="583"/>
      <c r="AA59" s="583">
        <v>297.81011999999998</v>
      </c>
      <c r="AB59" s="583">
        <v>299.09616</v>
      </c>
      <c r="AC59" s="583"/>
    </row>
    <row r="60" spans="2:30" ht="15" customHeight="1">
      <c r="B60" s="377"/>
      <c r="C60" s="377"/>
      <c r="D60" s="377"/>
      <c r="E60" s="377"/>
      <c r="F60" s="377"/>
      <c r="G60" s="377"/>
      <c r="H60" s="377"/>
      <c r="I60" s="377"/>
      <c r="J60" s="377"/>
      <c r="K60" s="377"/>
      <c r="L60" s="682">
        <v>44606</v>
      </c>
      <c r="M60" s="725" t="s">
        <v>676</v>
      </c>
      <c r="S60" s="583">
        <v>304.42403999999999</v>
      </c>
      <c r="T60" s="583"/>
      <c r="U60" s="583">
        <v>395.3</v>
      </c>
      <c r="V60" s="583"/>
      <c r="W60" s="583">
        <v>305.80194</v>
      </c>
      <c r="X60" s="583"/>
      <c r="Y60" s="583">
        <v>306.99612000000002</v>
      </c>
      <c r="Z60" s="583"/>
      <c r="AA60" s="583">
        <v>309.75191999999998</v>
      </c>
      <c r="AB60" s="583">
        <v>310.48680000000002</v>
      </c>
    </row>
    <row r="61" spans="2:30" ht="15" customHeight="1">
      <c r="B61" s="377"/>
      <c r="C61" s="377"/>
      <c r="D61" s="377"/>
      <c r="E61" s="377"/>
      <c r="F61" s="377"/>
      <c r="G61" s="377"/>
      <c r="H61" s="377"/>
      <c r="I61" s="377"/>
      <c r="J61" s="377"/>
      <c r="K61" s="377"/>
      <c r="L61" s="682">
        <v>44614</v>
      </c>
      <c r="M61" s="725" t="s">
        <v>677</v>
      </c>
      <c r="S61" s="583">
        <v>323.99021999999997</v>
      </c>
      <c r="T61" s="583"/>
      <c r="U61" s="583">
        <v>414</v>
      </c>
      <c r="V61" s="583"/>
      <c r="W61" s="583">
        <v>325.73555999999996</v>
      </c>
      <c r="X61" s="583"/>
      <c r="Y61" s="583">
        <v>326.37858</v>
      </c>
      <c r="Z61" s="583"/>
      <c r="AA61" s="583">
        <v>328.39949999999999</v>
      </c>
      <c r="AB61" s="583">
        <v>328.30763999999999</v>
      </c>
    </row>
    <row r="62" spans="2:30" ht="15" customHeight="1">
      <c r="B62" s="377"/>
      <c r="C62" s="377"/>
      <c r="D62" s="377"/>
      <c r="E62" s="377"/>
      <c r="F62" s="377"/>
      <c r="G62" s="377"/>
      <c r="H62" s="377"/>
      <c r="I62" s="377"/>
      <c r="J62" s="377"/>
      <c r="K62" s="377"/>
      <c r="L62" s="682">
        <v>44620</v>
      </c>
      <c r="M62" s="725" t="s">
        <v>678</v>
      </c>
      <c r="S62" s="583">
        <v>350.62961999999999</v>
      </c>
      <c r="T62" s="583"/>
      <c r="U62" s="583">
        <v>438.3</v>
      </c>
      <c r="V62" s="583"/>
      <c r="W62" s="583">
        <v>345.66917999999998</v>
      </c>
      <c r="X62" s="583"/>
      <c r="Y62" s="583">
        <v>342.72965999999997</v>
      </c>
      <c r="Z62" s="583"/>
      <c r="AA62" s="583">
        <v>341.16803999999996</v>
      </c>
      <c r="AB62" s="583">
        <v>336.20760000000001</v>
      </c>
    </row>
    <row r="63" spans="2:30" ht="15" customHeight="1">
      <c r="B63" s="377"/>
      <c r="C63" s="377"/>
      <c r="D63" s="377"/>
      <c r="E63" s="377"/>
      <c r="F63" s="377"/>
      <c r="G63" s="377"/>
      <c r="H63" s="377"/>
      <c r="I63" s="377"/>
      <c r="J63" s="377"/>
      <c r="K63" s="377"/>
      <c r="L63" s="682">
        <v>44627</v>
      </c>
      <c r="M63" s="725" t="s">
        <v>705</v>
      </c>
      <c r="U63" s="583">
        <v>547.9</v>
      </c>
      <c r="V63" s="583">
        <v>0</v>
      </c>
      <c r="W63" s="583">
        <v>453.32909999999998</v>
      </c>
      <c r="X63" s="583"/>
      <c r="Y63" s="583">
        <v>438.08033999999998</v>
      </c>
      <c r="Z63" s="583"/>
      <c r="AA63" s="583">
        <v>419.70833999999996</v>
      </c>
      <c r="AB63" s="583">
        <v>402.80610000000001</v>
      </c>
      <c r="AC63" s="583">
        <v>306.99612000000002</v>
      </c>
      <c r="AD63" s="583"/>
    </row>
    <row r="64" spans="2:30" ht="15" customHeight="1">
      <c r="L64" s="682">
        <v>44634</v>
      </c>
      <c r="M64" s="725" t="s">
        <v>706</v>
      </c>
      <c r="U64" s="583">
        <v>496</v>
      </c>
      <c r="V64" s="583">
        <v>0</v>
      </c>
      <c r="W64" s="583">
        <v>398.85611999999998</v>
      </c>
      <c r="X64" s="583"/>
      <c r="Y64" s="583">
        <v>392.33405999999997</v>
      </c>
      <c r="Z64" s="583"/>
      <c r="AA64" s="583">
        <v>386.63873999999998</v>
      </c>
      <c r="AB64" s="583">
        <v>374.97251999999997</v>
      </c>
      <c r="AC64" s="583">
        <v>294.50315999999998</v>
      </c>
      <c r="AD64" s="583"/>
    </row>
    <row r="65" spans="12:30" ht="15" customHeight="1">
      <c r="L65" s="682">
        <v>44641</v>
      </c>
      <c r="M65" s="725" t="s">
        <v>707</v>
      </c>
      <c r="U65" s="583">
        <v>409.05257999999998</v>
      </c>
      <c r="V65" s="583">
        <v>0</v>
      </c>
      <c r="W65" s="583">
        <v>405.37817999999999</v>
      </c>
      <c r="X65" s="583"/>
      <c r="Y65" s="583">
        <v>398.76425999999998</v>
      </c>
      <c r="Z65" s="583"/>
      <c r="AA65" s="583">
        <v>392.05847999999997</v>
      </c>
      <c r="AB65" s="583">
        <v>382.87248</v>
      </c>
      <c r="AC65" s="583">
        <v>310.02749999999997</v>
      </c>
      <c r="AD65" s="583"/>
    </row>
    <row r="66" spans="12:30" ht="15" customHeight="1">
      <c r="L66" s="682">
        <v>44648</v>
      </c>
      <c r="M66" s="725" t="s">
        <v>708</v>
      </c>
      <c r="U66" s="583">
        <v>393.34451999999999</v>
      </c>
      <c r="V66" s="583">
        <v>0</v>
      </c>
      <c r="W66" s="583">
        <v>392.97708</v>
      </c>
      <c r="X66" s="583"/>
      <c r="Y66" s="583">
        <v>390.95616000000001</v>
      </c>
      <c r="Z66" s="583"/>
      <c r="AA66" s="583">
        <v>389.02709999999996</v>
      </c>
      <c r="AB66" s="583">
        <v>383.23991999999998</v>
      </c>
      <c r="AC66" s="583">
        <v>323.43905999999998</v>
      </c>
      <c r="AD66" s="583"/>
    </row>
    <row r="67" spans="12:30" ht="15" customHeight="1">
      <c r="L67" s="682">
        <v>44655</v>
      </c>
      <c r="M67" s="725" t="s">
        <v>709</v>
      </c>
      <c r="U67" s="583">
        <v>381.31085999999999</v>
      </c>
      <c r="V67" s="583">
        <v>0</v>
      </c>
      <c r="W67" s="583">
        <v>381.86201999999997</v>
      </c>
      <c r="X67" s="583"/>
      <c r="Y67" s="583">
        <v>381.49457999999998</v>
      </c>
      <c r="Z67" s="583"/>
      <c r="AA67" s="583">
        <v>381.40271999999999</v>
      </c>
      <c r="AB67" s="583">
        <v>378.92250000000001</v>
      </c>
      <c r="AC67" s="583">
        <v>332.34947999999997</v>
      </c>
      <c r="AD67" s="583">
        <v>331.33902</v>
      </c>
    </row>
    <row r="68" spans="12:30" ht="15" customHeight="1">
      <c r="L68" s="682">
        <v>44662</v>
      </c>
      <c r="M68" s="725" t="s">
        <v>710</v>
      </c>
      <c r="U68" s="583">
        <v>419.43275999999997</v>
      </c>
      <c r="V68" s="583">
        <v>0</v>
      </c>
      <c r="W68" s="583">
        <v>420.90251999999998</v>
      </c>
      <c r="X68" s="583"/>
      <c r="Y68" s="583">
        <v>420.35136</v>
      </c>
      <c r="Z68" s="583"/>
      <c r="AA68" s="583">
        <v>419.61647999999997</v>
      </c>
      <c r="AB68" s="583">
        <v>417.59555999999998</v>
      </c>
      <c r="AC68" s="583">
        <v>364.22489999999999</v>
      </c>
      <c r="AD68" s="583">
        <v>331.33902</v>
      </c>
    </row>
    <row r="69" spans="12:30" ht="15" customHeight="1">
      <c r="L69" s="682">
        <v>44669</v>
      </c>
      <c r="M69" s="725" t="s">
        <v>711</v>
      </c>
      <c r="U69" s="583">
        <v>435.41640000000001</v>
      </c>
      <c r="V69" s="583">
        <v>0</v>
      </c>
      <c r="W69" s="583">
        <v>436.88615999999996</v>
      </c>
      <c r="X69" s="583"/>
      <c r="Y69" s="583">
        <v>435.23267999999996</v>
      </c>
      <c r="Z69" s="583"/>
      <c r="AA69" s="583">
        <v>432.84431999999998</v>
      </c>
      <c r="AB69" s="583">
        <v>430.45596</v>
      </c>
      <c r="AC69" s="583">
        <v>383.33177999999998</v>
      </c>
      <c r="AD69" s="583">
        <v>376.25855999999999</v>
      </c>
    </row>
    <row r="70" spans="12:30" ht="15" customHeight="1">
      <c r="L70" s="682">
        <v>44676</v>
      </c>
      <c r="M70" s="725" t="s">
        <v>712</v>
      </c>
      <c r="U70" s="583">
        <v>420.81065999999998</v>
      </c>
      <c r="V70" s="583">
        <v>0</v>
      </c>
      <c r="W70" s="583">
        <v>423.65832</v>
      </c>
      <c r="X70" s="583"/>
      <c r="Y70" s="583">
        <v>423.47460000000001</v>
      </c>
      <c r="Z70" s="583"/>
      <c r="AA70" s="583">
        <v>422.37227999999999</v>
      </c>
      <c r="AB70" s="583">
        <v>420.71879999999999</v>
      </c>
      <c r="AC70" s="583">
        <v>385.81200000000001</v>
      </c>
      <c r="AD70" s="583">
        <v>379.74923999999999</v>
      </c>
    </row>
    <row r="71" spans="12:30" ht="15" customHeight="1">
      <c r="L71" s="682">
        <v>44683</v>
      </c>
      <c r="M71" s="728" t="s">
        <v>733</v>
      </c>
      <c r="U71" s="583">
        <v>399.32</v>
      </c>
      <c r="V71" s="583">
        <v>0</v>
      </c>
      <c r="W71" s="583">
        <v>403.45</v>
      </c>
      <c r="X71" s="583"/>
      <c r="Y71" s="583">
        <v>404.74</v>
      </c>
      <c r="Z71" s="583">
        <v>0</v>
      </c>
      <c r="AA71" s="583">
        <v>405.93</v>
      </c>
      <c r="AB71" s="583">
        <v>405.38</v>
      </c>
      <c r="AC71" s="583">
        <v>376.63</v>
      </c>
      <c r="AD71" s="583">
        <v>372.77</v>
      </c>
    </row>
    <row r="72" spans="12:30" ht="15" customHeight="1">
      <c r="L72" s="682">
        <v>44690</v>
      </c>
      <c r="M72" s="729" t="s">
        <v>734</v>
      </c>
      <c r="U72" s="583">
        <v>423.75018</v>
      </c>
      <c r="V72" s="583">
        <v>0</v>
      </c>
      <c r="W72" s="583">
        <v>427.79201999999998</v>
      </c>
      <c r="X72" s="583"/>
      <c r="Y72" s="583">
        <v>428.9862</v>
      </c>
      <c r="Z72" s="583">
        <v>0</v>
      </c>
      <c r="AA72" s="583">
        <v>430.63968</v>
      </c>
      <c r="AB72" s="583">
        <v>429.90479999999997</v>
      </c>
      <c r="AC72" s="583">
        <v>390.86430000000001</v>
      </c>
      <c r="AD72" s="583">
        <v>386.08758</v>
      </c>
    </row>
    <row r="73" spans="12:30" ht="15" customHeight="1">
      <c r="L73" s="682">
        <v>44697</v>
      </c>
      <c r="M73" s="729" t="s">
        <v>735</v>
      </c>
      <c r="U73" s="583">
        <v>0</v>
      </c>
      <c r="V73" s="583">
        <v>0</v>
      </c>
      <c r="W73" s="583">
        <v>496.77887999999996</v>
      </c>
      <c r="X73" s="583"/>
      <c r="Y73" s="583">
        <v>497.42189999999999</v>
      </c>
      <c r="Z73" s="583">
        <v>0</v>
      </c>
      <c r="AA73" s="583">
        <v>497.78933999999998</v>
      </c>
      <c r="AB73" s="583">
        <v>492.82889999999998</v>
      </c>
      <c r="AC73" s="583">
        <v>415.66649999999998</v>
      </c>
      <c r="AD73" s="583">
        <v>398.12124</v>
      </c>
    </row>
    <row r="74" spans="12:30" ht="15" customHeight="1">
      <c r="L74" s="682">
        <v>44704</v>
      </c>
      <c r="V74" s="583"/>
      <c r="W74" s="583">
        <v>469.03715999999997</v>
      </c>
      <c r="X74" s="583"/>
      <c r="Y74" s="583">
        <v>470.50691999999998</v>
      </c>
      <c r="Z74" s="583"/>
      <c r="AA74" s="583">
        <v>472.06853999999998</v>
      </c>
      <c r="AB74" s="583">
        <v>471.7011</v>
      </c>
      <c r="AC74" s="583">
        <v>411.80838</v>
      </c>
      <c r="AD74" s="583">
        <v>398.2131</v>
      </c>
    </row>
    <row r="75" spans="12:30" ht="15" customHeight="1">
      <c r="L75" s="682">
        <v>44712</v>
      </c>
      <c r="V75" s="583"/>
      <c r="W75" s="583">
        <v>428.25131999999996</v>
      </c>
      <c r="X75" s="583"/>
      <c r="Y75" s="583">
        <v>430.63968</v>
      </c>
      <c r="Z75" s="583"/>
      <c r="AA75" s="583">
        <v>433.94664</v>
      </c>
      <c r="AB75" s="583">
        <v>434.77337999999997</v>
      </c>
      <c r="AC75" s="583">
        <v>398.30495999999999</v>
      </c>
      <c r="AD75" s="583">
        <v>382.41318000000001</v>
      </c>
    </row>
    <row r="76" spans="12:30" ht="15" customHeight="1">
      <c r="L76" s="682">
        <v>44718</v>
      </c>
      <c r="V76" s="583"/>
      <c r="W76" s="583">
        <v>429.90479999999997</v>
      </c>
      <c r="X76" s="583"/>
      <c r="Y76" s="583">
        <v>432.38502</v>
      </c>
      <c r="Z76" s="583"/>
      <c r="AA76" s="583">
        <v>435.96755999999999</v>
      </c>
      <c r="AB76" s="583">
        <v>437.89661999999998</v>
      </c>
      <c r="AC76" s="583">
        <v>403.81655999999998</v>
      </c>
      <c r="AD76" s="583">
        <v>387.64920000000001</v>
      </c>
    </row>
    <row r="77" spans="12:30" ht="15" customHeight="1">
      <c r="L77" s="682">
        <v>44725</v>
      </c>
      <c r="V77" s="583"/>
      <c r="W77" s="583">
        <v>426.87</v>
      </c>
      <c r="X77" s="583"/>
      <c r="Y77" s="583">
        <v>429.45</v>
      </c>
      <c r="Z77" s="583"/>
      <c r="AA77" s="583">
        <v>432.66</v>
      </c>
      <c r="AB77" s="583">
        <v>434.31</v>
      </c>
      <c r="AC77" s="583">
        <v>405.19</v>
      </c>
      <c r="AD77" s="583">
        <v>394.81</v>
      </c>
    </row>
    <row r="102" spans="13:13">
      <c r="M102" s="724"/>
    </row>
    <row r="103" spans="13:13">
      <c r="M103" s="724"/>
    </row>
    <row r="104" spans="13:13">
      <c r="M104" s="724"/>
    </row>
    <row r="105" spans="13:13">
      <c r="M105" s="724"/>
    </row>
    <row r="106" spans="13:13">
      <c r="M106" s="724"/>
    </row>
    <row r="107" spans="13:13">
      <c r="M107" s="724"/>
    </row>
    <row r="108" spans="13:13">
      <c r="M108" s="724"/>
    </row>
    <row r="109" spans="13:13">
      <c r="M109" s="724"/>
    </row>
    <row r="110" spans="13:13">
      <c r="M110" s="724"/>
    </row>
    <row r="123" spans="13:13">
      <c r="M123" s="724"/>
    </row>
    <row r="124" spans="13:13">
      <c r="M124" s="724"/>
    </row>
  </sheetData>
  <phoneticPr fontId="47"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38"/>
  <sheetViews>
    <sheetView zoomScaleNormal="100" workbookViewId="0">
      <selection activeCell="Q30" sqref="Q30"/>
    </sheetView>
  </sheetViews>
  <sheetFormatPr baseColWidth="10" defaultColWidth="5.84375" defaultRowHeight="13.2"/>
  <cols>
    <col min="1" max="1" width="2.765625" style="61" customWidth="1"/>
    <col min="2" max="2" width="6.07421875" style="61" customWidth="1"/>
    <col min="3" max="3" width="6.15234375" style="61" customWidth="1"/>
    <col min="4" max="4" width="6.23046875" style="61" customWidth="1"/>
    <col min="5" max="5" width="6.15234375" style="61" customWidth="1"/>
    <col min="6" max="13" width="5.3828125" style="61" customWidth="1"/>
    <col min="14" max="14" width="6.15234375" style="61" bestFit="1" customWidth="1"/>
    <col min="15" max="15" width="5.3828125" style="61" customWidth="1"/>
    <col min="16" max="16" width="6.765625" style="61" customWidth="1"/>
    <col min="17" max="16384" width="5.84375" style="61"/>
  </cols>
  <sheetData>
    <row r="1" spans="2:16" ht="12.75" customHeight="1">
      <c r="B1" s="766" t="s">
        <v>303</v>
      </c>
      <c r="C1" s="766"/>
      <c r="D1" s="766"/>
      <c r="E1" s="766"/>
      <c r="F1" s="766"/>
      <c r="G1" s="766"/>
      <c r="H1" s="766"/>
      <c r="I1" s="766"/>
      <c r="J1" s="766"/>
      <c r="K1" s="766"/>
      <c r="L1" s="766"/>
      <c r="M1" s="766"/>
      <c r="N1" s="766"/>
      <c r="O1" s="766"/>
      <c r="P1" s="540"/>
    </row>
    <row r="2" spans="2:16" ht="12.75" customHeight="1">
      <c r="B2" s="17"/>
      <c r="C2" s="17"/>
      <c r="D2" s="17"/>
      <c r="E2" s="17"/>
      <c r="F2" s="17"/>
      <c r="G2" s="17"/>
      <c r="H2" s="17"/>
      <c r="I2" s="17"/>
      <c r="J2" s="17"/>
      <c r="K2" s="17"/>
      <c r="L2" s="17"/>
      <c r="M2" s="17"/>
      <c r="N2" s="17"/>
      <c r="O2" s="17"/>
      <c r="P2" s="540"/>
    </row>
    <row r="3" spans="2:16" ht="16.5" customHeight="1">
      <c r="B3" s="766" t="s">
        <v>304</v>
      </c>
      <c r="C3" s="766"/>
      <c r="D3" s="766"/>
      <c r="E3" s="766"/>
      <c r="F3" s="766"/>
      <c r="G3" s="766"/>
      <c r="H3" s="766"/>
      <c r="I3" s="766"/>
      <c r="J3" s="766"/>
      <c r="K3" s="766"/>
      <c r="L3" s="766"/>
      <c r="M3" s="766"/>
      <c r="N3" s="766"/>
      <c r="O3" s="766"/>
      <c r="P3" s="90"/>
    </row>
    <row r="4" spans="2:16" ht="18" customHeight="1">
      <c r="B4" s="809" t="s">
        <v>181</v>
      </c>
      <c r="C4" s="809"/>
      <c r="D4" s="809"/>
      <c r="E4" s="809"/>
      <c r="F4" s="809"/>
      <c r="G4" s="809"/>
      <c r="H4" s="809"/>
      <c r="I4" s="809"/>
      <c r="J4" s="809"/>
      <c r="K4" s="809"/>
      <c r="L4" s="809"/>
      <c r="M4" s="809"/>
      <c r="N4" s="809"/>
      <c r="O4" s="809"/>
      <c r="P4" s="541"/>
    </row>
    <row r="5" spans="2:16" ht="29.1" customHeight="1">
      <c r="B5" s="875" t="s">
        <v>305</v>
      </c>
      <c r="C5" s="827" t="s">
        <v>198</v>
      </c>
      <c r="D5" s="827" t="s">
        <v>306</v>
      </c>
      <c r="E5" s="827"/>
      <c r="F5" s="827"/>
      <c r="G5" s="827"/>
      <c r="H5" s="827"/>
      <c r="I5" s="827"/>
      <c r="J5" s="827"/>
      <c r="K5" s="827" t="s">
        <v>307</v>
      </c>
      <c r="L5" s="827"/>
      <c r="M5" s="827"/>
      <c r="N5" s="827"/>
      <c r="O5" s="827"/>
      <c r="P5" s="543"/>
    </row>
    <row r="6" spans="2:16" ht="20.25" customHeight="1">
      <c r="B6" s="876"/>
      <c r="C6" s="827"/>
      <c r="D6" s="827" t="s">
        <v>198</v>
      </c>
      <c r="E6" s="879" t="s">
        <v>308</v>
      </c>
      <c r="F6" s="879"/>
      <c r="G6" s="879"/>
      <c r="H6" s="827" t="s">
        <v>309</v>
      </c>
      <c r="I6" s="827" t="s">
        <v>310</v>
      </c>
      <c r="J6" s="827" t="s">
        <v>200</v>
      </c>
      <c r="K6" s="827" t="s">
        <v>198</v>
      </c>
      <c r="L6" s="827" t="s">
        <v>311</v>
      </c>
      <c r="M6" s="827" t="s">
        <v>312</v>
      </c>
      <c r="N6" s="827" t="s">
        <v>313</v>
      </c>
      <c r="O6" s="827" t="s">
        <v>200</v>
      </c>
      <c r="P6" s="543"/>
    </row>
    <row r="7" spans="2:16" ht="12.75" customHeight="1">
      <c r="B7" s="877"/>
      <c r="C7" s="827"/>
      <c r="D7" s="827"/>
      <c r="E7" s="544" t="s">
        <v>314</v>
      </c>
      <c r="F7" s="544" t="s">
        <v>315</v>
      </c>
      <c r="G7" s="544" t="s">
        <v>316</v>
      </c>
      <c r="H7" s="827"/>
      <c r="I7" s="827"/>
      <c r="J7" s="827"/>
      <c r="K7" s="827"/>
      <c r="L7" s="827"/>
      <c r="M7" s="827"/>
      <c r="N7" s="827"/>
      <c r="O7" s="827"/>
      <c r="P7" s="540"/>
    </row>
    <row r="8" spans="2:16" ht="14.25" customHeight="1">
      <c r="B8" s="304">
        <v>2015</v>
      </c>
      <c r="C8" s="545">
        <v>1962342</v>
      </c>
      <c r="D8" s="546">
        <v>1528953</v>
      </c>
      <c r="E8" s="546">
        <v>1337677</v>
      </c>
      <c r="F8" s="546">
        <v>60624</v>
      </c>
      <c r="G8" s="546">
        <v>6483</v>
      </c>
      <c r="H8" s="546">
        <v>50404</v>
      </c>
      <c r="I8" s="546">
        <v>55472</v>
      </c>
      <c r="J8" s="546">
        <v>18293</v>
      </c>
      <c r="K8" s="546">
        <v>433389</v>
      </c>
      <c r="L8" s="546">
        <v>237936</v>
      </c>
      <c r="M8" s="546">
        <v>26712</v>
      </c>
      <c r="N8" s="546">
        <v>163871</v>
      </c>
      <c r="O8" s="546">
        <v>4870</v>
      </c>
      <c r="P8" s="340"/>
    </row>
    <row r="9" spans="2:16" ht="14.25" customHeight="1">
      <c r="B9" s="304">
        <v>2016</v>
      </c>
      <c r="C9" s="545">
        <v>2028168</v>
      </c>
      <c r="D9" s="546">
        <v>1586798</v>
      </c>
      <c r="E9" s="546">
        <v>1383515</v>
      </c>
      <c r="F9" s="546">
        <v>65857</v>
      </c>
      <c r="G9" s="546">
        <v>5868</v>
      </c>
      <c r="H9" s="546">
        <v>64334</v>
      </c>
      <c r="I9" s="546">
        <v>51609</v>
      </c>
      <c r="J9" s="546">
        <v>15615</v>
      </c>
      <c r="K9" s="546">
        <v>441370</v>
      </c>
      <c r="L9" s="546">
        <v>246225</v>
      </c>
      <c r="M9" s="546">
        <v>27606</v>
      </c>
      <c r="N9" s="546">
        <v>163502</v>
      </c>
      <c r="O9" s="546">
        <v>4037</v>
      </c>
      <c r="P9" s="340"/>
    </row>
    <row r="10" spans="2:16" ht="14.25" customHeight="1">
      <c r="B10" s="304">
        <v>2017</v>
      </c>
      <c r="C10" s="546">
        <v>2018526</v>
      </c>
      <c r="D10" s="546">
        <v>1583602</v>
      </c>
      <c r="E10" s="546">
        <v>1388441</v>
      </c>
      <c r="F10" s="546">
        <v>61151</v>
      </c>
      <c r="G10" s="546">
        <v>4852</v>
      </c>
      <c r="H10" s="546">
        <v>58877</v>
      </c>
      <c r="I10" s="546">
        <v>45803</v>
      </c>
      <c r="J10" s="546">
        <v>24478</v>
      </c>
      <c r="K10" s="546">
        <v>434924</v>
      </c>
      <c r="L10" s="546">
        <v>243649</v>
      </c>
      <c r="M10" s="546">
        <v>28787</v>
      </c>
      <c r="N10" s="546">
        <v>159351</v>
      </c>
      <c r="O10" s="546">
        <v>3137</v>
      </c>
      <c r="P10" s="340"/>
    </row>
    <row r="11" spans="2:16" ht="14.25" customHeight="1">
      <c r="B11" s="304">
        <v>2018</v>
      </c>
      <c r="C11" s="546">
        <v>2089336</v>
      </c>
      <c r="D11" s="546">
        <v>1634470</v>
      </c>
      <c r="E11" s="546">
        <v>1443182</v>
      </c>
      <c r="F11" s="546">
        <v>63118</v>
      </c>
      <c r="G11" s="546">
        <v>6393</v>
      </c>
      <c r="H11" s="546">
        <v>64660</v>
      </c>
      <c r="I11" s="546">
        <v>44404</v>
      </c>
      <c r="J11" s="546">
        <v>12713</v>
      </c>
      <c r="K11" s="546">
        <v>454866</v>
      </c>
      <c r="L11" s="546">
        <v>251336</v>
      </c>
      <c r="M11" s="546">
        <v>27950</v>
      </c>
      <c r="N11" s="546">
        <v>171870</v>
      </c>
      <c r="O11" s="546">
        <v>3710</v>
      </c>
      <c r="P11" s="340"/>
    </row>
    <row r="12" spans="2:16" ht="14.25" customHeight="1">
      <c r="B12" s="304">
        <v>2019</v>
      </c>
      <c r="C12" s="546">
        <v>2093498</v>
      </c>
      <c r="D12" s="546">
        <v>1622991</v>
      </c>
      <c r="E12" s="546">
        <v>1431921</v>
      </c>
      <c r="F12" s="546">
        <v>63046</v>
      </c>
      <c r="G12" s="546">
        <v>12346</v>
      </c>
      <c r="H12" s="546">
        <v>70842</v>
      </c>
      <c r="I12" s="546">
        <v>42128</v>
      </c>
      <c r="J12" s="546">
        <v>2708</v>
      </c>
      <c r="K12" s="546">
        <v>470507</v>
      </c>
      <c r="L12" s="546">
        <v>257705</v>
      </c>
      <c r="M12" s="546">
        <v>31063</v>
      </c>
      <c r="N12" s="546">
        <v>177642</v>
      </c>
      <c r="O12" s="546">
        <v>4097</v>
      </c>
      <c r="P12" s="340"/>
    </row>
    <row r="13" spans="2:16" ht="14.25" customHeight="1">
      <c r="B13" s="304">
        <v>2020</v>
      </c>
      <c r="C13" s="546">
        <v>2003727</v>
      </c>
      <c r="D13" s="546">
        <v>1558711</v>
      </c>
      <c r="E13" s="546">
        <v>1365357</v>
      </c>
      <c r="F13" s="546">
        <v>55230</v>
      </c>
      <c r="G13" s="546">
        <v>17318</v>
      </c>
      <c r="H13" s="546">
        <v>67599</v>
      </c>
      <c r="I13" s="546">
        <v>48921</v>
      </c>
      <c r="J13" s="546">
        <v>4286</v>
      </c>
      <c r="K13" s="546">
        <v>445016</v>
      </c>
      <c r="L13" s="546">
        <v>237918</v>
      </c>
      <c r="M13" s="546">
        <v>35211</v>
      </c>
      <c r="N13" s="546">
        <v>169038</v>
      </c>
      <c r="O13" s="546">
        <v>2849</v>
      </c>
      <c r="P13" s="340"/>
    </row>
    <row r="14" spans="2:16" ht="14.25" customHeight="1">
      <c r="B14" s="304">
        <v>2021</v>
      </c>
      <c r="C14" s="546">
        <v>1845158</v>
      </c>
      <c r="D14" s="546">
        <v>1439365</v>
      </c>
      <c r="E14" s="546">
        <v>1266480</v>
      </c>
      <c r="F14" s="546">
        <v>50793</v>
      </c>
      <c r="G14" s="546">
        <v>12584</v>
      </c>
      <c r="H14" s="546">
        <v>64338</v>
      </c>
      <c r="I14" s="546">
        <v>42772</v>
      </c>
      <c r="J14" s="546">
        <v>2398</v>
      </c>
      <c r="K14" s="546">
        <v>405793</v>
      </c>
      <c r="L14" s="546">
        <v>216129</v>
      </c>
      <c r="M14" s="546">
        <v>30355</v>
      </c>
      <c r="N14" s="546">
        <v>157631</v>
      </c>
      <c r="O14" s="546">
        <v>1678</v>
      </c>
      <c r="P14" s="340"/>
    </row>
    <row r="15" spans="2:16">
      <c r="B15" s="540"/>
      <c r="C15" s="547"/>
      <c r="D15" s="547"/>
      <c r="E15" s="547"/>
      <c r="F15" s="547"/>
      <c r="G15" s="547"/>
      <c r="H15" s="547"/>
      <c r="I15" s="547"/>
      <c r="J15" s="547"/>
      <c r="K15" s="547"/>
      <c r="L15" s="547"/>
      <c r="M15" s="547"/>
      <c r="N15" s="547"/>
      <c r="O15" s="547"/>
      <c r="P15" s="340"/>
    </row>
    <row r="16" spans="2:16" s="74" customFormat="1" ht="15" customHeight="1">
      <c r="B16" s="871" t="s">
        <v>680</v>
      </c>
      <c r="C16" s="872"/>
      <c r="D16" s="872"/>
      <c r="E16" s="872"/>
      <c r="F16" s="872"/>
      <c r="G16" s="872"/>
      <c r="H16" s="872"/>
      <c r="I16" s="872"/>
      <c r="J16" s="872"/>
      <c r="K16" s="872"/>
      <c r="L16" s="872"/>
      <c r="M16" s="872"/>
      <c r="N16" s="872"/>
      <c r="O16" s="873"/>
      <c r="P16"/>
    </row>
    <row r="17" spans="1:16" s="74" customFormat="1" ht="15" customHeight="1">
      <c r="B17" s="294" t="s">
        <v>203</v>
      </c>
      <c r="C17" s="546">
        <v>155836</v>
      </c>
      <c r="D17" s="546">
        <v>120831</v>
      </c>
      <c r="E17" s="546">
        <v>109320</v>
      </c>
      <c r="F17" s="546">
        <v>3562</v>
      </c>
      <c r="G17" s="546">
        <v>773</v>
      </c>
      <c r="H17" s="546">
        <v>3487</v>
      </c>
      <c r="I17" s="546">
        <v>3598</v>
      </c>
      <c r="J17" s="546">
        <v>91</v>
      </c>
      <c r="K17" s="546">
        <v>35005</v>
      </c>
      <c r="L17" s="546">
        <v>19394</v>
      </c>
      <c r="M17" s="546">
        <v>2769</v>
      </c>
      <c r="N17" s="546">
        <v>12650</v>
      </c>
      <c r="O17" s="546">
        <v>192</v>
      </c>
      <c r="P17" s="548"/>
    </row>
    <row r="18" spans="1:16" s="74" customFormat="1" ht="15" customHeight="1">
      <c r="A18" s="548"/>
      <c r="B18" s="294" t="s">
        <v>204</v>
      </c>
      <c r="C18" s="546">
        <v>145984</v>
      </c>
      <c r="D18" s="546">
        <v>112173</v>
      </c>
      <c r="E18" s="546">
        <v>102559</v>
      </c>
      <c r="F18" s="546">
        <v>3646</v>
      </c>
      <c r="G18" s="546">
        <v>1197</v>
      </c>
      <c r="H18" s="546">
        <v>3800</v>
      </c>
      <c r="I18" s="546">
        <v>949</v>
      </c>
      <c r="J18" s="546">
        <v>22</v>
      </c>
      <c r="K18" s="546">
        <v>33811</v>
      </c>
      <c r="L18" s="546">
        <v>20067</v>
      </c>
      <c r="M18" s="546">
        <v>2093</v>
      </c>
      <c r="N18" s="546">
        <v>11547</v>
      </c>
      <c r="O18" s="546">
        <v>104</v>
      </c>
      <c r="P18" s="548"/>
    </row>
    <row r="19" spans="1:16" s="74" customFormat="1" ht="15" customHeight="1">
      <c r="A19" s="548"/>
      <c r="B19" s="294" t="s">
        <v>205</v>
      </c>
      <c r="C19" s="546">
        <v>180416</v>
      </c>
      <c r="D19" s="546">
        <v>141523</v>
      </c>
      <c r="E19" s="546">
        <v>125424</v>
      </c>
      <c r="F19" s="546">
        <v>4987</v>
      </c>
      <c r="G19" s="546">
        <v>2066</v>
      </c>
      <c r="H19" s="546">
        <v>5271</v>
      </c>
      <c r="I19" s="546">
        <v>3775</v>
      </c>
      <c r="J19" s="546">
        <v>0</v>
      </c>
      <c r="K19" s="546">
        <v>38893</v>
      </c>
      <c r="L19" s="546">
        <v>21698</v>
      </c>
      <c r="M19" s="546">
        <v>3047</v>
      </c>
      <c r="N19" s="546">
        <v>14045</v>
      </c>
      <c r="O19" s="546">
        <v>103</v>
      </c>
      <c r="P19" s="548"/>
    </row>
    <row r="20" spans="1:16" s="74" customFormat="1" ht="15" customHeight="1">
      <c r="A20" s="548"/>
      <c r="B20" s="294" t="s">
        <v>206</v>
      </c>
      <c r="C20" s="545">
        <v>149367</v>
      </c>
      <c r="D20" s="545">
        <v>117937</v>
      </c>
      <c r="E20" s="545">
        <v>103620</v>
      </c>
      <c r="F20" s="545">
        <v>3751</v>
      </c>
      <c r="G20" s="545">
        <v>1492</v>
      </c>
      <c r="H20" s="545">
        <v>4532</v>
      </c>
      <c r="I20" s="545">
        <v>4180</v>
      </c>
      <c r="J20" s="545">
        <v>362</v>
      </c>
      <c r="K20" s="545">
        <v>31430</v>
      </c>
      <c r="L20" s="545">
        <v>16233</v>
      </c>
      <c r="M20" s="545">
        <v>2452</v>
      </c>
      <c r="N20" s="545">
        <v>12659</v>
      </c>
      <c r="O20" s="545">
        <v>86</v>
      </c>
      <c r="P20" s="548"/>
    </row>
    <row r="21" spans="1:16" s="74" customFormat="1" ht="15" customHeight="1">
      <c r="A21" s="548"/>
      <c r="B21" s="294" t="s">
        <v>207</v>
      </c>
      <c r="C21" s="546"/>
      <c r="D21" s="546"/>
      <c r="E21" s="546"/>
      <c r="F21" s="546"/>
      <c r="G21" s="546"/>
      <c r="H21" s="546"/>
      <c r="I21" s="546"/>
      <c r="J21" s="546"/>
      <c r="K21" s="546"/>
      <c r="L21" s="546"/>
      <c r="M21" s="546"/>
      <c r="N21" s="546"/>
      <c r="O21" s="546"/>
      <c r="P21" s="548"/>
    </row>
    <row r="22" spans="1:16" s="74" customFormat="1" ht="15" customHeight="1">
      <c r="A22" s="548"/>
      <c r="B22" s="294" t="s">
        <v>208</v>
      </c>
      <c r="C22" s="546"/>
      <c r="D22" s="546"/>
      <c r="E22" s="546"/>
      <c r="F22" s="546"/>
      <c r="G22" s="546"/>
      <c r="H22" s="546"/>
      <c r="I22" s="546"/>
      <c r="J22" s="546"/>
      <c r="K22" s="546"/>
      <c r="L22" s="546"/>
      <c r="M22" s="546"/>
      <c r="N22" s="546"/>
      <c r="O22" s="546"/>
      <c r="P22" s="548"/>
    </row>
    <row r="23" spans="1:16" s="74" customFormat="1" ht="15" customHeight="1">
      <c r="A23" s="548"/>
      <c r="B23" s="294" t="s">
        <v>209</v>
      </c>
      <c r="C23" s="546"/>
      <c r="D23" s="546"/>
      <c r="E23" s="546"/>
      <c r="F23" s="546"/>
      <c r="G23" s="546"/>
      <c r="H23" s="546"/>
      <c r="I23" s="546"/>
      <c r="J23" s="546"/>
      <c r="K23" s="546"/>
      <c r="L23" s="546"/>
      <c r="M23" s="546"/>
      <c r="N23" s="546"/>
      <c r="O23" s="546"/>
      <c r="P23" s="548"/>
    </row>
    <row r="24" spans="1:16" s="74" customFormat="1" ht="15" customHeight="1">
      <c r="A24" s="548"/>
      <c r="B24" s="294" t="s">
        <v>210</v>
      </c>
      <c r="C24" s="546"/>
      <c r="D24" s="546"/>
      <c r="E24" s="546"/>
      <c r="F24" s="546"/>
      <c r="G24" s="546"/>
      <c r="H24" s="546"/>
      <c r="I24" s="546"/>
      <c r="J24" s="546"/>
      <c r="K24" s="546"/>
      <c r="L24" s="546"/>
      <c r="M24" s="546"/>
      <c r="N24" s="546"/>
      <c r="O24" s="546"/>
      <c r="P24" s="548"/>
    </row>
    <row r="25" spans="1:16" s="74" customFormat="1" ht="15" customHeight="1">
      <c r="A25" s="548"/>
      <c r="B25" s="294" t="s">
        <v>317</v>
      </c>
      <c r="C25" s="546"/>
      <c r="D25" s="546"/>
      <c r="E25" s="546"/>
      <c r="F25" s="546"/>
      <c r="G25" s="546"/>
      <c r="H25" s="546"/>
      <c r="I25" s="546"/>
      <c r="J25" s="546"/>
      <c r="K25" s="546"/>
      <c r="L25" s="546"/>
      <c r="M25" s="546"/>
      <c r="N25" s="546"/>
      <c r="O25" s="546"/>
      <c r="P25" s="548"/>
    </row>
    <row r="26" spans="1:16" s="74" customFormat="1" ht="15" customHeight="1">
      <c r="A26" s="548"/>
      <c r="B26" s="294" t="s">
        <v>212</v>
      </c>
      <c r="C26" s="546"/>
      <c r="D26" s="546"/>
      <c r="E26" s="546"/>
      <c r="F26" s="546"/>
      <c r="G26" s="546"/>
      <c r="H26" s="546"/>
      <c r="I26" s="546"/>
      <c r="J26" s="546"/>
      <c r="K26" s="546"/>
      <c r="L26" s="546"/>
      <c r="M26" s="546"/>
      <c r="N26" s="546"/>
      <c r="O26" s="546"/>
      <c r="P26" s="548"/>
    </row>
    <row r="27" spans="1:16" s="74" customFormat="1" ht="15" customHeight="1">
      <c r="A27" s="548"/>
      <c r="B27" s="294" t="s">
        <v>318</v>
      </c>
      <c r="C27" s="546"/>
      <c r="D27" s="546"/>
      <c r="E27" s="546"/>
      <c r="F27" s="546"/>
      <c r="G27" s="546"/>
      <c r="H27" s="546"/>
      <c r="I27" s="546"/>
      <c r="J27" s="546"/>
      <c r="K27" s="546"/>
      <c r="L27" s="546"/>
      <c r="M27" s="546"/>
      <c r="N27" s="546"/>
      <c r="O27" s="546"/>
      <c r="P27" s="548"/>
    </row>
    <row r="28" spans="1:16" s="74" customFormat="1" ht="15" customHeight="1">
      <c r="A28" s="548"/>
      <c r="B28" s="294" t="s">
        <v>319</v>
      </c>
      <c r="C28" s="546"/>
      <c r="D28" s="546"/>
      <c r="E28" s="546"/>
      <c r="F28" s="546"/>
      <c r="G28" s="546"/>
      <c r="H28" s="546"/>
      <c r="I28" s="546"/>
      <c r="J28" s="546"/>
      <c r="K28" s="546"/>
      <c r="L28" s="546"/>
      <c r="M28" s="546"/>
      <c r="N28" s="546"/>
      <c r="O28" s="546"/>
      <c r="P28" s="548"/>
    </row>
    <row r="29" spans="1:16" s="74" customFormat="1" ht="15" customHeight="1">
      <c r="A29" s="548"/>
      <c r="B29" s="294" t="s">
        <v>198</v>
      </c>
      <c r="C29" s="546">
        <f>SUM(C17:C28)</f>
        <v>631603</v>
      </c>
      <c r="D29" s="546">
        <f t="shared" ref="D29:O29" si="0">SUM(D17:D28)</f>
        <v>492464</v>
      </c>
      <c r="E29" s="546">
        <f t="shared" si="0"/>
        <v>440923</v>
      </c>
      <c r="F29" s="546">
        <f t="shared" si="0"/>
        <v>15946</v>
      </c>
      <c r="G29" s="546">
        <f t="shared" si="0"/>
        <v>5528</v>
      </c>
      <c r="H29" s="546">
        <f t="shared" si="0"/>
        <v>17090</v>
      </c>
      <c r="I29" s="546">
        <f t="shared" si="0"/>
        <v>12502</v>
      </c>
      <c r="J29" s="546">
        <f t="shared" si="0"/>
        <v>475</v>
      </c>
      <c r="K29" s="546">
        <f t="shared" si="0"/>
        <v>139139</v>
      </c>
      <c r="L29" s="546">
        <f t="shared" si="0"/>
        <v>77392</v>
      </c>
      <c r="M29" s="546">
        <f t="shared" si="0"/>
        <v>10361</v>
      </c>
      <c r="N29" s="546">
        <f t="shared" si="0"/>
        <v>50901</v>
      </c>
      <c r="O29" s="546">
        <f t="shared" si="0"/>
        <v>485</v>
      </c>
      <c r="P29" s="548"/>
    </row>
    <row r="30" spans="1:16" ht="12.75" customHeight="1">
      <c r="A30" s="548"/>
      <c r="B30" s="854" t="s">
        <v>320</v>
      </c>
      <c r="C30" s="854"/>
      <c r="D30" s="854"/>
      <c r="E30" s="854"/>
      <c r="F30" s="854"/>
      <c r="G30" s="854"/>
      <c r="H30" s="854"/>
      <c r="I30" s="854"/>
      <c r="J30" s="854"/>
      <c r="K30" s="854"/>
      <c r="L30" s="854"/>
      <c r="M30" s="854"/>
      <c r="N30" s="854"/>
      <c r="O30" s="854"/>
      <c r="P30" s="548"/>
    </row>
    <row r="31" spans="1:16">
      <c r="A31" s="340"/>
      <c r="B31" s="874" t="s">
        <v>321</v>
      </c>
      <c r="C31" s="874"/>
      <c r="D31" s="874"/>
      <c r="E31" s="874"/>
      <c r="F31" s="874"/>
      <c r="G31" s="874"/>
      <c r="H31" s="874"/>
      <c r="I31" s="874"/>
      <c r="J31" s="874"/>
      <c r="K31" s="874"/>
      <c r="L31" s="874"/>
      <c r="M31" s="874"/>
      <c r="N31" s="874"/>
      <c r="O31" s="874"/>
      <c r="P31" s="340"/>
    </row>
    <row r="32" spans="1:16" ht="12.75" customHeight="1">
      <c r="A32" s="340"/>
      <c r="B32" s="878" t="s">
        <v>322</v>
      </c>
      <c r="C32" s="878"/>
      <c r="D32" s="878"/>
      <c r="E32" s="878"/>
      <c r="F32" s="340"/>
      <c r="G32" s="340"/>
      <c r="H32" s="340"/>
      <c r="I32" s="340"/>
      <c r="J32" s="340"/>
      <c r="K32" s="340"/>
      <c r="L32" s="340"/>
      <c r="M32" s="340"/>
      <c r="N32" s="340"/>
      <c r="O32" s="340"/>
      <c r="P32" s="340"/>
    </row>
    <row r="33" spans="1:16" ht="12.75" customHeight="1">
      <c r="A33" s="340"/>
      <c r="B33" s="878"/>
      <c r="C33" s="878"/>
      <c r="D33" s="878"/>
      <c r="E33" s="878"/>
      <c r="F33" s="340"/>
      <c r="G33" s="340"/>
      <c r="H33" s="340"/>
      <c r="I33" s="340"/>
      <c r="J33" s="340"/>
      <c r="K33" s="340"/>
      <c r="L33" s="340"/>
      <c r="M33" s="340"/>
      <c r="N33" s="340"/>
      <c r="O33" s="340"/>
      <c r="P33" s="340"/>
    </row>
    <row r="34" spans="1:16" ht="7.5" customHeight="1">
      <c r="A34" s="340"/>
      <c r="B34" s="340"/>
      <c r="C34" s="340"/>
      <c r="D34" s="340"/>
      <c r="E34" s="340"/>
      <c r="F34" s="340"/>
      <c r="G34" s="340"/>
      <c r="H34" s="340"/>
      <c r="I34" s="340"/>
      <c r="J34" s="340"/>
      <c r="K34" s="340"/>
      <c r="L34" s="340"/>
      <c r="M34" s="340"/>
      <c r="N34" s="340"/>
      <c r="O34" s="340"/>
      <c r="P34" s="340"/>
    </row>
    <row r="35" spans="1:16">
      <c r="B35" s="869" t="s">
        <v>323</v>
      </c>
      <c r="C35" s="870"/>
      <c r="D35" s="546"/>
      <c r="E35" s="546"/>
      <c r="F35" s="546"/>
      <c r="G35" s="546"/>
      <c r="H35" s="546"/>
      <c r="I35" s="546"/>
      <c r="J35" s="546"/>
      <c r="K35" s="546"/>
      <c r="L35" s="546"/>
      <c r="M35" s="546"/>
      <c r="N35" s="546"/>
      <c r="O35" s="546"/>
    </row>
    <row r="36" spans="1:16">
      <c r="B36" s="869" t="s">
        <v>324</v>
      </c>
      <c r="C36" s="870"/>
      <c r="D36" s="745">
        <v>-16.665842301251001</v>
      </c>
      <c r="E36" s="745">
        <v>-17.384232682739999</v>
      </c>
      <c r="F36" s="745">
        <v>-24.784439542811</v>
      </c>
      <c r="G36" s="745">
        <v>-27.783155856728001</v>
      </c>
      <c r="H36" s="745">
        <v>-14.020110036046001</v>
      </c>
      <c r="I36" s="745">
        <v>10.728476821192</v>
      </c>
      <c r="J36" s="745">
        <v>0</v>
      </c>
      <c r="K36" s="745">
        <v>-19.188542925461999</v>
      </c>
      <c r="L36" s="745">
        <v>-25.186653147756001</v>
      </c>
      <c r="M36" s="745">
        <v>-19.527404003937999</v>
      </c>
      <c r="N36" s="745">
        <v>-9.8682805268779994</v>
      </c>
      <c r="O36" s="745">
        <v>-16.504854368932001</v>
      </c>
    </row>
    <row r="37" spans="1:16">
      <c r="B37" s="869" t="s">
        <v>325</v>
      </c>
      <c r="C37" s="870"/>
      <c r="D37" s="745">
        <v>-3.1787470548150001</v>
      </c>
      <c r="E37" s="745">
        <v>-4.0688793223159996</v>
      </c>
      <c r="F37" s="745">
        <v>-5.70638511815</v>
      </c>
      <c r="G37" s="745">
        <v>20.907617504051998</v>
      </c>
      <c r="H37" s="745">
        <v>-17.898550724638</v>
      </c>
      <c r="I37" s="745">
        <v>48.913430708942002</v>
      </c>
      <c r="J37" s="745">
        <v>41.960784313725</v>
      </c>
      <c r="K37" s="745">
        <v>-9.4940536182220008</v>
      </c>
      <c r="L37" s="745">
        <v>-13.313040692086</v>
      </c>
      <c r="M37" s="745">
        <v>-1.4073180538800001</v>
      </c>
      <c r="N37" s="745">
        <v>-5.268278081269</v>
      </c>
      <c r="O37" s="745">
        <v>-43.046357615894003</v>
      </c>
    </row>
    <row r="38" spans="1:16">
      <c r="B38" s="868" t="s">
        <v>326</v>
      </c>
      <c r="C38" s="868"/>
      <c r="D38" s="745">
        <v>5.3209690665210001</v>
      </c>
      <c r="E38" s="745">
        <v>6.4106091321559999</v>
      </c>
      <c r="F38" s="745">
        <v>13.98141529664</v>
      </c>
      <c r="G38" s="745">
        <v>17.742279020234001</v>
      </c>
      <c r="H38" s="745">
        <v>-20.199850579006</v>
      </c>
      <c r="I38" s="745">
        <v>2.0404831864189998</v>
      </c>
      <c r="J38" s="745">
        <v>-45.464982778416001</v>
      </c>
      <c r="K38" s="745">
        <v>1.3150517355619999</v>
      </c>
      <c r="L38" s="745">
        <v>6.3880679084469998</v>
      </c>
      <c r="M38" s="745">
        <v>10.481979100021</v>
      </c>
      <c r="N38" s="745">
        <v>-6.7866757009169998</v>
      </c>
      <c r="O38" s="745">
        <v>-19.568822553897</v>
      </c>
    </row>
  </sheetData>
  <mergeCells count="26">
    <mergeCell ref="D6:D7"/>
    <mergeCell ref="H6:H7"/>
    <mergeCell ref="O6:O7"/>
    <mergeCell ref="B32:E32"/>
    <mergeCell ref="B33:E33"/>
    <mergeCell ref="E6:G6"/>
    <mergeCell ref="I6:I7"/>
    <mergeCell ref="N6:N7"/>
    <mergeCell ref="J6:J7"/>
    <mergeCell ref="M6:M7"/>
    <mergeCell ref="B38:C38"/>
    <mergeCell ref="B37:C37"/>
    <mergeCell ref="B36:C36"/>
    <mergeCell ref="B35:C35"/>
    <mergeCell ref="B1:O1"/>
    <mergeCell ref="D5:J5"/>
    <mergeCell ref="B3:O3"/>
    <mergeCell ref="B4:O4"/>
    <mergeCell ref="K5:O5"/>
    <mergeCell ref="C5:C7"/>
    <mergeCell ref="L6:L7"/>
    <mergeCell ref="K6:K7"/>
    <mergeCell ref="B16:O16"/>
    <mergeCell ref="B30:O30"/>
    <mergeCell ref="B31:O31"/>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90"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L37"/>
  <sheetViews>
    <sheetView zoomScaleNormal="100" workbookViewId="0">
      <pane ySplit="1" topLeftCell="A12" activePane="bottomLeft" state="frozen"/>
      <selection activeCell="M18" sqref="M18"/>
      <selection pane="bottomLeft" activeCell="O27" sqref="O27"/>
    </sheetView>
  </sheetViews>
  <sheetFormatPr baseColWidth="10" defaultColWidth="5.84375" defaultRowHeight="13.2"/>
  <cols>
    <col min="1" max="1" width="2.765625" style="61" customWidth="1"/>
    <col min="2" max="2" width="6.84375" style="61" customWidth="1"/>
    <col min="3" max="3" width="6.3828125" style="61" customWidth="1"/>
    <col min="4" max="4" width="6.69140625" style="61" bestFit="1" customWidth="1"/>
    <col min="5" max="5" width="6.84375" style="61" customWidth="1"/>
    <col min="6" max="6" width="5.3046875" style="61" customWidth="1"/>
    <col min="7" max="7" width="5.3828125" style="61" customWidth="1"/>
    <col min="8" max="8" width="8.07421875" style="61" bestFit="1" customWidth="1"/>
    <col min="9" max="9" width="8.69140625" style="61" bestFit="1" customWidth="1"/>
    <col min="10" max="10" width="6.3828125" style="61" customWidth="1"/>
    <col min="11" max="11" width="9.921875" style="61" bestFit="1" customWidth="1"/>
    <col min="12" max="16384" width="5.84375" style="61"/>
  </cols>
  <sheetData>
    <row r="1" spans="2:12" ht="12.75" customHeight="1">
      <c r="B1" s="766" t="s">
        <v>327</v>
      </c>
      <c r="C1" s="766"/>
      <c r="D1" s="766"/>
      <c r="E1" s="766"/>
      <c r="F1" s="766"/>
      <c r="G1" s="766"/>
      <c r="H1" s="766"/>
      <c r="I1" s="766"/>
      <c r="J1" s="766"/>
      <c r="K1" s="766"/>
      <c r="L1" s="340"/>
    </row>
    <row r="2" spans="2:12" ht="12.75" customHeight="1">
      <c r="B2" s="17"/>
      <c r="C2" s="17"/>
      <c r="D2" s="17"/>
      <c r="E2" s="17"/>
      <c r="F2" s="17"/>
      <c r="G2" s="17"/>
      <c r="H2" s="17"/>
      <c r="I2" s="17"/>
      <c r="J2" s="17"/>
      <c r="K2" s="17"/>
      <c r="L2" s="340"/>
    </row>
    <row r="3" spans="2:12" ht="12.75" customHeight="1">
      <c r="B3" s="766" t="s">
        <v>56</v>
      </c>
      <c r="C3" s="766"/>
      <c r="D3" s="766"/>
      <c r="E3" s="766"/>
      <c r="F3" s="766"/>
      <c r="G3" s="766"/>
      <c r="H3" s="766"/>
      <c r="I3" s="766"/>
      <c r="J3" s="766"/>
      <c r="K3" s="766"/>
      <c r="L3" s="340"/>
    </row>
    <row r="4" spans="2:12" ht="16.5" customHeight="1">
      <c r="B4" s="886" t="s">
        <v>181</v>
      </c>
      <c r="C4" s="886"/>
      <c r="D4" s="886"/>
      <c r="E4" s="886"/>
      <c r="F4" s="886"/>
      <c r="G4" s="886"/>
      <c r="H4" s="886"/>
      <c r="I4" s="886"/>
      <c r="J4" s="886"/>
      <c r="K4" s="886"/>
      <c r="L4" s="340"/>
    </row>
    <row r="5" spans="2:12" ht="65.25" customHeight="1">
      <c r="B5" s="633" t="s">
        <v>182</v>
      </c>
      <c r="C5" s="542" t="s">
        <v>198</v>
      </c>
      <c r="D5" s="298" t="s">
        <v>147</v>
      </c>
      <c r="E5" s="298" t="s">
        <v>328</v>
      </c>
      <c r="F5" s="298" t="s">
        <v>329</v>
      </c>
      <c r="G5" s="298" t="s">
        <v>151</v>
      </c>
      <c r="H5" s="298" t="s">
        <v>153</v>
      </c>
      <c r="I5" s="298" t="s">
        <v>330</v>
      </c>
      <c r="J5" s="298" t="s">
        <v>331</v>
      </c>
      <c r="K5" s="298" t="s">
        <v>332</v>
      </c>
      <c r="L5" s="541"/>
    </row>
    <row r="6" spans="2:12" ht="12.75" customHeight="1">
      <c r="B6" s="305">
        <v>2013</v>
      </c>
      <c r="C6" s="546">
        <v>1922480</v>
      </c>
      <c r="D6" s="546">
        <v>137549</v>
      </c>
      <c r="E6" s="546">
        <v>178615</v>
      </c>
      <c r="F6" s="546">
        <v>235036</v>
      </c>
      <c r="G6" s="546"/>
      <c r="H6" s="546">
        <v>173520</v>
      </c>
      <c r="I6" s="546">
        <v>149153</v>
      </c>
      <c r="J6" s="546">
        <v>878174</v>
      </c>
      <c r="K6" s="546">
        <v>170433</v>
      </c>
      <c r="L6" s="541"/>
    </row>
    <row r="7" spans="2:12" ht="12.75" customHeight="1">
      <c r="B7" s="305">
        <v>2014</v>
      </c>
      <c r="C7" s="546">
        <v>1968268</v>
      </c>
      <c r="D7" s="546">
        <v>131770</v>
      </c>
      <c r="E7" s="546">
        <v>179811</v>
      </c>
      <c r="F7" s="546">
        <v>284729</v>
      </c>
      <c r="G7" s="546"/>
      <c r="H7" s="546">
        <v>161087</v>
      </c>
      <c r="I7" s="546">
        <v>152276</v>
      </c>
      <c r="J7" s="546">
        <v>894788</v>
      </c>
      <c r="K7" s="546">
        <v>163807</v>
      </c>
      <c r="L7" s="340"/>
    </row>
    <row r="8" spans="2:12">
      <c r="B8" s="305">
        <v>2015</v>
      </c>
      <c r="C8" s="546">
        <v>1962342</v>
      </c>
      <c r="D8" s="546">
        <v>127735</v>
      </c>
      <c r="E8" s="546">
        <v>181298</v>
      </c>
      <c r="F8" s="546">
        <v>251442</v>
      </c>
      <c r="G8" s="546"/>
      <c r="H8" s="546">
        <v>164014</v>
      </c>
      <c r="I8" s="546">
        <v>150320</v>
      </c>
      <c r="J8" s="546">
        <v>926978</v>
      </c>
      <c r="K8" s="546">
        <v>160555</v>
      </c>
      <c r="L8" s="549"/>
    </row>
    <row r="9" spans="2:12">
      <c r="B9" s="305">
        <v>2016</v>
      </c>
      <c r="C9" s="546">
        <v>2028168</v>
      </c>
      <c r="D9" s="546">
        <v>127138</v>
      </c>
      <c r="E9" s="546">
        <v>187899</v>
      </c>
      <c r="F9" s="546">
        <v>275229</v>
      </c>
      <c r="G9" s="546"/>
      <c r="H9" s="546">
        <v>159667</v>
      </c>
      <c r="I9" s="546">
        <v>140551</v>
      </c>
      <c r="J9" s="546">
        <v>964310</v>
      </c>
      <c r="K9" s="546">
        <v>173374</v>
      </c>
      <c r="L9" s="340"/>
    </row>
    <row r="10" spans="2:12">
      <c r="B10" s="305">
        <v>2017</v>
      </c>
      <c r="C10" s="546">
        <v>2018526</v>
      </c>
      <c r="D10" s="546">
        <v>128706</v>
      </c>
      <c r="E10" s="546">
        <v>192665</v>
      </c>
      <c r="F10" s="546">
        <v>231998</v>
      </c>
      <c r="G10" s="546">
        <v>29436</v>
      </c>
      <c r="H10" s="546">
        <v>157481</v>
      </c>
      <c r="I10" s="546">
        <v>146500</v>
      </c>
      <c r="J10" s="546">
        <v>956918</v>
      </c>
      <c r="K10" s="546">
        <v>174832</v>
      </c>
      <c r="L10" s="340"/>
    </row>
    <row r="11" spans="2:12">
      <c r="B11" s="305">
        <v>2018</v>
      </c>
      <c r="C11" s="546">
        <v>2089336</v>
      </c>
      <c r="D11" s="546">
        <v>136101</v>
      </c>
      <c r="E11" s="546">
        <v>179623</v>
      </c>
      <c r="F11" s="546">
        <v>159076</v>
      </c>
      <c r="G11" s="546">
        <v>122592</v>
      </c>
      <c r="H11" s="546">
        <v>156131</v>
      </c>
      <c r="I11" s="546">
        <v>162196</v>
      </c>
      <c r="J11" s="546">
        <v>1010545</v>
      </c>
      <c r="K11" s="546">
        <v>163072</v>
      </c>
      <c r="L11" s="340"/>
    </row>
    <row r="12" spans="2:12">
      <c r="B12" s="305">
        <v>2019</v>
      </c>
      <c r="C12" s="546">
        <v>2093498</v>
      </c>
      <c r="D12" s="546">
        <v>144552</v>
      </c>
      <c r="E12" s="546">
        <v>178721</v>
      </c>
      <c r="F12" s="546">
        <v>162772</v>
      </c>
      <c r="G12" s="546">
        <v>123547</v>
      </c>
      <c r="H12" s="546">
        <v>142410</v>
      </c>
      <c r="I12" s="546">
        <v>148835</v>
      </c>
      <c r="J12" s="546">
        <v>1038944</v>
      </c>
      <c r="K12" s="546">
        <v>153717</v>
      </c>
      <c r="L12" s="340"/>
    </row>
    <row r="13" spans="2:12">
      <c r="B13" s="596">
        <v>2020</v>
      </c>
      <c r="C13" s="546">
        <v>2003727</v>
      </c>
      <c r="D13" s="546">
        <v>140499</v>
      </c>
      <c r="E13" s="546">
        <v>148168</v>
      </c>
      <c r="F13" s="546">
        <v>142907</v>
      </c>
      <c r="G13" s="546">
        <v>124330</v>
      </c>
      <c r="H13" s="546">
        <v>131982</v>
      </c>
      <c r="I13" s="546">
        <v>145096</v>
      </c>
      <c r="J13" s="546">
        <v>1021541</v>
      </c>
      <c r="K13" s="546">
        <v>149204</v>
      </c>
      <c r="L13" s="340"/>
    </row>
    <row r="14" spans="2:12">
      <c r="B14" s="305">
        <v>2021</v>
      </c>
      <c r="C14" s="546">
        <v>1845158</v>
      </c>
      <c r="D14" s="546">
        <v>135183</v>
      </c>
      <c r="E14" s="546">
        <v>106093</v>
      </c>
      <c r="F14" s="546">
        <v>148830</v>
      </c>
      <c r="G14" s="546">
        <v>109828</v>
      </c>
      <c r="H14" s="546">
        <v>116413</v>
      </c>
      <c r="I14" s="546">
        <v>146612</v>
      </c>
      <c r="J14" s="546">
        <v>941514</v>
      </c>
      <c r="K14" s="546">
        <v>140685</v>
      </c>
      <c r="L14" s="340"/>
    </row>
    <row r="15" spans="2:12">
      <c r="B15" s="883"/>
      <c r="C15" s="884"/>
      <c r="D15" s="884"/>
      <c r="E15" s="884"/>
      <c r="F15" s="884"/>
      <c r="G15" s="884"/>
      <c r="H15" s="884"/>
      <c r="I15" s="884"/>
      <c r="J15" s="884"/>
      <c r="K15" s="885"/>
      <c r="L15" s="340"/>
    </row>
    <row r="16" spans="2:12" s="74" customFormat="1" ht="13.8" customHeight="1">
      <c r="B16" s="871">
        <v>2022</v>
      </c>
      <c r="C16" s="872"/>
      <c r="D16" s="872"/>
      <c r="E16" s="872"/>
      <c r="F16" s="872"/>
      <c r="G16" s="872"/>
      <c r="H16" s="872"/>
      <c r="I16" s="872"/>
      <c r="J16" s="872"/>
      <c r="K16" s="873"/>
      <c r="L16" s="548"/>
    </row>
    <row r="17" spans="2:12" s="74" customFormat="1" ht="13.8" customHeight="1">
      <c r="B17" s="294" t="s">
        <v>203</v>
      </c>
      <c r="C17" s="546">
        <v>155836</v>
      </c>
      <c r="D17" s="546">
        <v>12048</v>
      </c>
      <c r="E17" s="546">
        <v>9714</v>
      </c>
      <c r="F17" s="546">
        <v>14242</v>
      </c>
      <c r="G17" s="546">
        <v>9302</v>
      </c>
      <c r="H17" s="546">
        <v>10154</v>
      </c>
      <c r="I17" s="546">
        <v>12183</v>
      </c>
      <c r="J17" s="546">
        <v>75769</v>
      </c>
      <c r="K17" s="546">
        <v>12424</v>
      </c>
      <c r="L17" s="22"/>
    </row>
    <row r="18" spans="2:12" s="74" customFormat="1" ht="13.8" customHeight="1">
      <c r="B18" s="294" t="s">
        <v>204</v>
      </c>
      <c r="C18" s="546">
        <v>145984</v>
      </c>
      <c r="D18" s="546">
        <v>10573</v>
      </c>
      <c r="E18" s="546">
        <v>7820</v>
      </c>
      <c r="F18" s="546">
        <v>15743</v>
      </c>
      <c r="G18" s="546">
        <v>8899</v>
      </c>
      <c r="H18" s="546">
        <v>10836</v>
      </c>
      <c r="I18" s="546">
        <v>10752</v>
      </c>
      <c r="J18" s="546">
        <v>71694</v>
      </c>
      <c r="K18" s="546">
        <v>9667</v>
      </c>
      <c r="L18" s="22"/>
    </row>
    <row r="19" spans="2:12" s="74" customFormat="1" ht="13.8" customHeight="1">
      <c r="B19" s="294" t="s">
        <v>205</v>
      </c>
      <c r="C19" s="546">
        <v>180416</v>
      </c>
      <c r="D19" s="546">
        <v>12353</v>
      </c>
      <c r="E19" s="546">
        <v>11688</v>
      </c>
      <c r="F19" s="546">
        <v>15766</v>
      </c>
      <c r="G19" s="546">
        <v>10272</v>
      </c>
      <c r="H19" s="546">
        <v>12950</v>
      </c>
      <c r="I19" s="546">
        <v>14811</v>
      </c>
      <c r="J19" s="546">
        <v>89996</v>
      </c>
      <c r="K19" s="546">
        <v>12580</v>
      </c>
      <c r="L19" s="22"/>
    </row>
    <row r="20" spans="2:12" s="74" customFormat="1" ht="13.8" customHeight="1">
      <c r="B20" s="294" t="s">
        <v>206</v>
      </c>
      <c r="C20" s="545">
        <v>149367</v>
      </c>
      <c r="D20" s="545">
        <v>10923</v>
      </c>
      <c r="E20" s="545">
        <v>9069</v>
      </c>
      <c r="F20" s="545">
        <v>11444</v>
      </c>
      <c r="G20" s="545">
        <v>9337</v>
      </c>
      <c r="H20" s="545">
        <v>10889</v>
      </c>
      <c r="I20" s="545">
        <v>12051</v>
      </c>
      <c r="J20" s="545">
        <v>74295</v>
      </c>
      <c r="K20" s="545">
        <v>11359</v>
      </c>
      <c r="L20" s="22"/>
    </row>
    <row r="21" spans="2:12" s="74" customFormat="1" ht="13.8" customHeight="1">
      <c r="B21" s="294" t="s">
        <v>207</v>
      </c>
      <c r="C21" s="546"/>
      <c r="D21" s="546"/>
      <c r="E21" s="546"/>
      <c r="F21" s="546"/>
      <c r="G21" s="546"/>
      <c r="H21" s="546"/>
      <c r="I21" s="546"/>
      <c r="J21" s="546"/>
      <c r="K21" s="546"/>
      <c r="L21" s="22"/>
    </row>
    <row r="22" spans="2:12" s="74" customFormat="1" ht="13.8" customHeight="1">
      <c r="B22" s="294" t="s">
        <v>208</v>
      </c>
      <c r="C22" s="546"/>
      <c r="D22" s="546"/>
      <c r="E22" s="546"/>
      <c r="F22" s="546"/>
      <c r="G22" s="546"/>
      <c r="H22" s="546"/>
      <c r="I22" s="546"/>
      <c r="J22" s="546"/>
      <c r="K22" s="546"/>
      <c r="L22" s="22"/>
    </row>
    <row r="23" spans="2:12" s="74" customFormat="1" ht="13.8" customHeight="1">
      <c r="B23" s="294" t="s">
        <v>209</v>
      </c>
      <c r="C23" s="546"/>
      <c r="D23" s="546"/>
      <c r="E23" s="546"/>
      <c r="F23" s="546"/>
      <c r="G23" s="546"/>
      <c r="H23" s="546"/>
      <c r="I23" s="546"/>
      <c r="J23" s="546"/>
      <c r="K23" s="546"/>
      <c r="L23" s="22"/>
    </row>
    <row r="24" spans="2:12" s="74" customFormat="1" ht="13.8" customHeight="1">
      <c r="B24" s="294" t="s">
        <v>210</v>
      </c>
      <c r="C24" s="546"/>
      <c r="D24" s="546"/>
      <c r="E24" s="546"/>
      <c r="F24" s="546"/>
      <c r="G24" s="546"/>
      <c r="H24" s="546"/>
      <c r="I24" s="546"/>
      <c r="J24" s="546"/>
      <c r="K24" s="546"/>
      <c r="L24" s="22"/>
    </row>
    <row r="25" spans="2:12" s="74" customFormat="1" ht="13.8" customHeight="1">
      <c r="B25" s="294" t="s">
        <v>211</v>
      </c>
      <c r="C25" s="546"/>
      <c r="D25" s="546"/>
      <c r="E25" s="546"/>
      <c r="F25" s="546"/>
      <c r="G25" s="546"/>
      <c r="H25" s="546"/>
      <c r="I25" s="546"/>
      <c r="J25" s="546"/>
      <c r="K25" s="546"/>
      <c r="L25" s="22"/>
    </row>
    <row r="26" spans="2:12" s="74" customFormat="1" ht="13.8" customHeight="1">
      <c r="B26" s="294" t="s">
        <v>212</v>
      </c>
      <c r="C26" s="546"/>
      <c r="D26" s="546"/>
      <c r="E26" s="546"/>
      <c r="F26" s="546"/>
      <c r="G26" s="546"/>
      <c r="H26" s="546"/>
      <c r="I26" s="546"/>
      <c r="J26" s="546"/>
      <c r="K26" s="546"/>
      <c r="L26" s="22"/>
    </row>
    <row r="27" spans="2:12" s="74" customFormat="1" ht="13.8" customHeight="1">
      <c r="B27" s="294" t="s">
        <v>196</v>
      </c>
      <c r="C27" s="546"/>
      <c r="D27" s="546"/>
      <c r="E27" s="546"/>
      <c r="F27" s="546"/>
      <c r="G27" s="546"/>
      <c r="H27" s="546"/>
      <c r="I27" s="546"/>
      <c r="J27" s="546"/>
      <c r="K27" s="546"/>
      <c r="L27" s="22"/>
    </row>
    <row r="28" spans="2:12" s="74" customFormat="1" ht="13.8" customHeight="1">
      <c r="B28" s="294" t="s">
        <v>197</v>
      </c>
      <c r="C28" s="550"/>
      <c r="D28" s="550"/>
      <c r="E28" s="578"/>
      <c r="F28" s="550"/>
      <c r="G28" s="550"/>
      <c r="H28" s="550"/>
      <c r="I28" s="550"/>
      <c r="J28" s="550"/>
      <c r="K28" s="550"/>
      <c r="L28" s="22"/>
    </row>
    <row r="29" spans="2:12" s="74" customFormat="1" ht="13.8" customHeight="1">
      <c r="B29" s="294" t="s">
        <v>198</v>
      </c>
      <c r="C29" s="550">
        <f>SUM(C17:C26)</f>
        <v>631603</v>
      </c>
      <c r="D29" s="550">
        <f t="shared" ref="D29:K29" si="0">SUM(D17:D26)</f>
        <v>45897</v>
      </c>
      <c r="E29" s="550">
        <f t="shared" si="0"/>
        <v>38291</v>
      </c>
      <c r="F29" s="550">
        <f t="shared" si="0"/>
        <v>57195</v>
      </c>
      <c r="G29" s="550">
        <f t="shared" si="0"/>
        <v>37810</v>
      </c>
      <c r="H29" s="550">
        <f t="shared" si="0"/>
        <v>44829</v>
      </c>
      <c r="I29" s="550">
        <f t="shared" si="0"/>
        <v>49797</v>
      </c>
      <c r="J29" s="550">
        <f t="shared" si="0"/>
        <v>311754</v>
      </c>
      <c r="K29" s="550">
        <f t="shared" si="0"/>
        <v>46030</v>
      </c>
      <c r="L29" s="22"/>
    </row>
    <row r="30" spans="2:12" ht="12.9" customHeight="1">
      <c r="B30" s="874" t="s">
        <v>320</v>
      </c>
      <c r="C30" s="874"/>
      <c r="D30" s="497"/>
      <c r="E30" s="497"/>
      <c r="F30" s="497"/>
      <c r="G30" s="497"/>
      <c r="H30" s="497"/>
      <c r="I30" s="497"/>
      <c r="J30" s="497"/>
      <c r="K30" s="497"/>
      <c r="L30" s="497"/>
    </row>
    <row r="31" spans="2:12" ht="12.75" customHeight="1">
      <c r="B31" s="874" t="s">
        <v>321</v>
      </c>
      <c r="C31" s="874"/>
      <c r="D31" s="874"/>
      <c r="E31" s="874"/>
      <c r="F31" s="874"/>
      <c r="G31" s="874"/>
      <c r="H31" s="874"/>
      <c r="I31" s="874"/>
      <c r="J31" s="874"/>
      <c r="K31" s="497"/>
      <c r="L31" s="497"/>
    </row>
    <row r="32" spans="2:12">
      <c r="B32" s="878" t="s">
        <v>333</v>
      </c>
      <c r="C32" s="878"/>
      <c r="D32" s="340"/>
      <c r="E32" s="340"/>
      <c r="F32" s="340"/>
      <c r="G32" s="340"/>
      <c r="H32" s="340"/>
      <c r="I32" s="340"/>
      <c r="J32" s="340"/>
      <c r="K32" s="340"/>
      <c r="L32" s="340"/>
    </row>
    <row r="33" spans="2:12">
      <c r="B33" s="340"/>
      <c r="C33" s="76"/>
      <c r="D33" s="76"/>
      <c r="E33" s="76"/>
      <c r="F33" s="76"/>
      <c r="G33" s="76"/>
      <c r="H33" s="76"/>
      <c r="I33" s="76"/>
      <c r="J33" s="76"/>
      <c r="K33" s="340"/>
      <c r="L33" s="340"/>
    </row>
    <row r="34" spans="2:12">
      <c r="B34" s="881" t="s">
        <v>323</v>
      </c>
      <c r="C34" s="882"/>
      <c r="D34" s="546"/>
      <c r="E34" s="546"/>
      <c r="F34" s="546"/>
      <c r="G34" s="546"/>
      <c r="H34" s="546"/>
      <c r="I34" s="546"/>
      <c r="J34" s="546"/>
      <c r="K34" s="546"/>
      <c r="L34" s="340"/>
    </row>
    <row r="35" spans="2:12">
      <c r="B35" s="881" t="s">
        <v>324</v>
      </c>
      <c r="C35" s="882"/>
      <c r="D35" s="745">
        <v>-11.576135351735999</v>
      </c>
      <c r="E35" s="745">
        <v>-22.407597535933999</v>
      </c>
      <c r="F35" s="745">
        <v>-27.413421286312001</v>
      </c>
      <c r="G35" s="745">
        <v>-9.1024143302180001</v>
      </c>
      <c r="H35" s="745">
        <v>-15.915057915058</v>
      </c>
      <c r="I35" s="745">
        <v>-18.634798460603999</v>
      </c>
      <c r="J35" s="745">
        <v>-17.446330948042</v>
      </c>
      <c r="K35" s="745">
        <v>-9.7058823529409999</v>
      </c>
      <c r="L35" s="76"/>
    </row>
    <row r="36" spans="2:12">
      <c r="B36" s="880" t="s">
        <v>325</v>
      </c>
      <c r="C36" s="880"/>
      <c r="D36" s="745">
        <v>-0.52818504689900003</v>
      </c>
      <c r="E36" s="745">
        <v>7.5418000711489999</v>
      </c>
      <c r="F36" s="745">
        <v>-21.519681799478999</v>
      </c>
      <c r="G36" s="745">
        <v>-3.4935400516800001</v>
      </c>
      <c r="H36" s="745">
        <v>25.753551218384999</v>
      </c>
      <c r="I36" s="745">
        <v>-6.2251964827639998</v>
      </c>
      <c r="J36" s="745">
        <v>-7.265714713665</v>
      </c>
      <c r="K36" s="745">
        <v>1.0677106504139999</v>
      </c>
      <c r="L36" s="76"/>
    </row>
    <row r="37" spans="2:12">
      <c r="B37" s="880" t="s">
        <v>326</v>
      </c>
      <c r="C37" s="880"/>
      <c r="D37" s="745">
        <v>3.490495839816</v>
      </c>
      <c r="E37" s="745">
        <v>16.040366082793</v>
      </c>
      <c r="F37" s="745">
        <v>1.9955060988660001</v>
      </c>
      <c r="G37" s="745">
        <v>6.8773496904769997</v>
      </c>
      <c r="H37" s="745">
        <v>22.889881849830999</v>
      </c>
      <c r="I37" s="745">
        <v>7.8884652049569999</v>
      </c>
      <c r="J37" s="745">
        <v>1.5115006903019998</v>
      </c>
      <c r="K37" s="745">
        <v>-0.73323269355200005</v>
      </c>
      <c r="L37" s="76"/>
    </row>
  </sheetData>
  <mergeCells count="12">
    <mergeCell ref="B31:J31"/>
    <mergeCell ref="B15:K15"/>
    <mergeCell ref="B1:K1"/>
    <mergeCell ref="B3:K3"/>
    <mergeCell ref="B4:K4"/>
    <mergeCell ref="B30:C30"/>
    <mergeCell ref="B16:K16"/>
    <mergeCell ref="B37:C37"/>
    <mergeCell ref="B36:C36"/>
    <mergeCell ref="B35:C35"/>
    <mergeCell ref="B34:C34"/>
    <mergeCell ref="B32:C32"/>
  </mergeCells>
  <phoneticPr fontId="47" type="noConversion"/>
  <pageMargins left="0.70866141732283472" right="0.70866141732283472" top="0.74803149606299213" bottom="0.74803149606299213" header="0.31496062992125984" footer="0.31496062992125984"/>
  <pageSetup paperSize="126" scale="93" orientation="landscape" r:id="rId1"/>
  <headerFooter>
    <oddFooter>&amp;C&amp;"Arial,Normal"&amp;11 23</oddFooter>
  </headerFooter>
  <ignoredErrors>
    <ignoredError sqref="C29:K2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U32"/>
  <sheetViews>
    <sheetView zoomScaleNormal="100" workbookViewId="0">
      <selection activeCell="V12" sqref="V12"/>
    </sheetView>
  </sheetViews>
  <sheetFormatPr baseColWidth="10" defaultColWidth="10.921875" defaultRowHeight="13.2"/>
  <cols>
    <col min="1" max="1" width="2.69140625" style="341" customWidth="1"/>
    <col min="2" max="2" width="7.3046875" style="341" customWidth="1"/>
    <col min="3" max="3" width="7.23046875" style="341" customWidth="1"/>
    <col min="4" max="4" width="7.23046875" style="341" hidden="1" customWidth="1"/>
    <col min="5" max="5" width="7.69140625" style="341" customWidth="1"/>
    <col min="6" max="6" width="7.23046875" style="341" hidden="1" customWidth="1"/>
    <col min="7" max="7" width="7.69140625" style="341" customWidth="1"/>
    <col min="8" max="8" width="7.23046875" style="341" hidden="1" customWidth="1"/>
    <col min="9" max="9" width="7.69140625" style="341" customWidth="1"/>
    <col min="10" max="10" width="7.23046875" style="341" hidden="1" customWidth="1"/>
    <col min="11" max="11" width="7.69140625" style="341" customWidth="1"/>
    <col min="12" max="12" width="7.23046875" style="341" hidden="1" customWidth="1"/>
    <col min="13" max="13" width="7.69140625" style="341" customWidth="1"/>
    <col min="14" max="14" width="7.23046875" style="341" hidden="1" customWidth="1"/>
    <col min="15" max="15" width="7.69140625" style="341" customWidth="1"/>
    <col min="16" max="16" width="7.23046875" style="341" hidden="1" customWidth="1"/>
    <col min="17" max="17" width="7.69140625" style="341" customWidth="1"/>
    <col min="18" max="18" width="7.23046875" style="341" hidden="1" customWidth="1"/>
    <col min="19" max="19" width="8.69140625" style="341" customWidth="1"/>
    <col min="20" max="20" width="4.921875" style="341" bestFit="1" customWidth="1"/>
    <col min="21" max="16384" width="10.921875" style="341"/>
  </cols>
  <sheetData>
    <row r="1" spans="2:21" s="340" customFormat="1" ht="12.75" customHeight="1">
      <c r="B1" s="766" t="s">
        <v>334</v>
      </c>
      <c r="C1" s="766"/>
      <c r="D1" s="766"/>
      <c r="E1" s="766"/>
      <c r="F1" s="766"/>
      <c r="G1" s="766"/>
      <c r="H1" s="766"/>
      <c r="I1" s="766"/>
      <c r="J1" s="766"/>
      <c r="K1" s="766"/>
      <c r="L1" s="766"/>
      <c r="M1" s="766"/>
      <c r="N1" s="766"/>
      <c r="O1" s="766"/>
      <c r="P1" s="766"/>
      <c r="Q1" s="766"/>
      <c r="R1" s="766"/>
      <c r="S1" s="766"/>
    </row>
    <row r="2" spans="2:21" s="340" customFormat="1" ht="12.75" customHeight="1">
      <c r="B2" s="17"/>
      <c r="C2" s="17"/>
      <c r="D2" s="17"/>
      <c r="E2" s="17"/>
      <c r="F2" s="17"/>
      <c r="G2" s="17"/>
      <c r="H2" s="17"/>
      <c r="I2" s="17"/>
      <c r="J2" s="17"/>
      <c r="K2" s="17"/>
      <c r="L2" s="17"/>
      <c r="M2" s="17"/>
      <c r="N2" s="17"/>
      <c r="O2" s="17"/>
      <c r="P2" s="17"/>
      <c r="Q2" s="17"/>
      <c r="R2" s="17"/>
      <c r="S2" s="17"/>
    </row>
    <row r="3" spans="2:21" s="340" customFormat="1" ht="14.25" customHeight="1">
      <c r="B3" s="766" t="s">
        <v>58</v>
      </c>
      <c r="C3" s="766"/>
      <c r="D3" s="766"/>
      <c r="E3" s="766"/>
      <c r="F3" s="766"/>
      <c r="G3" s="766"/>
      <c r="H3" s="766"/>
      <c r="I3" s="766"/>
      <c r="J3" s="766"/>
      <c r="K3" s="766"/>
      <c r="L3" s="766"/>
      <c r="M3" s="766"/>
      <c r="N3" s="766"/>
      <c r="O3" s="766"/>
      <c r="P3" s="766"/>
      <c r="Q3" s="766"/>
      <c r="R3" s="766"/>
      <c r="S3" s="766"/>
    </row>
    <row r="4" spans="2:21" ht="14.25" customHeight="1">
      <c r="B4" s="766" t="s">
        <v>181</v>
      </c>
      <c r="C4" s="766"/>
      <c r="D4" s="766"/>
      <c r="E4" s="766"/>
      <c r="F4" s="766"/>
      <c r="G4" s="766"/>
      <c r="H4" s="766"/>
      <c r="I4" s="766"/>
      <c r="J4" s="766"/>
      <c r="K4" s="766"/>
      <c r="L4" s="766"/>
      <c r="M4" s="766"/>
      <c r="N4" s="766"/>
      <c r="O4" s="766"/>
      <c r="P4" s="766"/>
      <c r="Q4" s="766"/>
      <c r="R4" s="766"/>
      <c r="S4" s="766"/>
    </row>
    <row r="5" spans="2:21">
      <c r="B5" s="890" t="s">
        <v>182</v>
      </c>
      <c r="C5" s="890" t="s">
        <v>201</v>
      </c>
      <c r="D5" s="891" t="s">
        <v>335</v>
      </c>
      <c r="E5" s="892"/>
      <c r="F5" s="892"/>
      <c r="G5" s="892"/>
      <c r="H5" s="892"/>
      <c r="I5" s="892"/>
      <c r="J5" s="892"/>
      <c r="K5" s="892"/>
      <c r="L5" s="892"/>
      <c r="M5" s="892"/>
      <c r="N5" s="892"/>
      <c r="O5" s="892"/>
      <c r="P5" s="892"/>
      <c r="Q5" s="892"/>
      <c r="R5" s="892"/>
      <c r="S5" s="893"/>
    </row>
    <row r="6" spans="2:21" ht="63" customHeight="1">
      <c r="B6" s="890"/>
      <c r="C6" s="890"/>
      <c r="D6" s="894" t="s">
        <v>336</v>
      </c>
      <c r="E6" s="895"/>
      <c r="F6" s="891" t="s">
        <v>147</v>
      </c>
      <c r="G6" s="893"/>
      <c r="H6" s="891" t="s">
        <v>149</v>
      </c>
      <c r="I6" s="893"/>
      <c r="J6" s="891" t="s">
        <v>337</v>
      </c>
      <c r="K6" s="893"/>
      <c r="L6" s="891" t="s">
        <v>151</v>
      </c>
      <c r="M6" s="893"/>
      <c r="N6" s="891" t="s">
        <v>338</v>
      </c>
      <c r="O6" s="893"/>
      <c r="P6" s="894" t="s">
        <v>339</v>
      </c>
      <c r="Q6" s="895"/>
      <c r="R6" s="891" t="s">
        <v>148</v>
      </c>
      <c r="S6" s="893"/>
    </row>
    <row r="7" spans="2:21">
      <c r="B7" s="890"/>
      <c r="C7" s="890"/>
      <c r="D7" s="342" t="s">
        <v>340</v>
      </c>
      <c r="E7" s="342" t="s">
        <v>341</v>
      </c>
      <c r="F7" s="342" t="s">
        <v>340</v>
      </c>
      <c r="G7" s="342" t="s">
        <v>341</v>
      </c>
      <c r="H7" s="342" t="s">
        <v>340</v>
      </c>
      <c r="I7" s="342" t="s">
        <v>341</v>
      </c>
      <c r="J7" s="342" t="s">
        <v>340</v>
      </c>
      <c r="K7" s="342" t="s">
        <v>341</v>
      </c>
      <c r="L7" s="342" t="s">
        <v>340</v>
      </c>
      <c r="M7" s="342" t="s">
        <v>341</v>
      </c>
      <c r="N7" s="342" t="s">
        <v>340</v>
      </c>
      <c r="O7" s="342" t="s">
        <v>341</v>
      </c>
      <c r="P7" s="342" t="s">
        <v>340</v>
      </c>
      <c r="Q7" s="342" t="s">
        <v>341</v>
      </c>
      <c r="R7" s="342" t="s">
        <v>340</v>
      </c>
      <c r="S7" s="414" t="s">
        <v>341</v>
      </c>
    </row>
    <row r="8" spans="2:21">
      <c r="B8" s="887">
        <v>2021</v>
      </c>
      <c r="C8" s="468" t="s">
        <v>203</v>
      </c>
      <c r="D8" s="469">
        <v>5969</v>
      </c>
      <c r="E8" s="470">
        <v>6042</v>
      </c>
      <c r="F8" s="470">
        <v>2487</v>
      </c>
      <c r="G8" s="470">
        <v>2808</v>
      </c>
      <c r="H8" s="470">
        <v>5730</v>
      </c>
      <c r="I8" s="470">
        <v>6308</v>
      </c>
      <c r="J8" s="470">
        <v>3038</v>
      </c>
      <c r="K8" s="470">
        <v>3256</v>
      </c>
      <c r="L8" s="470">
        <v>5277</v>
      </c>
      <c r="M8" s="470">
        <v>6033</v>
      </c>
      <c r="N8" s="470">
        <v>2436</v>
      </c>
      <c r="O8" s="470">
        <v>2305</v>
      </c>
      <c r="P8" s="470">
        <v>7144</v>
      </c>
      <c r="Q8" s="470">
        <v>7702</v>
      </c>
      <c r="R8" s="470">
        <v>19954</v>
      </c>
      <c r="S8" s="470">
        <v>22624</v>
      </c>
    </row>
    <row r="9" spans="2:21">
      <c r="B9" s="888"/>
      <c r="C9" s="468" t="s">
        <v>204</v>
      </c>
      <c r="D9" s="469">
        <v>6681</v>
      </c>
      <c r="E9" s="470">
        <v>7348</v>
      </c>
      <c r="F9" s="470">
        <v>2808</v>
      </c>
      <c r="G9" s="470">
        <v>2254</v>
      </c>
      <c r="H9" s="470">
        <v>6308</v>
      </c>
      <c r="I9" s="470">
        <v>6628</v>
      </c>
      <c r="J9" s="470">
        <v>3256</v>
      </c>
      <c r="K9" s="470">
        <v>3757</v>
      </c>
      <c r="L9" s="470">
        <v>6033</v>
      </c>
      <c r="M9" s="470">
        <v>6356</v>
      </c>
      <c r="N9" s="470">
        <v>2305</v>
      </c>
      <c r="O9" s="470">
        <v>2561</v>
      </c>
      <c r="P9" s="470">
        <v>7702</v>
      </c>
      <c r="Q9" s="470">
        <v>7320</v>
      </c>
      <c r="R9" s="470">
        <v>22624</v>
      </c>
      <c r="S9" s="470">
        <v>25894</v>
      </c>
    </row>
    <row r="10" spans="2:21">
      <c r="B10" s="888"/>
      <c r="C10" s="468" t="s">
        <v>205</v>
      </c>
      <c r="D10" s="469">
        <v>6680</v>
      </c>
      <c r="E10" s="470">
        <v>6696</v>
      </c>
      <c r="F10" s="470">
        <v>2254</v>
      </c>
      <c r="G10" s="470">
        <v>2726</v>
      </c>
      <c r="H10" s="470">
        <v>6628</v>
      </c>
      <c r="I10" s="470">
        <v>7455</v>
      </c>
      <c r="J10" s="470">
        <v>3757</v>
      </c>
      <c r="K10" s="470">
        <v>2499</v>
      </c>
      <c r="L10" s="470">
        <v>6356</v>
      </c>
      <c r="M10" s="470">
        <v>5963</v>
      </c>
      <c r="N10" s="470">
        <v>2561</v>
      </c>
      <c r="O10" s="470">
        <v>2681</v>
      </c>
      <c r="P10" s="470">
        <v>7320</v>
      </c>
      <c r="Q10" s="470">
        <v>6927</v>
      </c>
      <c r="R10" s="470">
        <v>25894</v>
      </c>
      <c r="S10" s="470">
        <v>18383</v>
      </c>
      <c r="U10" s="25"/>
    </row>
    <row r="11" spans="2:21">
      <c r="B11" s="888"/>
      <c r="C11" s="468" t="s">
        <v>206</v>
      </c>
      <c r="D11" s="469">
        <v>6695</v>
      </c>
      <c r="E11" s="470">
        <v>6541</v>
      </c>
      <c r="F11" s="470">
        <v>2726</v>
      </c>
      <c r="G11" s="470">
        <v>2847</v>
      </c>
      <c r="H11" s="470">
        <v>7455</v>
      </c>
      <c r="I11" s="470">
        <v>5686</v>
      </c>
      <c r="J11" s="470">
        <v>2499</v>
      </c>
      <c r="K11" s="470">
        <v>2979</v>
      </c>
      <c r="L11" s="470">
        <v>5963</v>
      </c>
      <c r="M11" s="470">
        <v>6131</v>
      </c>
      <c r="N11" s="470">
        <v>2681</v>
      </c>
      <c r="O11" s="470">
        <v>2435</v>
      </c>
      <c r="P11" s="470">
        <v>6927</v>
      </c>
      <c r="Q11" s="470">
        <v>7796</v>
      </c>
      <c r="R11" s="470">
        <v>18383</v>
      </c>
      <c r="S11" s="470">
        <v>22037</v>
      </c>
    </row>
    <row r="12" spans="2:21">
      <c r="B12" s="888"/>
      <c r="C12" s="468" t="s">
        <v>207</v>
      </c>
      <c r="D12" s="469">
        <v>6428</v>
      </c>
      <c r="E12" s="470">
        <v>6088</v>
      </c>
      <c r="F12" s="470">
        <v>2847</v>
      </c>
      <c r="G12" s="470">
        <v>2837</v>
      </c>
      <c r="H12" s="470">
        <v>5686</v>
      </c>
      <c r="I12" s="470">
        <v>4523</v>
      </c>
      <c r="J12" s="470">
        <v>2979</v>
      </c>
      <c r="K12" s="470">
        <v>3328</v>
      </c>
      <c r="L12" s="470">
        <v>6131</v>
      </c>
      <c r="M12" s="470">
        <v>5662</v>
      </c>
      <c r="N12" s="470">
        <v>2435</v>
      </c>
      <c r="O12" s="470">
        <v>1954</v>
      </c>
      <c r="P12" s="470">
        <v>7796</v>
      </c>
      <c r="Q12" s="470">
        <v>7697</v>
      </c>
      <c r="R12" s="470">
        <v>22037</v>
      </c>
      <c r="S12" s="470">
        <v>19475</v>
      </c>
    </row>
    <row r="13" spans="2:21">
      <c r="B13" s="888"/>
      <c r="C13" s="468" t="s">
        <v>208</v>
      </c>
      <c r="D13" s="469">
        <v>7082</v>
      </c>
      <c r="E13" s="470">
        <v>5573</v>
      </c>
      <c r="F13" s="470">
        <v>2837</v>
      </c>
      <c r="G13" s="470">
        <v>2591</v>
      </c>
      <c r="H13" s="470">
        <v>4523</v>
      </c>
      <c r="I13" s="470">
        <v>4387</v>
      </c>
      <c r="J13" s="470">
        <v>3328</v>
      </c>
      <c r="K13" s="470">
        <v>2813</v>
      </c>
      <c r="L13" s="470">
        <v>5662</v>
      </c>
      <c r="M13" s="470">
        <v>5454</v>
      </c>
      <c r="N13" s="470">
        <v>1954</v>
      </c>
      <c r="O13" s="470">
        <v>2174</v>
      </c>
      <c r="P13" s="470">
        <v>7697</v>
      </c>
      <c r="Q13" s="470">
        <v>7666</v>
      </c>
      <c r="R13" s="470">
        <v>19475</v>
      </c>
      <c r="S13" s="470">
        <v>21650</v>
      </c>
    </row>
    <row r="14" spans="2:21">
      <c r="B14" s="888"/>
      <c r="C14" s="468" t="s">
        <v>209</v>
      </c>
      <c r="D14" s="469">
        <v>7349</v>
      </c>
      <c r="E14" s="470">
        <v>6002</v>
      </c>
      <c r="F14" s="470">
        <v>2591</v>
      </c>
      <c r="G14" s="470">
        <v>2867</v>
      </c>
      <c r="H14" s="470">
        <v>4387</v>
      </c>
      <c r="I14" s="470">
        <v>4333</v>
      </c>
      <c r="J14" s="470">
        <v>2813</v>
      </c>
      <c r="K14" s="470">
        <v>2316</v>
      </c>
      <c r="L14" s="470">
        <v>5454</v>
      </c>
      <c r="M14" s="470">
        <v>5101</v>
      </c>
      <c r="N14" s="470">
        <v>2174</v>
      </c>
      <c r="O14" s="470">
        <v>2070</v>
      </c>
      <c r="P14" s="470">
        <v>7666</v>
      </c>
      <c r="Q14" s="470">
        <v>7483</v>
      </c>
      <c r="R14" s="470">
        <v>21650</v>
      </c>
      <c r="S14" s="470">
        <v>23402</v>
      </c>
    </row>
    <row r="15" spans="2:21">
      <c r="B15" s="888"/>
      <c r="C15" s="468" t="s">
        <v>210</v>
      </c>
      <c r="D15" s="469">
        <v>6661</v>
      </c>
      <c r="E15" s="470">
        <v>6418</v>
      </c>
      <c r="F15" s="470">
        <v>2867</v>
      </c>
      <c r="G15" s="470">
        <v>2892</v>
      </c>
      <c r="H15" s="470">
        <v>4333</v>
      </c>
      <c r="I15" s="470">
        <v>4771</v>
      </c>
      <c r="J15" s="470">
        <v>2316</v>
      </c>
      <c r="K15" s="470">
        <v>2678</v>
      </c>
      <c r="L15" s="470">
        <v>5101</v>
      </c>
      <c r="M15" s="470">
        <v>5009</v>
      </c>
      <c r="N15" s="470">
        <v>2070</v>
      </c>
      <c r="O15" s="470">
        <v>1992</v>
      </c>
      <c r="P15" s="470">
        <v>7483</v>
      </c>
      <c r="Q15" s="470">
        <v>8067</v>
      </c>
      <c r="R15" s="470">
        <v>23402</v>
      </c>
      <c r="S15" s="470">
        <v>22535</v>
      </c>
    </row>
    <row r="16" spans="2:21">
      <c r="B16" s="888"/>
      <c r="C16" s="468" t="s">
        <v>211</v>
      </c>
      <c r="D16" s="469">
        <v>6591</v>
      </c>
      <c r="E16" s="470">
        <v>5225</v>
      </c>
      <c r="F16" s="470">
        <v>2892</v>
      </c>
      <c r="G16" s="470">
        <v>3192</v>
      </c>
      <c r="H16" s="470">
        <v>4771</v>
      </c>
      <c r="I16" s="470">
        <v>4573</v>
      </c>
      <c r="J16" s="470">
        <v>2678</v>
      </c>
      <c r="K16" s="470">
        <v>2372</v>
      </c>
      <c r="L16" s="470">
        <v>5009</v>
      </c>
      <c r="M16" s="470">
        <v>4029</v>
      </c>
      <c r="N16" s="470">
        <v>1992</v>
      </c>
      <c r="O16" s="470">
        <v>2358</v>
      </c>
      <c r="P16" s="470">
        <v>8067</v>
      </c>
      <c r="Q16" s="470">
        <v>7177</v>
      </c>
      <c r="R16" s="470">
        <v>22535</v>
      </c>
      <c r="S16" s="470">
        <v>24649</v>
      </c>
    </row>
    <row r="17" spans="2:21">
      <c r="B17" s="888"/>
      <c r="C17" s="468" t="s">
        <v>212</v>
      </c>
      <c r="D17" s="469">
        <v>5786</v>
      </c>
      <c r="E17" s="470">
        <v>5181</v>
      </c>
      <c r="F17" s="470">
        <v>3192</v>
      </c>
      <c r="G17" s="470">
        <v>3030</v>
      </c>
      <c r="H17" s="470">
        <v>4573</v>
      </c>
      <c r="I17" s="470">
        <v>4316</v>
      </c>
      <c r="J17" s="470">
        <v>2372</v>
      </c>
      <c r="K17" s="470">
        <v>2088</v>
      </c>
      <c r="L17" s="470">
        <v>4029</v>
      </c>
      <c r="M17" s="470">
        <v>3861</v>
      </c>
      <c r="N17" s="470">
        <v>2358</v>
      </c>
      <c r="O17" s="470">
        <v>1983</v>
      </c>
      <c r="P17" s="470">
        <v>7177</v>
      </c>
      <c r="Q17" s="470">
        <v>7240</v>
      </c>
      <c r="R17" s="470">
        <v>24649</v>
      </c>
      <c r="S17" s="470">
        <v>21741</v>
      </c>
    </row>
    <row r="18" spans="2:21">
      <c r="B18" s="888"/>
      <c r="C18" s="468" t="s">
        <v>196</v>
      </c>
      <c r="D18" s="469">
        <v>4462</v>
      </c>
      <c r="E18" s="470">
        <v>5329</v>
      </c>
      <c r="F18" s="470">
        <v>3030</v>
      </c>
      <c r="G18" s="470">
        <v>3489</v>
      </c>
      <c r="H18" s="470">
        <v>4316</v>
      </c>
      <c r="I18" s="470">
        <v>3982</v>
      </c>
      <c r="J18" s="470">
        <v>2088</v>
      </c>
      <c r="K18" s="470">
        <v>1560</v>
      </c>
      <c r="L18" s="470">
        <v>3861</v>
      </c>
      <c r="M18" s="470">
        <v>2752</v>
      </c>
      <c r="N18" s="470">
        <v>1983</v>
      </c>
      <c r="O18" s="470">
        <v>2201</v>
      </c>
      <c r="P18" s="470">
        <v>7240</v>
      </c>
      <c r="Q18" s="470">
        <v>7324</v>
      </c>
      <c r="R18" s="470">
        <v>21741</v>
      </c>
      <c r="S18" s="470">
        <v>19376</v>
      </c>
    </row>
    <row r="19" spans="2:21">
      <c r="B19" s="889"/>
      <c r="C19" s="468" t="s">
        <v>197</v>
      </c>
      <c r="D19" s="469">
        <v>5208</v>
      </c>
      <c r="E19" s="470">
        <v>4940</v>
      </c>
      <c r="F19" s="470">
        <v>3489</v>
      </c>
      <c r="G19" s="470">
        <v>2905</v>
      </c>
      <c r="H19" s="470">
        <v>3982</v>
      </c>
      <c r="I19" s="470">
        <v>4714</v>
      </c>
      <c r="J19" s="470">
        <v>1560</v>
      </c>
      <c r="K19" s="470">
        <v>1470</v>
      </c>
      <c r="L19" s="470">
        <v>2752</v>
      </c>
      <c r="M19" s="470">
        <v>2373</v>
      </c>
      <c r="N19" s="470">
        <v>2201</v>
      </c>
      <c r="O19" s="470">
        <v>1879</v>
      </c>
      <c r="P19" s="470">
        <v>7324</v>
      </c>
      <c r="Q19" s="470">
        <v>7233</v>
      </c>
      <c r="R19" s="470">
        <v>19376</v>
      </c>
      <c r="S19" s="470">
        <v>18572</v>
      </c>
    </row>
    <row r="20" spans="2:21">
      <c r="B20" s="887">
        <v>2022</v>
      </c>
      <c r="C20" s="468" t="s">
        <v>203</v>
      </c>
      <c r="D20" s="469">
        <v>5653</v>
      </c>
      <c r="E20" s="470">
        <v>6052</v>
      </c>
      <c r="F20" s="470">
        <v>2905</v>
      </c>
      <c r="G20" s="470">
        <v>3375</v>
      </c>
      <c r="H20" s="470">
        <v>4714</v>
      </c>
      <c r="I20" s="470">
        <v>5316</v>
      </c>
      <c r="J20" s="470">
        <v>1470</v>
      </c>
      <c r="K20" s="470">
        <v>1935</v>
      </c>
      <c r="L20" s="470">
        <v>2373</v>
      </c>
      <c r="M20" s="470">
        <v>2611</v>
      </c>
      <c r="N20" s="470">
        <v>1879</v>
      </c>
      <c r="O20" s="470">
        <v>1945</v>
      </c>
      <c r="P20" s="470">
        <v>7233</v>
      </c>
      <c r="Q20" s="470">
        <v>7465</v>
      </c>
      <c r="R20" s="470">
        <v>18572</v>
      </c>
      <c r="S20" s="470">
        <v>23801</v>
      </c>
      <c r="U20" s="341" t="s">
        <v>690</v>
      </c>
    </row>
    <row r="21" spans="2:21">
      <c r="B21" s="888"/>
      <c r="C21" s="468" t="s">
        <v>204</v>
      </c>
      <c r="D21" s="469">
        <v>6052</v>
      </c>
      <c r="E21" s="470">
        <v>5427</v>
      </c>
      <c r="F21" s="470">
        <v>3375</v>
      </c>
      <c r="G21" s="470">
        <v>3579</v>
      </c>
      <c r="H21" s="470">
        <v>5316</v>
      </c>
      <c r="I21" s="470">
        <v>3322</v>
      </c>
      <c r="J21" s="470">
        <v>1935</v>
      </c>
      <c r="K21" s="470">
        <v>1658</v>
      </c>
      <c r="L21" s="470">
        <v>2611</v>
      </c>
      <c r="M21" s="470">
        <v>2910</v>
      </c>
      <c r="N21" s="470">
        <v>1945</v>
      </c>
      <c r="O21" s="470">
        <v>1910</v>
      </c>
      <c r="P21" s="470">
        <v>7465</v>
      </c>
      <c r="Q21" s="470">
        <v>7688</v>
      </c>
      <c r="R21" s="470">
        <v>23801</v>
      </c>
      <c r="S21" s="470">
        <v>28226</v>
      </c>
      <c r="U21" s="25"/>
    </row>
    <row r="22" spans="2:21">
      <c r="B22" s="888"/>
      <c r="C22" s="468" t="s">
        <v>205</v>
      </c>
      <c r="D22" s="469">
        <v>5427</v>
      </c>
      <c r="E22" s="470">
        <v>4497</v>
      </c>
      <c r="F22" s="470">
        <v>3579</v>
      </c>
      <c r="G22" s="470">
        <v>3282</v>
      </c>
      <c r="H22" s="470">
        <v>3322</v>
      </c>
      <c r="I22" s="470">
        <v>2761</v>
      </c>
      <c r="J22" s="470">
        <v>1658</v>
      </c>
      <c r="K22" s="470">
        <v>1587</v>
      </c>
      <c r="L22" s="470">
        <v>2910</v>
      </c>
      <c r="M22" s="470">
        <v>2351</v>
      </c>
      <c r="N22" s="470">
        <v>1910</v>
      </c>
      <c r="O22" s="470">
        <v>1745</v>
      </c>
      <c r="P22" s="470">
        <v>7688</v>
      </c>
      <c r="Q22" s="470">
        <v>7632</v>
      </c>
      <c r="R22" s="470">
        <v>28226</v>
      </c>
      <c r="S22" s="470">
        <v>28338</v>
      </c>
      <c r="U22" s="25"/>
    </row>
    <row r="23" spans="2:21">
      <c r="B23" s="888"/>
      <c r="C23" s="468" t="s">
        <v>206</v>
      </c>
      <c r="D23" s="469">
        <v>4497</v>
      </c>
      <c r="E23" s="470">
        <v>4892</v>
      </c>
      <c r="F23" s="470">
        <v>3282</v>
      </c>
      <c r="G23" s="470">
        <v>2858</v>
      </c>
      <c r="H23" s="470">
        <v>2761</v>
      </c>
      <c r="I23" s="470">
        <v>3177</v>
      </c>
      <c r="J23" s="470">
        <v>1587</v>
      </c>
      <c r="K23" s="470">
        <v>1665</v>
      </c>
      <c r="L23" s="470">
        <v>2351</v>
      </c>
      <c r="M23" s="470">
        <v>2636</v>
      </c>
      <c r="N23" s="470">
        <v>1745</v>
      </c>
      <c r="O23" s="470">
        <v>1712</v>
      </c>
      <c r="P23" s="470">
        <v>7632</v>
      </c>
      <c r="Q23" s="470">
        <v>7789</v>
      </c>
      <c r="R23" s="470">
        <v>28338</v>
      </c>
      <c r="S23" s="470">
        <v>25880</v>
      </c>
    </row>
    <row r="24" spans="2:21">
      <c r="B24" s="888"/>
      <c r="C24" s="468" t="s">
        <v>207</v>
      </c>
      <c r="D24" s="469"/>
      <c r="E24" s="470"/>
      <c r="F24" s="470"/>
      <c r="G24" s="470"/>
      <c r="H24" s="470"/>
      <c r="I24" s="470"/>
      <c r="J24" s="470"/>
      <c r="K24" s="470"/>
      <c r="L24" s="470"/>
      <c r="M24" s="470"/>
      <c r="N24" s="470"/>
      <c r="O24" s="470"/>
      <c r="P24" s="470"/>
      <c r="Q24" s="470"/>
      <c r="R24" s="470"/>
      <c r="S24" s="470"/>
    </row>
    <row r="25" spans="2:21">
      <c r="B25" s="888"/>
      <c r="C25" s="468" t="s">
        <v>208</v>
      </c>
      <c r="D25" s="469"/>
      <c r="E25" s="470"/>
      <c r="F25" s="470"/>
      <c r="G25" s="470"/>
      <c r="H25" s="470"/>
      <c r="I25" s="470"/>
      <c r="J25" s="470"/>
      <c r="K25" s="470"/>
      <c r="L25" s="470"/>
      <c r="M25" s="470"/>
      <c r="N25" s="470"/>
      <c r="O25" s="470"/>
      <c r="P25" s="470"/>
      <c r="Q25" s="470"/>
      <c r="R25" s="470"/>
      <c r="S25" s="470"/>
    </row>
    <row r="26" spans="2:21">
      <c r="B26" s="888"/>
      <c r="C26" s="468" t="s">
        <v>209</v>
      </c>
      <c r="D26" s="469"/>
      <c r="E26" s="470"/>
      <c r="F26" s="470"/>
      <c r="G26" s="470"/>
      <c r="H26" s="470"/>
      <c r="I26" s="470"/>
      <c r="J26" s="470"/>
      <c r="K26" s="470"/>
      <c r="L26" s="470"/>
      <c r="M26" s="470"/>
      <c r="N26" s="470"/>
      <c r="O26" s="470"/>
      <c r="P26" s="470"/>
      <c r="Q26" s="470"/>
      <c r="R26" s="470"/>
      <c r="S26" s="470"/>
    </row>
    <row r="27" spans="2:21">
      <c r="B27" s="888"/>
      <c r="C27" s="468" t="s">
        <v>210</v>
      </c>
      <c r="D27" s="469"/>
      <c r="E27" s="470"/>
      <c r="F27" s="470"/>
      <c r="G27" s="470"/>
      <c r="H27" s="470"/>
      <c r="I27" s="470"/>
      <c r="J27" s="470"/>
      <c r="K27" s="470"/>
      <c r="L27" s="470"/>
      <c r="M27" s="470"/>
      <c r="N27" s="470"/>
      <c r="O27" s="470"/>
      <c r="P27" s="470"/>
      <c r="Q27" s="470"/>
      <c r="R27" s="470"/>
      <c r="S27" s="470"/>
    </row>
    <row r="28" spans="2:21">
      <c r="B28" s="888"/>
      <c r="C28" s="468" t="s">
        <v>211</v>
      </c>
      <c r="D28" s="469"/>
      <c r="E28" s="470"/>
      <c r="F28" s="470"/>
      <c r="G28" s="470"/>
      <c r="H28" s="470"/>
      <c r="I28" s="470"/>
      <c r="J28" s="470"/>
      <c r="K28" s="470"/>
      <c r="L28" s="470"/>
      <c r="M28" s="470"/>
      <c r="N28" s="470"/>
      <c r="O28" s="470"/>
      <c r="P28" s="470"/>
      <c r="Q28" s="470"/>
      <c r="R28" s="470"/>
      <c r="S28" s="470"/>
    </row>
    <row r="29" spans="2:21" ht="15" customHeight="1">
      <c r="B29" s="888"/>
      <c r="C29" s="468" t="s">
        <v>212</v>
      </c>
      <c r="D29" s="469"/>
      <c r="E29" s="470"/>
      <c r="F29" s="470"/>
      <c r="G29" s="470"/>
      <c r="H29" s="470"/>
      <c r="I29" s="470"/>
      <c r="J29" s="470"/>
      <c r="K29" s="470"/>
      <c r="L29" s="470"/>
      <c r="M29" s="470"/>
      <c r="N29" s="470"/>
      <c r="O29" s="470"/>
      <c r="P29" s="470"/>
      <c r="Q29" s="470"/>
      <c r="R29" s="470"/>
      <c r="S29" s="470"/>
    </row>
    <row r="30" spans="2:21">
      <c r="B30" s="888"/>
      <c r="C30" s="468" t="s">
        <v>196</v>
      </c>
      <c r="D30" s="469"/>
      <c r="E30" s="470"/>
      <c r="F30" s="470"/>
      <c r="G30" s="470"/>
      <c r="H30" s="470"/>
      <c r="I30" s="470"/>
      <c r="J30" s="470"/>
      <c r="K30" s="470"/>
      <c r="L30" s="470"/>
      <c r="M30" s="470"/>
      <c r="N30" s="470"/>
      <c r="O30" s="470"/>
      <c r="P30" s="470"/>
      <c r="Q30" s="470"/>
      <c r="R30" s="470"/>
      <c r="S30" s="470"/>
    </row>
    <row r="31" spans="2:21">
      <c r="B31" s="889"/>
      <c r="C31" s="468" t="s">
        <v>197</v>
      </c>
      <c r="D31" s="469"/>
      <c r="E31" s="470"/>
      <c r="F31" s="470"/>
      <c r="G31" s="470"/>
      <c r="H31" s="470"/>
      <c r="I31" s="470"/>
      <c r="J31" s="470"/>
      <c r="K31" s="470"/>
      <c r="L31" s="470"/>
      <c r="M31" s="470"/>
      <c r="N31" s="470"/>
      <c r="O31" s="470"/>
      <c r="P31" s="470"/>
      <c r="Q31" s="470"/>
      <c r="R31" s="470"/>
      <c r="S31" s="470"/>
    </row>
    <row r="32" spans="2:21" ht="17.399999999999999">
      <c r="B32" s="341" t="s">
        <v>342</v>
      </c>
      <c r="E32" s="11"/>
      <c r="F32" s="11"/>
      <c r="G32" s="11"/>
      <c r="H32" s="11"/>
      <c r="I32" s="11"/>
      <c r="J32" s="11"/>
      <c r="K32" s="11"/>
      <c r="L32" s="11"/>
      <c r="M32" s="11"/>
      <c r="N32" s="11"/>
      <c r="O32" s="11"/>
      <c r="P32" s="11"/>
      <c r="Q32" s="11"/>
      <c r="R32" s="11"/>
      <c r="S32" s="11"/>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V34"/>
  <sheetViews>
    <sheetView zoomScaleNormal="100" workbookViewId="0">
      <selection activeCell="U9" sqref="U9"/>
    </sheetView>
  </sheetViews>
  <sheetFormatPr baseColWidth="10" defaultColWidth="10.921875" defaultRowHeight="13.2"/>
  <cols>
    <col min="1" max="1" width="2.3828125" style="341" customWidth="1"/>
    <col min="2" max="2" width="6.3828125" style="341" customWidth="1"/>
    <col min="3" max="3" width="8.3046875" style="341" customWidth="1"/>
    <col min="4" max="4" width="8.15234375" style="341" hidden="1" customWidth="1"/>
    <col min="5" max="5" width="8.3828125" style="341" customWidth="1"/>
    <col min="6" max="6" width="8.3828125" style="341" hidden="1" customWidth="1"/>
    <col min="7" max="7" width="8.3828125" style="341" customWidth="1"/>
    <col min="8" max="8" width="8.3828125" style="341" hidden="1" customWidth="1"/>
    <col min="9" max="9" width="8.3828125" style="341" customWidth="1"/>
    <col min="10" max="10" width="8.3828125" style="341" hidden="1" customWidth="1"/>
    <col min="11" max="11" width="8.3828125" style="341" customWidth="1"/>
    <col min="12" max="12" width="8.3828125" style="341" hidden="1" customWidth="1"/>
    <col min="13" max="13" width="8.3828125" style="341" customWidth="1"/>
    <col min="14" max="14" width="8.3828125" style="341" hidden="1" customWidth="1"/>
    <col min="15" max="15" width="8.3828125" style="341" customWidth="1"/>
    <col min="16" max="16" width="8.3828125" style="341" hidden="1" customWidth="1"/>
    <col min="17" max="17" width="8.3828125" style="341" customWidth="1"/>
    <col min="18" max="18" width="8.3828125" style="341" hidden="1" customWidth="1"/>
    <col min="19" max="19" width="9.3046875" style="341" customWidth="1"/>
    <col min="20" max="20" width="2.3828125" style="341" customWidth="1"/>
    <col min="21" max="16384" width="10.921875" style="341"/>
  </cols>
  <sheetData>
    <row r="1" spans="2:21" s="340" customFormat="1" ht="12.75" customHeight="1">
      <c r="B1" s="766" t="s">
        <v>343</v>
      </c>
      <c r="C1" s="766"/>
      <c r="D1" s="766"/>
      <c r="E1" s="766"/>
      <c r="F1" s="766"/>
      <c r="G1" s="766"/>
      <c r="H1" s="766"/>
      <c r="I1" s="766"/>
      <c r="J1" s="766"/>
      <c r="K1" s="766"/>
      <c r="L1" s="766"/>
      <c r="M1" s="766"/>
      <c r="N1" s="766"/>
      <c r="O1" s="766"/>
      <c r="P1" s="766"/>
      <c r="Q1" s="766"/>
      <c r="R1" s="766"/>
      <c r="S1" s="766"/>
      <c r="T1" s="15"/>
    </row>
    <row r="2" spans="2:21" s="340" customFormat="1" ht="12.75" customHeight="1">
      <c r="B2" s="17"/>
      <c r="C2" s="17"/>
      <c r="D2" s="17"/>
      <c r="E2" s="17"/>
      <c r="F2" s="17"/>
      <c r="G2" s="17"/>
      <c r="H2" s="17"/>
      <c r="I2" s="17"/>
      <c r="J2" s="17"/>
      <c r="K2" s="17"/>
      <c r="L2" s="17"/>
      <c r="M2" s="17"/>
      <c r="N2" s="17"/>
      <c r="O2" s="17"/>
      <c r="P2" s="17"/>
      <c r="Q2" s="17"/>
      <c r="R2" s="17"/>
      <c r="S2" s="17"/>
      <c r="T2" s="15"/>
    </row>
    <row r="3" spans="2:21" s="340" customFormat="1" ht="12.75" customHeight="1">
      <c r="B3" s="766" t="s">
        <v>60</v>
      </c>
      <c r="C3" s="766"/>
      <c r="D3" s="766"/>
      <c r="E3" s="766"/>
      <c r="F3" s="766"/>
      <c r="G3" s="766"/>
      <c r="H3" s="766"/>
      <c r="I3" s="766"/>
      <c r="J3" s="766"/>
      <c r="K3" s="766"/>
      <c r="L3" s="766"/>
      <c r="M3" s="766"/>
      <c r="N3" s="766"/>
      <c r="O3" s="766"/>
      <c r="P3" s="766"/>
      <c r="Q3" s="766"/>
      <c r="R3" s="766"/>
      <c r="S3" s="766"/>
      <c r="T3" s="15"/>
    </row>
    <row r="4" spans="2:21" s="340" customFormat="1" ht="12.75" customHeight="1">
      <c r="B4" s="766" t="s">
        <v>181</v>
      </c>
      <c r="C4" s="766"/>
      <c r="D4" s="766"/>
      <c r="E4" s="766"/>
      <c r="F4" s="766"/>
      <c r="G4" s="766"/>
      <c r="H4" s="766"/>
      <c r="I4" s="766"/>
      <c r="J4" s="766"/>
      <c r="K4" s="766"/>
      <c r="L4" s="766"/>
      <c r="M4" s="766"/>
      <c r="N4" s="766"/>
      <c r="O4" s="766"/>
      <c r="P4" s="766"/>
      <c r="Q4" s="766"/>
      <c r="R4" s="766"/>
      <c r="S4" s="766"/>
      <c r="T4" s="17"/>
    </row>
    <row r="5" spans="2:21">
      <c r="B5" s="896" t="s">
        <v>182</v>
      </c>
      <c r="C5" s="896" t="s">
        <v>201</v>
      </c>
      <c r="D5" s="891" t="s">
        <v>335</v>
      </c>
      <c r="E5" s="892"/>
      <c r="F5" s="892"/>
      <c r="G5" s="892"/>
      <c r="H5" s="892"/>
      <c r="I5" s="892"/>
      <c r="J5" s="892"/>
      <c r="K5" s="892"/>
      <c r="L5" s="892"/>
      <c r="M5" s="892"/>
      <c r="N5" s="892"/>
      <c r="O5" s="892"/>
      <c r="P5" s="892"/>
      <c r="Q5" s="892"/>
      <c r="R5" s="892"/>
      <c r="S5" s="893"/>
    </row>
    <row r="6" spans="2:21" ht="66.75" customHeight="1">
      <c r="B6" s="897"/>
      <c r="C6" s="897"/>
      <c r="D6" s="894" t="s">
        <v>336</v>
      </c>
      <c r="E6" s="895"/>
      <c r="F6" s="891" t="s">
        <v>147</v>
      </c>
      <c r="G6" s="893"/>
      <c r="H6" s="891" t="s">
        <v>149</v>
      </c>
      <c r="I6" s="893"/>
      <c r="J6" s="891" t="s">
        <v>337</v>
      </c>
      <c r="K6" s="893"/>
      <c r="L6" s="891" t="s">
        <v>151</v>
      </c>
      <c r="M6" s="893"/>
      <c r="N6" s="891" t="s">
        <v>338</v>
      </c>
      <c r="O6" s="893"/>
      <c r="P6" s="894" t="s">
        <v>339</v>
      </c>
      <c r="Q6" s="895"/>
      <c r="R6" s="899" t="s">
        <v>148</v>
      </c>
      <c r="S6" s="899"/>
    </row>
    <row r="7" spans="2:21">
      <c r="B7" s="898"/>
      <c r="C7" s="898"/>
      <c r="D7" s="343" t="s">
        <v>340</v>
      </c>
      <c r="E7" s="343" t="s">
        <v>341</v>
      </c>
      <c r="F7" s="343" t="s">
        <v>340</v>
      </c>
      <c r="G7" s="343" t="s">
        <v>341</v>
      </c>
      <c r="H7" s="343" t="s">
        <v>340</v>
      </c>
      <c r="I7" s="343" t="s">
        <v>341</v>
      </c>
      <c r="J7" s="343" t="s">
        <v>340</v>
      </c>
      <c r="K7" s="343" t="s">
        <v>341</v>
      </c>
      <c r="L7" s="343" t="s">
        <v>340</v>
      </c>
      <c r="M7" s="343" t="s">
        <v>341</v>
      </c>
      <c r="N7" s="343" t="s">
        <v>340</v>
      </c>
      <c r="O7" s="343" t="s">
        <v>341</v>
      </c>
      <c r="P7" s="343" t="s">
        <v>340</v>
      </c>
      <c r="Q7" s="343" t="s">
        <v>341</v>
      </c>
      <c r="R7" s="343" t="s">
        <v>340</v>
      </c>
      <c r="S7" s="343" t="s">
        <v>341</v>
      </c>
    </row>
    <row r="8" spans="2:21">
      <c r="B8" s="887">
        <v>2021</v>
      </c>
      <c r="C8" s="468" t="s">
        <v>203</v>
      </c>
      <c r="D8" s="469">
        <v>38305</v>
      </c>
      <c r="E8" s="306">
        <v>61100</v>
      </c>
      <c r="F8" s="306">
        <v>32167</v>
      </c>
      <c r="G8" s="306">
        <v>38903</v>
      </c>
      <c r="H8" s="306">
        <v>41737</v>
      </c>
      <c r="I8" s="306">
        <v>43085</v>
      </c>
      <c r="J8" s="306">
        <v>16102</v>
      </c>
      <c r="K8" s="306">
        <v>29929</v>
      </c>
      <c r="L8" s="306">
        <v>9802</v>
      </c>
      <c r="M8" s="306">
        <v>42085</v>
      </c>
      <c r="N8" s="306">
        <v>119206</v>
      </c>
      <c r="O8" s="306">
        <v>122112</v>
      </c>
      <c r="P8" s="306">
        <v>84160</v>
      </c>
      <c r="Q8" s="306">
        <v>77069</v>
      </c>
      <c r="R8" s="306">
        <v>272031</v>
      </c>
      <c r="S8" s="306">
        <v>304287</v>
      </c>
      <c r="U8" s="25"/>
    </row>
    <row r="9" spans="2:21">
      <c r="B9" s="888"/>
      <c r="C9" s="468" t="s">
        <v>204</v>
      </c>
      <c r="D9" s="469">
        <v>63043</v>
      </c>
      <c r="E9" s="306">
        <v>55310</v>
      </c>
      <c r="F9" s="306">
        <v>38903</v>
      </c>
      <c r="G9" s="306">
        <v>39903</v>
      </c>
      <c r="H9" s="306">
        <v>43085</v>
      </c>
      <c r="I9" s="306">
        <v>44551</v>
      </c>
      <c r="J9" s="306">
        <v>29929</v>
      </c>
      <c r="K9" s="306">
        <v>27971</v>
      </c>
      <c r="L9" s="306">
        <v>42085</v>
      </c>
      <c r="M9" s="306">
        <v>45271</v>
      </c>
      <c r="N9" s="306">
        <v>122112</v>
      </c>
      <c r="O9" s="306">
        <v>144521</v>
      </c>
      <c r="P9" s="306">
        <v>77069</v>
      </c>
      <c r="Q9" s="306">
        <v>107249</v>
      </c>
      <c r="R9" s="306">
        <v>304287</v>
      </c>
      <c r="S9" s="306">
        <v>331274</v>
      </c>
    </row>
    <row r="10" spans="2:21">
      <c r="B10" s="888"/>
      <c r="C10" s="468" t="s">
        <v>205</v>
      </c>
      <c r="D10" s="469">
        <v>69207</v>
      </c>
      <c r="E10" s="306">
        <v>47721</v>
      </c>
      <c r="F10" s="306">
        <v>39903</v>
      </c>
      <c r="G10" s="306">
        <v>33721</v>
      </c>
      <c r="H10" s="306">
        <v>44551</v>
      </c>
      <c r="I10" s="306">
        <v>36290</v>
      </c>
      <c r="J10" s="306">
        <v>27971</v>
      </c>
      <c r="K10" s="306">
        <v>24817</v>
      </c>
      <c r="L10" s="306">
        <v>45271</v>
      </c>
      <c r="M10" s="306">
        <v>44130</v>
      </c>
      <c r="N10" s="306">
        <v>144521</v>
      </c>
      <c r="O10" s="306">
        <v>160099</v>
      </c>
      <c r="P10" s="306">
        <v>107249</v>
      </c>
      <c r="Q10" s="306">
        <v>123149</v>
      </c>
      <c r="R10" s="306">
        <v>331274</v>
      </c>
      <c r="S10" s="306">
        <v>353356</v>
      </c>
    </row>
    <row r="11" spans="2:21">
      <c r="B11" s="888"/>
      <c r="C11" s="468" t="s">
        <v>206</v>
      </c>
      <c r="D11" s="469">
        <v>61024</v>
      </c>
      <c r="E11" s="306">
        <v>43033</v>
      </c>
      <c r="F11" s="306">
        <v>33721</v>
      </c>
      <c r="G11" s="306">
        <v>36793</v>
      </c>
      <c r="H11" s="306">
        <v>36290</v>
      </c>
      <c r="I11" s="306">
        <v>40641</v>
      </c>
      <c r="J11" s="306">
        <v>24817</v>
      </c>
      <c r="K11" s="306">
        <v>29927</v>
      </c>
      <c r="L11" s="306">
        <v>44130</v>
      </c>
      <c r="M11" s="306">
        <v>37641</v>
      </c>
      <c r="N11" s="306">
        <v>160099</v>
      </c>
      <c r="O11" s="306">
        <v>158127</v>
      </c>
      <c r="P11" s="306">
        <v>123149</v>
      </c>
      <c r="Q11" s="306">
        <v>131396</v>
      </c>
      <c r="R11" s="306">
        <v>353356</v>
      </c>
      <c r="S11" s="306">
        <v>320914</v>
      </c>
    </row>
    <row r="12" spans="2:21">
      <c r="B12" s="888"/>
      <c r="C12" s="468" t="s">
        <v>207</v>
      </c>
      <c r="D12" s="469">
        <v>51521</v>
      </c>
      <c r="E12" s="306">
        <v>56326</v>
      </c>
      <c r="F12" s="306">
        <v>36793</v>
      </c>
      <c r="G12" s="306">
        <v>32807</v>
      </c>
      <c r="H12" s="306">
        <v>40641</v>
      </c>
      <c r="I12" s="306">
        <v>36534</v>
      </c>
      <c r="J12" s="306">
        <v>29927</v>
      </c>
      <c r="K12" s="306">
        <v>23355</v>
      </c>
      <c r="L12" s="306">
        <v>37641</v>
      </c>
      <c r="M12" s="306">
        <v>31095</v>
      </c>
      <c r="N12" s="306">
        <v>158127</v>
      </c>
      <c r="O12" s="306">
        <v>158927</v>
      </c>
      <c r="P12" s="306">
        <v>131396</v>
      </c>
      <c r="Q12" s="306">
        <v>136412</v>
      </c>
      <c r="R12" s="306">
        <v>320914</v>
      </c>
      <c r="S12" s="306">
        <v>332822</v>
      </c>
    </row>
    <row r="13" spans="2:21">
      <c r="B13" s="888"/>
      <c r="C13" s="468" t="s">
        <v>208</v>
      </c>
      <c r="D13" s="469">
        <v>52914</v>
      </c>
      <c r="E13" s="306">
        <v>47921</v>
      </c>
      <c r="F13" s="306">
        <v>32807</v>
      </c>
      <c r="G13" s="306">
        <v>29329</v>
      </c>
      <c r="H13" s="306">
        <v>36534</v>
      </c>
      <c r="I13" s="306">
        <v>35758</v>
      </c>
      <c r="J13" s="306">
        <v>23355</v>
      </c>
      <c r="K13" s="306">
        <v>18603</v>
      </c>
      <c r="L13" s="306">
        <v>31095</v>
      </c>
      <c r="M13" s="306">
        <v>26678</v>
      </c>
      <c r="N13" s="306">
        <v>158927</v>
      </c>
      <c r="O13" s="306">
        <v>156067</v>
      </c>
      <c r="P13" s="306">
        <v>136412</v>
      </c>
      <c r="Q13" s="306">
        <v>127737</v>
      </c>
      <c r="R13" s="306">
        <v>332822</v>
      </c>
      <c r="S13" s="306">
        <v>291032</v>
      </c>
    </row>
    <row r="14" spans="2:21">
      <c r="B14" s="888"/>
      <c r="C14" s="468" t="s">
        <v>209</v>
      </c>
      <c r="D14" s="469">
        <v>51398</v>
      </c>
      <c r="E14" s="306">
        <v>40408</v>
      </c>
      <c r="F14" s="306">
        <v>29329</v>
      </c>
      <c r="G14" s="306">
        <v>29108</v>
      </c>
      <c r="H14" s="306">
        <v>35758</v>
      </c>
      <c r="I14" s="306">
        <v>28515</v>
      </c>
      <c r="J14" s="306">
        <v>18603</v>
      </c>
      <c r="K14" s="306">
        <v>20355</v>
      </c>
      <c r="L14" s="306">
        <v>26678</v>
      </c>
      <c r="M14" s="306">
        <v>24896</v>
      </c>
      <c r="N14" s="306">
        <v>156067</v>
      </c>
      <c r="O14" s="306">
        <v>152807</v>
      </c>
      <c r="P14" s="306">
        <v>127737</v>
      </c>
      <c r="Q14" s="306">
        <v>116982</v>
      </c>
      <c r="R14" s="306">
        <v>291032</v>
      </c>
      <c r="S14" s="306">
        <v>268699</v>
      </c>
    </row>
    <row r="15" spans="2:21">
      <c r="B15" s="888"/>
      <c r="C15" s="468" t="s">
        <v>210</v>
      </c>
      <c r="D15" s="469">
        <v>40756</v>
      </c>
      <c r="E15" s="306">
        <v>39087</v>
      </c>
      <c r="F15" s="306">
        <v>29108</v>
      </c>
      <c r="G15" s="306">
        <v>29994</v>
      </c>
      <c r="H15" s="306">
        <v>28515</v>
      </c>
      <c r="I15" s="306">
        <v>29993</v>
      </c>
      <c r="J15" s="306">
        <v>20355</v>
      </c>
      <c r="K15" s="306">
        <v>14117</v>
      </c>
      <c r="L15" s="306">
        <v>24896</v>
      </c>
      <c r="M15" s="306">
        <v>18576</v>
      </c>
      <c r="N15" s="306">
        <v>152807</v>
      </c>
      <c r="O15" s="306">
        <v>148101</v>
      </c>
      <c r="P15" s="306">
        <v>116982</v>
      </c>
      <c r="Q15" s="306">
        <v>108177</v>
      </c>
      <c r="R15" s="306">
        <v>268699</v>
      </c>
      <c r="S15" s="306">
        <v>263326</v>
      </c>
    </row>
    <row r="16" spans="2:21">
      <c r="B16" s="888"/>
      <c r="C16" s="468" t="s">
        <v>211</v>
      </c>
      <c r="D16" s="469">
        <v>29789</v>
      </c>
      <c r="E16" s="306">
        <v>41603</v>
      </c>
      <c r="F16" s="306">
        <v>29994</v>
      </c>
      <c r="G16" s="306">
        <v>22611</v>
      </c>
      <c r="H16" s="306">
        <v>29993</v>
      </c>
      <c r="I16" s="306">
        <v>22193</v>
      </c>
      <c r="J16" s="306">
        <v>14117</v>
      </c>
      <c r="K16" s="306">
        <v>10367</v>
      </c>
      <c r="L16" s="306">
        <v>18576</v>
      </c>
      <c r="M16" s="306">
        <v>13352</v>
      </c>
      <c r="N16" s="306">
        <v>148101</v>
      </c>
      <c r="O16" s="306">
        <v>143445</v>
      </c>
      <c r="P16" s="306">
        <v>108177</v>
      </c>
      <c r="Q16" s="306">
        <v>100549</v>
      </c>
      <c r="R16" s="306">
        <v>263326</v>
      </c>
      <c r="S16" s="306">
        <v>256617</v>
      </c>
    </row>
    <row r="17" spans="2:22">
      <c r="B17" s="888"/>
      <c r="C17" s="468" t="s">
        <v>212</v>
      </c>
      <c r="D17" s="469">
        <v>32479</v>
      </c>
      <c r="E17" s="306">
        <v>31425</v>
      </c>
      <c r="F17" s="306">
        <v>22611</v>
      </c>
      <c r="G17" s="306">
        <v>24625</v>
      </c>
      <c r="H17" s="306">
        <v>22193</v>
      </c>
      <c r="I17" s="306">
        <v>28125</v>
      </c>
      <c r="J17" s="306">
        <v>10367</v>
      </c>
      <c r="K17" s="306">
        <v>14362</v>
      </c>
      <c r="L17" s="306">
        <v>13352</v>
      </c>
      <c r="M17" s="306">
        <v>11054</v>
      </c>
      <c r="N17" s="306">
        <v>143445</v>
      </c>
      <c r="O17" s="306">
        <v>138618</v>
      </c>
      <c r="P17" s="306">
        <v>100549</v>
      </c>
      <c r="Q17" s="306">
        <v>91119</v>
      </c>
      <c r="R17" s="306">
        <v>256617</v>
      </c>
      <c r="S17" s="306">
        <v>226280</v>
      </c>
    </row>
    <row r="18" spans="2:22">
      <c r="B18" s="888"/>
      <c r="C18" s="468" t="s">
        <v>196</v>
      </c>
      <c r="D18" s="469">
        <v>27891</v>
      </c>
      <c r="E18" s="306">
        <v>22325</v>
      </c>
      <c r="F18" s="306">
        <v>24625</v>
      </c>
      <c r="G18" s="306">
        <v>20766</v>
      </c>
      <c r="H18" s="306">
        <v>28125</v>
      </c>
      <c r="I18" s="306">
        <v>21523</v>
      </c>
      <c r="J18" s="306">
        <v>14362</v>
      </c>
      <c r="K18" s="306">
        <v>9701</v>
      </c>
      <c r="L18" s="306">
        <v>11054</v>
      </c>
      <c r="M18" s="306">
        <v>8103</v>
      </c>
      <c r="N18" s="306">
        <v>138618</v>
      </c>
      <c r="O18" s="306">
        <v>131102</v>
      </c>
      <c r="P18" s="306">
        <v>91119</v>
      </c>
      <c r="Q18" s="306">
        <v>78020</v>
      </c>
      <c r="R18" s="306">
        <v>226280</v>
      </c>
      <c r="S18" s="306">
        <v>200910</v>
      </c>
    </row>
    <row r="19" spans="2:22">
      <c r="B19" s="889"/>
      <c r="C19" s="469" t="s">
        <v>197</v>
      </c>
      <c r="D19" s="469">
        <v>18264</v>
      </c>
      <c r="E19" s="306">
        <v>23089</v>
      </c>
      <c r="F19" s="306">
        <v>20766</v>
      </c>
      <c r="G19" s="306">
        <v>21452</v>
      </c>
      <c r="H19" s="306">
        <v>21523</v>
      </c>
      <c r="I19" s="306">
        <v>29233</v>
      </c>
      <c r="J19" s="306">
        <v>9701</v>
      </c>
      <c r="K19" s="306">
        <v>11386</v>
      </c>
      <c r="L19" s="306">
        <v>8103</v>
      </c>
      <c r="M19" s="306">
        <v>6086</v>
      </c>
      <c r="N19" s="306">
        <v>131102</v>
      </c>
      <c r="O19" s="306">
        <v>124165</v>
      </c>
      <c r="P19" s="306">
        <v>78020</v>
      </c>
      <c r="Q19" s="306">
        <v>71608</v>
      </c>
      <c r="R19" s="306">
        <v>200910</v>
      </c>
      <c r="S19" s="306">
        <v>231251</v>
      </c>
      <c r="U19" s="25"/>
    </row>
    <row r="20" spans="2:22" ht="17.399999999999999">
      <c r="B20" s="887">
        <v>2022</v>
      </c>
      <c r="C20" s="468" t="s">
        <v>203</v>
      </c>
      <c r="D20" s="469">
        <v>40225</v>
      </c>
      <c r="E20" s="470">
        <v>51878</v>
      </c>
      <c r="F20" s="470">
        <v>21452</v>
      </c>
      <c r="G20" s="470">
        <v>31981</v>
      </c>
      <c r="H20" s="470">
        <v>29233</v>
      </c>
      <c r="I20" s="470">
        <v>32849</v>
      </c>
      <c r="J20" s="470">
        <v>11386</v>
      </c>
      <c r="K20" s="470">
        <v>27691</v>
      </c>
      <c r="L20" s="470">
        <v>6086</v>
      </c>
      <c r="M20" s="470">
        <v>38437</v>
      </c>
      <c r="N20" s="470">
        <v>124165</v>
      </c>
      <c r="O20" s="470">
        <v>129577</v>
      </c>
      <c r="P20" s="470">
        <v>71608</v>
      </c>
      <c r="Q20" s="470">
        <v>68852</v>
      </c>
      <c r="R20" s="470">
        <v>231251</v>
      </c>
      <c r="S20" s="470">
        <v>306068</v>
      </c>
      <c r="U20" s="25"/>
      <c r="V20" s="599"/>
    </row>
    <row r="21" spans="2:22">
      <c r="B21" s="888"/>
      <c r="C21" s="468" t="s">
        <v>204</v>
      </c>
      <c r="D21" s="469">
        <v>51878</v>
      </c>
      <c r="E21" s="470">
        <v>48629</v>
      </c>
      <c r="F21" s="470">
        <v>31981</v>
      </c>
      <c r="G21" s="470">
        <v>32412</v>
      </c>
      <c r="H21" s="470">
        <v>32849</v>
      </c>
      <c r="I21" s="470">
        <v>26365</v>
      </c>
      <c r="J21" s="470">
        <v>27691</v>
      </c>
      <c r="K21" s="470">
        <v>48510</v>
      </c>
      <c r="L21" s="470">
        <v>38437</v>
      </c>
      <c r="M21" s="470">
        <v>42463</v>
      </c>
      <c r="N21" s="470">
        <v>129577</v>
      </c>
      <c r="O21" s="470">
        <v>170230</v>
      </c>
      <c r="P21" s="470">
        <v>68852</v>
      </c>
      <c r="Q21" s="470">
        <v>126367</v>
      </c>
      <c r="R21" s="470">
        <v>306068</v>
      </c>
      <c r="S21" s="470">
        <v>313775</v>
      </c>
      <c r="U21" s="25"/>
    </row>
    <row r="22" spans="2:22">
      <c r="B22" s="888"/>
      <c r="C22" s="468" t="s">
        <v>205</v>
      </c>
      <c r="D22" s="469">
        <v>48629</v>
      </c>
      <c r="E22" s="470">
        <v>54025</v>
      </c>
      <c r="F22" s="470">
        <v>32412</v>
      </c>
      <c r="G22" s="470">
        <v>34832</v>
      </c>
      <c r="H22" s="470">
        <v>26365</v>
      </c>
      <c r="I22" s="470">
        <v>27867</v>
      </c>
      <c r="J22" s="470">
        <v>48510</v>
      </c>
      <c r="K22" s="470">
        <v>46859</v>
      </c>
      <c r="L22" s="470">
        <v>42463</v>
      </c>
      <c r="M22" s="470">
        <v>37813</v>
      </c>
      <c r="N22" s="470">
        <v>170230</v>
      </c>
      <c r="O22" s="470">
        <v>173213</v>
      </c>
      <c r="P22" s="470">
        <v>126367</v>
      </c>
      <c r="Q22" s="470">
        <v>141311</v>
      </c>
      <c r="R22" s="470">
        <v>313775</v>
      </c>
      <c r="S22" s="470">
        <v>298493</v>
      </c>
      <c r="U22" s="25"/>
    </row>
    <row r="23" spans="2:22">
      <c r="B23" s="888"/>
      <c r="C23" s="468" t="s">
        <v>206</v>
      </c>
      <c r="D23" s="469">
        <v>54025</v>
      </c>
      <c r="E23" s="470">
        <v>47699</v>
      </c>
      <c r="F23" s="470">
        <v>34832</v>
      </c>
      <c r="G23" s="470">
        <v>31726</v>
      </c>
      <c r="H23" s="470">
        <v>27867</v>
      </c>
      <c r="I23" s="470">
        <v>26168</v>
      </c>
      <c r="J23" s="470">
        <v>46859</v>
      </c>
      <c r="K23" s="470">
        <v>40232</v>
      </c>
      <c r="L23" s="470">
        <v>37813</v>
      </c>
      <c r="M23" s="470">
        <v>31813</v>
      </c>
      <c r="N23" s="470">
        <v>173213</v>
      </c>
      <c r="O23" s="470">
        <v>170690</v>
      </c>
      <c r="P23" s="470">
        <v>141311</v>
      </c>
      <c r="Q23" s="470">
        <v>158660</v>
      </c>
      <c r="R23" s="470">
        <v>298493</v>
      </c>
      <c r="S23" s="470">
        <v>333944</v>
      </c>
      <c r="U23" s="25"/>
    </row>
    <row r="24" spans="2:22" ht="13.8" customHeight="1">
      <c r="B24" s="888"/>
      <c r="C24" s="468" t="s">
        <v>207</v>
      </c>
      <c r="D24" s="469"/>
      <c r="E24" s="470"/>
      <c r="F24" s="470"/>
      <c r="G24" s="470"/>
      <c r="H24" s="470"/>
      <c r="I24" s="470"/>
      <c r="J24" s="470"/>
      <c r="K24" s="470"/>
      <c r="L24" s="470"/>
      <c r="M24" s="470"/>
      <c r="N24" s="470"/>
      <c r="O24" s="470"/>
      <c r="P24" s="470"/>
      <c r="Q24" s="470"/>
      <c r="R24" s="470"/>
      <c r="S24" s="470"/>
      <c r="U24" s="11"/>
    </row>
    <row r="25" spans="2:22">
      <c r="B25" s="888"/>
      <c r="C25" s="468" t="s">
        <v>208</v>
      </c>
      <c r="D25" s="469"/>
      <c r="E25" s="470"/>
      <c r="F25" s="470"/>
      <c r="G25" s="470"/>
      <c r="H25" s="470"/>
      <c r="I25" s="470"/>
      <c r="J25" s="470"/>
      <c r="K25" s="470"/>
      <c r="L25" s="470"/>
      <c r="M25" s="470"/>
      <c r="N25" s="470"/>
      <c r="O25" s="470"/>
      <c r="P25" s="470"/>
      <c r="Q25" s="470"/>
      <c r="R25" s="470"/>
      <c r="S25" s="470"/>
      <c r="U25" s="25"/>
    </row>
    <row r="26" spans="2:22">
      <c r="B26" s="888"/>
      <c r="C26" s="468" t="s">
        <v>209</v>
      </c>
      <c r="D26" s="469"/>
      <c r="E26" s="470"/>
      <c r="F26" s="470"/>
      <c r="G26" s="470"/>
      <c r="H26" s="470"/>
      <c r="I26" s="470"/>
      <c r="J26" s="470"/>
      <c r="K26" s="470"/>
      <c r="L26" s="470"/>
      <c r="M26" s="470"/>
      <c r="N26" s="470"/>
      <c r="O26" s="470"/>
      <c r="P26" s="470"/>
      <c r="Q26" s="470"/>
      <c r="R26" s="470"/>
      <c r="S26" s="470"/>
      <c r="U26" s="25"/>
    </row>
    <row r="27" spans="2:22">
      <c r="B27" s="888"/>
      <c r="C27" s="468" t="s">
        <v>210</v>
      </c>
      <c r="D27" s="469"/>
      <c r="E27" s="470"/>
      <c r="F27" s="470"/>
      <c r="G27" s="470"/>
      <c r="H27" s="470"/>
      <c r="I27" s="470"/>
      <c r="J27" s="470"/>
      <c r="K27" s="470"/>
      <c r="L27" s="470"/>
      <c r="M27" s="470"/>
      <c r="N27" s="470"/>
      <c r="O27" s="470"/>
      <c r="P27" s="470"/>
      <c r="Q27" s="470"/>
      <c r="R27" s="470"/>
      <c r="S27" s="470"/>
      <c r="U27" s="25"/>
    </row>
    <row r="28" spans="2:22">
      <c r="B28" s="888"/>
      <c r="C28" s="468" t="s">
        <v>211</v>
      </c>
      <c r="D28" s="469"/>
      <c r="E28" s="470"/>
      <c r="F28" s="470"/>
      <c r="G28" s="470"/>
      <c r="H28" s="470"/>
      <c r="I28" s="470"/>
      <c r="J28" s="470"/>
      <c r="K28" s="470"/>
      <c r="L28" s="470"/>
      <c r="M28" s="470"/>
      <c r="N28" s="470"/>
      <c r="O28" s="470"/>
      <c r="P28" s="470"/>
      <c r="Q28" s="470"/>
      <c r="R28" s="470"/>
      <c r="S28" s="470"/>
      <c r="U28" s="25"/>
    </row>
    <row r="29" spans="2:22" ht="13.8">
      <c r="B29" s="888"/>
      <c r="C29" s="468" t="s">
        <v>212</v>
      </c>
      <c r="D29" s="469"/>
      <c r="E29" s="470"/>
      <c r="F29" s="470"/>
      <c r="G29" s="470"/>
      <c r="H29" s="470"/>
      <c r="I29" s="470"/>
      <c r="J29" s="470"/>
      <c r="K29" s="470"/>
      <c r="L29" s="470"/>
      <c r="M29" s="470"/>
      <c r="N29" s="470"/>
      <c r="O29" s="470"/>
      <c r="P29" s="470"/>
      <c r="Q29" s="470"/>
      <c r="R29" s="470"/>
      <c r="S29" s="470"/>
      <c r="T29" s="436"/>
      <c r="U29" s="25"/>
    </row>
    <row r="30" spans="2:22" ht="13.8">
      <c r="B30" s="888"/>
      <c r="C30" s="468" t="s">
        <v>196</v>
      </c>
      <c r="D30" s="469"/>
      <c r="E30" s="470"/>
      <c r="F30" s="470"/>
      <c r="G30" s="470"/>
      <c r="H30" s="470"/>
      <c r="I30" s="470"/>
      <c r="J30" s="470"/>
      <c r="K30" s="470"/>
      <c r="L30" s="470"/>
      <c r="M30" s="470"/>
      <c r="N30" s="470"/>
      <c r="O30" s="470"/>
      <c r="P30" s="470"/>
      <c r="Q30" s="470"/>
      <c r="R30" s="470"/>
      <c r="S30" s="470"/>
      <c r="T30" s="439"/>
      <c r="U30" s="25"/>
    </row>
    <row r="31" spans="2:22">
      <c r="B31" s="889"/>
      <c r="C31" s="468" t="s">
        <v>197</v>
      </c>
      <c r="D31" s="469"/>
      <c r="E31" s="470"/>
      <c r="F31" s="470"/>
      <c r="G31" s="470"/>
      <c r="H31" s="470"/>
      <c r="I31" s="470"/>
      <c r="J31" s="470"/>
      <c r="K31" s="470"/>
      <c r="L31" s="470"/>
      <c r="M31" s="470"/>
      <c r="N31" s="470"/>
      <c r="O31" s="470"/>
      <c r="P31" s="470"/>
      <c r="Q31" s="470"/>
      <c r="R31" s="470"/>
      <c r="S31" s="470"/>
      <c r="U31" s="25"/>
    </row>
    <row r="32" spans="2:22">
      <c r="B32" s="341" t="s">
        <v>342</v>
      </c>
    </row>
    <row r="34" spans="5:20" ht="17.399999999999999">
      <c r="E34" s="493"/>
      <c r="F34" s="493"/>
      <c r="G34" s="493"/>
      <c r="H34" s="493"/>
      <c r="I34" s="493"/>
      <c r="J34" s="493"/>
      <c r="K34" s="493"/>
      <c r="L34" s="493"/>
      <c r="M34" s="493"/>
      <c r="N34" s="493"/>
      <c r="O34" s="493"/>
      <c r="P34" s="493"/>
      <c r="Q34" s="493"/>
      <c r="R34" s="493"/>
      <c r="S34" s="493"/>
      <c r="T34" s="493"/>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L32"/>
  <sheetViews>
    <sheetView zoomScale="90" zoomScaleNormal="90" workbookViewId="0">
      <selection activeCell="O18" sqref="O18"/>
    </sheetView>
  </sheetViews>
  <sheetFormatPr baseColWidth="10" defaultColWidth="10.921875" defaultRowHeight="13.8"/>
  <cols>
    <col min="1" max="1" width="1.3828125" style="297" customWidth="1"/>
    <col min="2" max="2" width="5.23046875" style="297" customWidth="1"/>
    <col min="3" max="3" width="7.23046875" style="297" customWidth="1"/>
    <col min="4" max="11" width="9.23046875" style="297" customWidth="1"/>
    <col min="12" max="12" width="2.07421875" style="297" customWidth="1"/>
    <col min="13" max="16384" width="10.921875" style="297"/>
  </cols>
  <sheetData>
    <row r="1" spans="2:12">
      <c r="B1" s="766" t="s">
        <v>344</v>
      </c>
      <c r="C1" s="766"/>
      <c r="D1" s="766"/>
      <c r="E1" s="766"/>
      <c r="F1" s="766"/>
      <c r="G1" s="766"/>
      <c r="H1" s="766"/>
      <c r="I1" s="766"/>
      <c r="J1" s="766"/>
      <c r="K1" s="766"/>
      <c r="L1" s="344"/>
    </row>
    <row r="2" spans="2:12">
      <c r="B2" s="17"/>
      <c r="C2" s="17"/>
      <c r="D2" s="17"/>
      <c r="E2" s="17"/>
      <c r="F2" s="17"/>
      <c r="G2" s="17"/>
      <c r="H2" s="17"/>
      <c r="I2" s="17"/>
      <c r="J2" s="17"/>
      <c r="K2" s="17"/>
      <c r="L2" s="344"/>
    </row>
    <row r="3" spans="2:12">
      <c r="B3" s="766" t="s">
        <v>62</v>
      </c>
      <c r="C3" s="766"/>
      <c r="D3" s="766"/>
      <c r="E3" s="766"/>
      <c r="F3" s="766"/>
      <c r="G3" s="766"/>
      <c r="H3" s="766"/>
      <c r="I3" s="766"/>
      <c r="J3" s="766"/>
      <c r="K3" s="766"/>
      <c r="L3" s="344"/>
    </row>
    <row r="4" spans="2:12">
      <c r="B4" s="766" t="s">
        <v>181</v>
      </c>
      <c r="C4" s="766"/>
      <c r="D4" s="766"/>
      <c r="E4" s="766"/>
      <c r="F4" s="766"/>
      <c r="G4" s="766"/>
      <c r="H4" s="766"/>
      <c r="I4" s="766"/>
      <c r="J4" s="766"/>
      <c r="K4" s="766"/>
      <c r="L4" s="344"/>
    </row>
    <row r="5" spans="2:12">
      <c r="B5" s="900" t="s">
        <v>182</v>
      </c>
      <c r="C5" s="900" t="s">
        <v>201</v>
      </c>
      <c r="D5" s="891" t="s">
        <v>335</v>
      </c>
      <c r="E5" s="892"/>
      <c r="F5" s="892"/>
      <c r="G5" s="892"/>
      <c r="H5" s="892"/>
      <c r="I5" s="892"/>
      <c r="J5" s="892"/>
      <c r="K5" s="893"/>
    </row>
    <row r="6" spans="2:12" ht="54" customHeight="1">
      <c r="B6" s="900"/>
      <c r="C6" s="900"/>
      <c r="D6" s="353" t="s">
        <v>336</v>
      </c>
      <c r="E6" s="346" t="s">
        <v>147</v>
      </c>
      <c r="F6" s="346" t="s">
        <v>149</v>
      </c>
      <c r="G6" s="346" t="s">
        <v>329</v>
      </c>
      <c r="H6" s="346" t="s">
        <v>338</v>
      </c>
      <c r="I6" s="346" t="s">
        <v>151</v>
      </c>
      <c r="J6" s="353" t="s">
        <v>339</v>
      </c>
      <c r="K6" s="343" t="s">
        <v>148</v>
      </c>
      <c r="L6" s="345"/>
    </row>
    <row r="7" spans="2:12">
      <c r="B7" s="887">
        <v>2021</v>
      </c>
      <c r="C7" s="468" t="s">
        <v>203</v>
      </c>
      <c r="D7" s="470">
        <v>27605</v>
      </c>
      <c r="E7" s="470">
        <v>15095</v>
      </c>
      <c r="F7" s="470">
        <v>9146</v>
      </c>
      <c r="G7" s="470">
        <v>24407</v>
      </c>
      <c r="H7" s="470">
        <v>11052</v>
      </c>
      <c r="I7" s="470">
        <v>41088</v>
      </c>
      <c r="J7" s="470">
        <v>3918</v>
      </c>
      <c r="K7" s="470">
        <v>66414</v>
      </c>
    </row>
    <row r="8" spans="2:12">
      <c r="B8" s="888"/>
      <c r="C8" s="468" t="s">
        <v>204</v>
      </c>
      <c r="D8" s="470">
        <v>5948</v>
      </c>
      <c r="E8" s="470">
        <v>3833</v>
      </c>
      <c r="F8" s="470">
        <v>2569</v>
      </c>
      <c r="G8" s="470">
        <v>14880</v>
      </c>
      <c r="H8" s="470">
        <v>32391</v>
      </c>
      <c r="I8" s="470">
        <v>11084</v>
      </c>
      <c r="J8" s="470">
        <v>38995</v>
      </c>
      <c r="K8" s="470">
        <v>46744</v>
      </c>
    </row>
    <row r="9" spans="2:12">
      <c r="B9" s="888"/>
      <c r="C9" s="468" t="s">
        <v>205</v>
      </c>
      <c r="D9" s="470">
        <v>3192</v>
      </c>
      <c r="E9" s="470">
        <v>1882</v>
      </c>
      <c r="F9" s="470">
        <v>430</v>
      </c>
      <c r="G9" s="470">
        <v>9144</v>
      </c>
      <c r="H9" s="470">
        <v>24928</v>
      </c>
      <c r="I9" s="470">
        <v>8023</v>
      </c>
      <c r="J9" s="470">
        <v>28937</v>
      </c>
      <c r="K9" s="470">
        <v>25587</v>
      </c>
    </row>
    <row r="10" spans="2:12">
      <c r="B10" s="888"/>
      <c r="C10" s="468" t="s">
        <v>206</v>
      </c>
      <c r="D10" s="470">
        <v>3676</v>
      </c>
      <c r="E10" s="470">
        <v>1174</v>
      </c>
      <c r="F10" s="470">
        <v>898</v>
      </c>
      <c r="G10" s="470">
        <v>6588</v>
      </c>
      <c r="H10" s="470">
        <v>6558</v>
      </c>
      <c r="I10" s="470">
        <v>4436</v>
      </c>
      <c r="J10" s="470">
        <v>20874</v>
      </c>
      <c r="K10" s="470">
        <v>22468</v>
      </c>
    </row>
    <row r="11" spans="2:12">
      <c r="B11" s="888"/>
      <c r="C11" s="468" t="s">
        <v>207</v>
      </c>
      <c r="D11" s="470">
        <v>4380</v>
      </c>
      <c r="E11" s="470">
        <v>3887</v>
      </c>
      <c r="F11" s="470">
        <v>67</v>
      </c>
      <c r="G11" s="470">
        <v>2882</v>
      </c>
      <c r="H11" s="470">
        <v>9371</v>
      </c>
      <c r="I11" s="470">
        <v>3033</v>
      </c>
      <c r="J11" s="470">
        <v>17552</v>
      </c>
      <c r="K11" s="470">
        <v>17746</v>
      </c>
    </row>
    <row r="12" spans="2:12">
      <c r="B12" s="888"/>
      <c r="C12" s="468" t="s">
        <v>208</v>
      </c>
      <c r="D12" s="470">
        <v>3113</v>
      </c>
      <c r="E12" s="470">
        <v>1264</v>
      </c>
      <c r="F12" s="470">
        <v>846</v>
      </c>
      <c r="G12" s="470">
        <v>3856</v>
      </c>
      <c r="H12" s="470">
        <v>7544</v>
      </c>
      <c r="I12" s="470">
        <v>5088</v>
      </c>
      <c r="J12" s="470">
        <v>3592</v>
      </c>
      <c r="K12" s="470">
        <v>13942</v>
      </c>
    </row>
    <row r="13" spans="2:12">
      <c r="B13" s="888"/>
      <c r="C13" s="468" t="s">
        <v>209</v>
      </c>
      <c r="D13" s="470">
        <v>5515</v>
      </c>
      <c r="E13" s="470">
        <v>2772</v>
      </c>
      <c r="F13" s="470">
        <v>965</v>
      </c>
      <c r="G13" s="470">
        <v>2689</v>
      </c>
      <c r="H13" s="470">
        <v>6594</v>
      </c>
      <c r="I13" s="470">
        <v>5638</v>
      </c>
      <c r="J13" s="470">
        <v>1914</v>
      </c>
      <c r="K13" s="470">
        <v>23640</v>
      </c>
    </row>
    <row r="14" spans="2:12">
      <c r="B14" s="888"/>
      <c r="C14" s="468" t="s">
        <v>210</v>
      </c>
      <c r="D14" s="470">
        <v>4309</v>
      </c>
      <c r="E14" s="470">
        <v>2063</v>
      </c>
      <c r="F14" s="470">
        <v>1259</v>
      </c>
      <c r="G14" s="470">
        <v>1715</v>
      </c>
      <c r="H14" s="470">
        <v>5072</v>
      </c>
      <c r="I14" s="470">
        <v>3902</v>
      </c>
      <c r="J14" s="470">
        <v>5640</v>
      </c>
      <c r="K14" s="470">
        <v>25303</v>
      </c>
    </row>
    <row r="15" spans="2:12">
      <c r="B15" s="888"/>
      <c r="C15" s="468" t="s">
        <v>211</v>
      </c>
      <c r="D15" s="470">
        <v>1304</v>
      </c>
      <c r="E15" s="470">
        <v>2761</v>
      </c>
      <c r="F15" s="470">
        <v>1306</v>
      </c>
      <c r="G15" s="470">
        <v>1668</v>
      </c>
      <c r="H15" s="470">
        <v>4047</v>
      </c>
      <c r="I15" s="470">
        <v>4213</v>
      </c>
      <c r="J15" s="470">
        <v>4446</v>
      </c>
      <c r="K15" s="470">
        <v>17067</v>
      </c>
    </row>
    <row r="16" spans="2:12">
      <c r="B16" s="888"/>
      <c r="C16" s="468" t="s">
        <v>212</v>
      </c>
      <c r="D16" s="470">
        <v>2645</v>
      </c>
      <c r="E16" s="470">
        <v>2227</v>
      </c>
      <c r="F16" s="470">
        <v>920</v>
      </c>
      <c r="G16" s="470">
        <v>3105</v>
      </c>
      <c r="H16" s="470">
        <v>5416</v>
      </c>
      <c r="I16" s="470">
        <v>6410</v>
      </c>
      <c r="J16" s="470">
        <v>2892</v>
      </c>
      <c r="K16" s="470">
        <v>20034</v>
      </c>
    </row>
    <row r="17" spans="2:12">
      <c r="B17" s="888"/>
      <c r="C17" s="468" t="s">
        <v>196</v>
      </c>
      <c r="D17" s="470">
        <v>1831</v>
      </c>
      <c r="E17" s="470">
        <v>1177</v>
      </c>
      <c r="F17" s="470">
        <v>18</v>
      </c>
      <c r="G17" s="470">
        <v>1953</v>
      </c>
      <c r="H17" s="470">
        <v>2447</v>
      </c>
      <c r="I17" s="470">
        <v>4366</v>
      </c>
      <c r="J17" s="470">
        <v>0</v>
      </c>
      <c r="K17" s="470">
        <v>22172</v>
      </c>
    </row>
    <row r="18" spans="2:12">
      <c r="B18" s="889"/>
      <c r="C18" s="468" t="s">
        <v>197</v>
      </c>
      <c r="D18" s="470">
        <v>10647</v>
      </c>
      <c r="E18" s="470">
        <v>1381</v>
      </c>
      <c r="F18" s="470">
        <v>9879</v>
      </c>
      <c r="G18" s="470">
        <v>5554</v>
      </c>
      <c r="H18" s="470">
        <v>2203</v>
      </c>
      <c r="I18" s="470">
        <v>4307</v>
      </c>
      <c r="J18" s="470">
        <v>2644</v>
      </c>
      <c r="K18" s="470">
        <v>39571</v>
      </c>
    </row>
    <row r="19" spans="2:12">
      <c r="B19" s="887">
        <v>2022</v>
      </c>
      <c r="C19" s="468" t="s">
        <v>203</v>
      </c>
      <c r="D19" s="470">
        <v>33633</v>
      </c>
      <c r="E19" s="470">
        <v>13317</v>
      </c>
      <c r="F19" s="470">
        <v>6795</v>
      </c>
      <c r="G19" s="470">
        <v>29747</v>
      </c>
      <c r="H19" s="470">
        <v>15369</v>
      </c>
      <c r="I19" s="470">
        <v>41453</v>
      </c>
      <c r="J19" s="470">
        <v>7857</v>
      </c>
      <c r="K19" s="470">
        <v>70937</v>
      </c>
      <c r="L19" s="25"/>
    </row>
    <row r="20" spans="2:12">
      <c r="B20" s="888"/>
      <c r="C20" s="468" t="s">
        <v>204</v>
      </c>
      <c r="D20" s="470">
        <v>6523</v>
      </c>
      <c r="E20" s="470">
        <v>6966</v>
      </c>
      <c r="F20" s="470">
        <v>1355</v>
      </c>
      <c r="G20" s="470">
        <v>19625</v>
      </c>
      <c r="H20" s="470">
        <v>51344</v>
      </c>
      <c r="I20" s="470">
        <v>12074</v>
      </c>
      <c r="J20" s="470">
        <v>68766</v>
      </c>
      <c r="K20" s="470">
        <v>33688</v>
      </c>
      <c r="L20" s="25"/>
    </row>
    <row r="21" spans="2:12">
      <c r="B21" s="888"/>
      <c r="C21" s="468" t="s">
        <v>205</v>
      </c>
      <c r="D21" s="470">
        <v>2958</v>
      </c>
      <c r="E21" s="470">
        <v>1340</v>
      </c>
      <c r="F21" s="470">
        <v>1096</v>
      </c>
      <c r="G21" s="470">
        <v>5459</v>
      </c>
      <c r="H21" s="470">
        <v>17485</v>
      </c>
      <c r="I21" s="470">
        <v>4154</v>
      </c>
      <c r="J21" s="470">
        <v>30143</v>
      </c>
      <c r="K21" s="470">
        <v>26559</v>
      </c>
      <c r="L21" s="25"/>
    </row>
    <row r="22" spans="2:12">
      <c r="B22" s="888"/>
      <c r="C22" s="468" t="s">
        <v>206</v>
      </c>
      <c r="D22" s="470">
        <v>4665</v>
      </c>
      <c r="E22" s="470">
        <v>788</v>
      </c>
      <c r="F22" s="470">
        <v>167</v>
      </c>
      <c r="G22" s="470">
        <v>2558</v>
      </c>
      <c r="H22" s="470">
        <v>8201</v>
      </c>
      <c r="I22" s="470">
        <v>2653</v>
      </c>
      <c r="J22" s="470">
        <v>27894</v>
      </c>
      <c r="K22" s="470">
        <v>22455</v>
      </c>
      <c r="L22" s="25"/>
    </row>
    <row r="23" spans="2:12">
      <c r="B23" s="888"/>
      <c r="C23" s="468" t="s">
        <v>207</v>
      </c>
      <c r="D23" s="470"/>
      <c r="E23" s="470"/>
      <c r="F23" s="470"/>
      <c r="G23" s="470"/>
      <c r="H23" s="470"/>
      <c r="I23" s="470"/>
      <c r="J23" s="470"/>
      <c r="K23" s="470"/>
      <c r="L23" s="25"/>
    </row>
    <row r="24" spans="2:12">
      <c r="B24" s="888"/>
      <c r="C24" s="468" t="s">
        <v>208</v>
      </c>
      <c r="D24" s="470"/>
      <c r="E24" s="470"/>
      <c r="F24" s="470"/>
      <c r="G24" s="470"/>
      <c r="H24" s="470"/>
      <c r="I24" s="470"/>
      <c r="J24" s="470"/>
      <c r="K24" s="470"/>
      <c r="L24" s="25"/>
    </row>
    <row r="25" spans="2:12">
      <c r="B25" s="888"/>
      <c r="C25" s="468" t="s">
        <v>209</v>
      </c>
      <c r="D25" s="470"/>
      <c r="E25" s="470"/>
      <c r="F25" s="470"/>
      <c r="G25" s="470"/>
      <c r="H25" s="470"/>
      <c r="I25" s="470"/>
      <c r="J25" s="470"/>
      <c r="K25" s="470"/>
      <c r="L25" s="25"/>
    </row>
    <row r="26" spans="2:12">
      <c r="B26" s="888"/>
      <c r="C26" s="468" t="s">
        <v>210</v>
      </c>
      <c r="D26" s="470"/>
      <c r="E26" s="470"/>
      <c r="F26" s="470"/>
      <c r="G26" s="470"/>
      <c r="H26" s="470"/>
      <c r="I26" s="470"/>
      <c r="J26" s="470"/>
      <c r="K26" s="470"/>
      <c r="L26" s="25"/>
    </row>
    <row r="27" spans="2:12">
      <c r="B27" s="888"/>
      <c r="C27" s="468" t="s">
        <v>211</v>
      </c>
      <c r="D27" s="470"/>
      <c r="E27" s="470"/>
      <c r="F27" s="470"/>
      <c r="G27" s="470"/>
      <c r="H27" s="470"/>
      <c r="I27" s="470"/>
      <c r="J27" s="470"/>
      <c r="K27" s="470"/>
      <c r="L27" s="25"/>
    </row>
    <row r="28" spans="2:12">
      <c r="B28" s="888"/>
      <c r="C28" s="468" t="s">
        <v>212</v>
      </c>
      <c r="D28" s="470"/>
      <c r="E28" s="470"/>
      <c r="F28" s="470"/>
      <c r="G28" s="470"/>
      <c r="H28" s="470"/>
      <c r="I28" s="470"/>
      <c r="J28" s="470"/>
      <c r="K28" s="470"/>
      <c r="L28" s="25"/>
    </row>
    <row r="29" spans="2:12">
      <c r="B29" s="888"/>
      <c r="C29" s="468" t="s">
        <v>196</v>
      </c>
      <c r="D29" s="470"/>
      <c r="E29" s="470"/>
      <c r="F29" s="470"/>
      <c r="G29" s="470"/>
      <c r="H29" s="470"/>
      <c r="I29" s="470"/>
      <c r="J29" s="470"/>
      <c r="K29" s="470"/>
      <c r="L29" s="25"/>
    </row>
    <row r="30" spans="2:12">
      <c r="B30" s="889"/>
      <c r="C30" s="468" t="s">
        <v>197</v>
      </c>
      <c r="D30" s="470"/>
      <c r="E30" s="470"/>
      <c r="F30" s="470"/>
      <c r="G30" s="470"/>
      <c r="H30" s="470"/>
      <c r="I30" s="470"/>
      <c r="J30" s="470"/>
      <c r="K30" s="470"/>
      <c r="L30" s="25"/>
    </row>
    <row r="31" spans="2:12">
      <c r="B31" s="341" t="s">
        <v>342</v>
      </c>
      <c r="C31" s="341"/>
    </row>
    <row r="32" spans="2:12">
      <c r="C32" s="341"/>
    </row>
  </sheetData>
  <mergeCells count="8">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K31"/>
  <sheetViews>
    <sheetView zoomScaleNormal="100" workbookViewId="0">
      <selection activeCell="M18" sqref="M18"/>
    </sheetView>
  </sheetViews>
  <sheetFormatPr baseColWidth="10" defaultColWidth="10.921875" defaultRowHeight="14.25" customHeight="1"/>
  <cols>
    <col min="1" max="1" width="6.3828125" customWidth="1"/>
    <col min="2" max="10" width="8.3828125" customWidth="1"/>
  </cols>
  <sheetData>
    <row r="1" spans="1:10" ht="14.25" customHeight="1">
      <c r="A1" s="766" t="s">
        <v>345</v>
      </c>
      <c r="B1" s="766"/>
      <c r="C1" s="766"/>
      <c r="D1" s="766"/>
      <c r="E1" s="766"/>
      <c r="F1" s="766"/>
      <c r="G1" s="766"/>
      <c r="H1" s="766"/>
      <c r="I1" s="766"/>
      <c r="J1" s="766"/>
    </row>
    <row r="2" spans="1:10" ht="14.25" customHeight="1">
      <c r="A2" s="17"/>
      <c r="B2" s="17"/>
      <c r="C2" s="17"/>
      <c r="D2" s="17"/>
      <c r="E2" s="17"/>
      <c r="F2" s="17"/>
      <c r="G2" s="17"/>
      <c r="H2" s="17"/>
      <c r="I2" s="17"/>
      <c r="J2" s="17"/>
    </row>
    <row r="3" spans="1:10" ht="14.25" customHeight="1">
      <c r="A3" s="766" t="s">
        <v>65</v>
      </c>
      <c r="B3" s="766"/>
      <c r="C3" s="766"/>
      <c r="D3" s="766"/>
      <c r="E3" s="766"/>
      <c r="F3" s="766"/>
      <c r="G3" s="766"/>
      <c r="H3" s="766"/>
      <c r="I3" s="766"/>
      <c r="J3" s="766"/>
    </row>
    <row r="4" spans="1:10" ht="14.25" customHeight="1">
      <c r="A4" s="766" t="s">
        <v>181</v>
      </c>
      <c r="B4" s="766"/>
      <c r="C4" s="766"/>
      <c r="D4" s="766"/>
      <c r="E4" s="766"/>
      <c r="F4" s="766"/>
      <c r="G4" s="766"/>
      <c r="H4" s="766"/>
      <c r="I4" s="766"/>
      <c r="J4" s="766"/>
    </row>
    <row r="5" spans="1:10" ht="14.25" customHeight="1">
      <c r="A5" s="900" t="s">
        <v>182</v>
      </c>
      <c r="B5" s="900" t="s">
        <v>201</v>
      </c>
      <c r="C5" s="891" t="s">
        <v>335</v>
      </c>
      <c r="D5" s="892"/>
      <c r="E5" s="892"/>
      <c r="F5" s="892"/>
      <c r="G5" s="892"/>
      <c r="H5" s="892"/>
      <c r="I5" s="892"/>
      <c r="J5" s="893"/>
    </row>
    <row r="6" spans="1:10" ht="56.25" customHeight="1">
      <c r="A6" s="900"/>
      <c r="B6" s="900"/>
      <c r="C6" s="353" t="s">
        <v>336</v>
      </c>
      <c r="D6" s="346" t="s">
        <v>147</v>
      </c>
      <c r="E6" s="346" t="s">
        <v>149</v>
      </c>
      <c r="F6" s="346" t="s">
        <v>329</v>
      </c>
      <c r="G6" s="346" t="s">
        <v>338</v>
      </c>
      <c r="H6" s="346" t="s">
        <v>151</v>
      </c>
      <c r="I6" s="353" t="s">
        <v>339</v>
      </c>
      <c r="J6" s="343" t="s">
        <v>148</v>
      </c>
    </row>
    <row r="7" spans="1:10" ht="14.25" customHeight="1">
      <c r="A7" s="887">
        <v>2021</v>
      </c>
      <c r="B7" s="468" t="s">
        <v>203</v>
      </c>
      <c r="C7" s="470">
        <v>9616</v>
      </c>
      <c r="D7" s="470">
        <v>5047</v>
      </c>
      <c r="E7" s="470">
        <v>583</v>
      </c>
      <c r="F7" s="470">
        <v>2029</v>
      </c>
      <c r="G7" s="470">
        <v>0</v>
      </c>
      <c r="H7" s="470">
        <v>0</v>
      </c>
      <c r="I7" s="470">
        <v>1000</v>
      </c>
      <c r="J7" s="470">
        <v>34648</v>
      </c>
    </row>
    <row r="8" spans="1:10" ht="14.25" customHeight="1">
      <c r="A8" s="888"/>
      <c r="B8" s="468" t="s">
        <v>204</v>
      </c>
      <c r="C8" s="470">
        <v>27</v>
      </c>
      <c r="D8" s="470">
        <v>6693</v>
      </c>
      <c r="E8" s="470">
        <v>6721</v>
      </c>
      <c r="F8" s="470">
        <v>0</v>
      </c>
      <c r="G8" s="470">
        <v>0</v>
      </c>
      <c r="H8" s="470">
        <v>0</v>
      </c>
      <c r="I8" s="470">
        <v>732</v>
      </c>
      <c r="J8" s="470">
        <v>44949</v>
      </c>
    </row>
    <row r="9" spans="1:10" ht="14.25" customHeight="1">
      <c r="A9" s="888"/>
      <c r="B9" s="468" t="s">
        <v>205</v>
      </c>
      <c r="C9" s="470">
        <v>0</v>
      </c>
      <c r="D9" s="470">
        <v>4080</v>
      </c>
      <c r="E9" s="470">
        <v>279</v>
      </c>
      <c r="F9" s="470">
        <v>988</v>
      </c>
      <c r="G9" s="470">
        <v>0</v>
      </c>
      <c r="H9" s="470">
        <v>0</v>
      </c>
      <c r="I9" s="470">
        <v>581</v>
      </c>
      <c r="J9" s="470">
        <v>66420</v>
      </c>
    </row>
    <row r="10" spans="1:10" ht="14.25" customHeight="1">
      <c r="A10" s="888"/>
      <c r="B10" s="468" t="s">
        <v>206</v>
      </c>
      <c r="C10" s="470">
        <v>885</v>
      </c>
      <c r="D10" s="470">
        <v>13124</v>
      </c>
      <c r="E10" s="470">
        <v>11929</v>
      </c>
      <c r="F10" s="470">
        <v>13618</v>
      </c>
      <c r="G10" s="470">
        <v>0</v>
      </c>
      <c r="H10" s="470">
        <v>0</v>
      </c>
      <c r="I10" s="470">
        <v>591</v>
      </c>
      <c r="J10" s="470">
        <v>19444</v>
      </c>
    </row>
    <row r="11" spans="1:10" ht="14.25" customHeight="1">
      <c r="A11" s="888"/>
      <c r="B11" s="468" t="s">
        <v>207</v>
      </c>
      <c r="C11" s="470">
        <v>13066</v>
      </c>
      <c r="D11" s="470">
        <v>5242</v>
      </c>
      <c r="E11" s="470">
        <v>4442</v>
      </c>
      <c r="F11" s="470">
        <v>3064</v>
      </c>
      <c r="G11" s="470">
        <v>0</v>
      </c>
      <c r="H11" s="470">
        <v>536</v>
      </c>
      <c r="I11" s="470">
        <v>313</v>
      </c>
      <c r="J11" s="470">
        <v>63013</v>
      </c>
    </row>
    <row r="12" spans="1:10" ht="14.25" customHeight="1">
      <c r="A12" s="888"/>
      <c r="B12" s="468" t="s">
        <v>208</v>
      </c>
      <c r="C12" s="470">
        <v>27</v>
      </c>
      <c r="D12" s="470">
        <v>5839</v>
      </c>
      <c r="E12" s="470">
        <v>5522</v>
      </c>
      <c r="F12" s="470">
        <v>2472</v>
      </c>
      <c r="G12" s="470">
        <v>0</v>
      </c>
      <c r="H12" s="470">
        <v>417</v>
      </c>
      <c r="I12" s="470">
        <v>659</v>
      </c>
      <c r="J12" s="470">
        <v>18233</v>
      </c>
    </row>
    <row r="13" spans="1:10" ht="14.25" customHeight="1">
      <c r="A13" s="888"/>
      <c r="B13" s="468" t="s">
        <v>209</v>
      </c>
      <c r="C13" s="470">
        <v>339</v>
      </c>
      <c r="D13" s="470">
        <v>9705</v>
      </c>
      <c r="E13" s="470">
        <v>1613</v>
      </c>
      <c r="F13" s="470">
        <v>10498</v>
      </c>
      <c r="G13" s="470">
        <v>0</v>
      </c>
      <c r="H13" s="470">
        <v>2014</v>
      </c>
      <c r="I13" s="470">
        <v>0</v>
      </c>
      <c r="J13" s="470">
        <v>34071</v>
      </c>
    </row>
    <row r="14" spans="1:10" ht="14.25" customHeight="1">
      <c r="A14" s="888"/>
      <c r="B14" s="468" t="s">
        <v>210</v>
      </c>
      <c r="C14" s="470">
        <v>7483</v>
      </c>
      <c r="D14" s="470">
        <v>10511</v>
      </c>
      <c r="E14" s="470">
        <v>9772</v>
      </c>
      <c r="F14" s="470">
        <v>4229</v>
      </c>
      <c r="G14" s="470">
        <v>0</v>
      </c>
      <c r="H14" s="470">
        <v>27</v>
      </c>
      <c r="I14" s="470">
        <v>403</v>
      </c>
      <c r="J14" s="470">
        <v>44531</v>
      </c>
    </row>
    <row r="15" spans="1:10" ht="14.25" customHeight="1">
      <c r="A15" s="888"/>
      <c r="B15" s="468" t="s">
        <v>211</v>
      </c>
      <c r="C15" s="470">
        <v>11976</v>
      </c>
      <c r="D15" s="470">
        <v>1637</v>
      </c>
      <c r="E15" s="470">
        <v>0</v>
      </c>
      <c r="F15" s="470">
        <v>5023</v>
      </c>
      <c r="G15" s="470">
        <v>0</v>
      </c>
      <c r="H15" s="470">
        <v>0</v>
      </c>
      <c r="I15" s="470">
        <v>434</v>
      </c>
      <c r="J15" s="470">
        <v>50570</v>
      </c>
    </row>
    <row r="16" spans="1:10" ht="14.25" customHeight="1">
      <c r="A16" s="888"/>
      <c r="B16" s="468" t="s">
        <v>212</v>
      </c>
      <c r="C16" s="470">
        <v>0</v>
      </c>
      <c r="D16" s="470">
        <v>10329</v>
      </c>
      <c r="E16" s="470">
        <v>14451</v>
      </c>
      <c r="F16" s="470">
        <v>12241</v>
      </c>
      <c r="G16" s="470">
        <v>0</v>
      </c>
      <c r="H16" s="470">
        <v>0</v>
      </c>
      <c r="I16" s="470">
        <v>534</v>
      </c>
      <c r="J16" s="470">
        <v>14120</v>
      </c>
    </row>
    <row r="17" spans="1:11" ht="14.25" customHeight="1">
      <c r="A17" s="888"/>
      <c r="B17" s="468" t="s">
        <v>196</v>
      </c>
      <c r="C17" s="470">
        <v>2020</v>
      </c>
      <c r="D17" s="470">
        <v>5995</v>
      </c>
      <c r="E17" s="470">
        <v>3305</v>
      </c>
      <c r="F17" s="470">
        <v>0</v>
      </c>
      <c r="G17" s="470">
        <v>545</v>
      </c>
      <c r="H17" s="470">
        <v>1489</v>
      </c>
      <c r="I17" s="470">
        <v>552</v>
      </c>
      <c r="J17" s="470">
        <v>17529</v>
      </c>
    </row>
    <row r="18" spans="1:11" ht="14.25" customHeight="1">
      <c r="A18" s="889"/>
      <c r="B18" s="468" t="s">
        <v>197</v>
      </c>
      <c r="C18" s="470">
        <v>1905</v>
      </c>
      <c r="D18" s="470">
        <v>11713</v>
      </c>
      <c r="E18" s="470">
        <v>7590</v>
      </c>
      <c r="F18" s="470">
        <v>5298</v>
      </c>
      <c r="G18" s="470">
        <v>0</v>
      </c>
      <c r="H18" s="470">
        <v>1886</v>
      </c>
      <c r="I18" s="470">
        <v>2083</v>
      </c>
      <c r="J18" s="470">
        <v>61404</v>
      </c>
      <c r="K18" s="433"/>
    </row>
    <row r="19" spans="1:11" ht="14.25" customHeight="1">
      <c r="A19" s="887">
        <v>2022</v>
      </c>
      <c r="B19" s="468" t="s">
        <v>203</v>
      </c>
      <c r="C19" s="470">
        <v>8113</v>
      </c>
      <c r="D19" s="470">
        <v>9337</v>
      </c>
      <c r="E19" s="470">
        <v>6545</v>
      </c>
      <c r="F19" s="470">
        <v>1243</v>
      </c>
      <c r="G19" s="470">
        <v>0</v>
      </c>
      <c r="H19" s="470">
        <v>0</v>
      </c>
      <c r="I19" s="470">
        <v>1602</v>
      </c>
      <c r="J19" s="470">
        <v>70953</v>
      </c>
    </row>
    <row r="20" spans="1:11" ht="14.25" customHeight="1">
      <c r="A20" s="888"/>
      <c r="B20" s="468" t="s">
        <v>204</v>
      </c>
      <c r="C20" s="470">
        <v>55</v>
      </c>
      <c r="D20" s="470">
        <v>4038</v>
      </c>
      <c r="E20" s="470">
        <v>0</v>
      </c>
      <c r="F20" s="470">
        <v>8646</v>
      </c>
      <c r="G20" s="470">
        <v>0</v>
      </c>
      <c r="H20" s="470">
        <v>609</v>
      </c>
      <c r="I20" s="470">
        <v>233</v>
      </c>
      <c r="J20" s="470">
        <v>39822</v>
      </c>
    </row>
    <row r="21" spans="1:11" ht="14.25" customHeight="1">
      <c r="A21" s="888"/>
      <c r="B21" s="468" t="s">
        <v>205</v>
      </c>
      <c r="C21" s="470">
        <v>15457</v>
      </c>
      <c r="D21" s="470">
        <v>13435</v>
      </c>
      <c r="E21" s="470">
        <v>12103</v>
      </c>
      <c r="F21" s="470">
        <v>6574</v>
      </c>
      <c r="G21" s="470">
        <v>0</v>
      </c>
      <c r="H21" s="470">
        <v>1134</v>
      </c>
      <c r="I21" s="470">
        <v>58</v>
      </c>
      <c r="J21" s="470">
        <v>35609</v>
      </c>
    </row>
    <row r="22" spans="1:11" ht="14.25" customHeight="1">
      <c r="A22" s="888"/>
      <c r="B22" s="468" t="s">
        <v>206</v>
      </c>
      <c r="C22" s="470">
        <v>679</v>
      </c>
      <c r="D22" s="470">
        <v>7030</v>
      </c>
      <c r="E22" s="470">
        <v>7210</v>
      </c>
      <c r="F22" s="470">
        <v>2456</v>
      </c>
      <c r="G22" s="470">
        <v>0</v>
      </c>
      <c r="H22" s="470">
        <v>510</v>
      </c>
      <c r="I22" s="470">
        <v>1882</v>
      </c>
      <c r="J22" s="470">
        <v>83609</v>
      </c>
    </row>
    <row r="23" spans="1:11" ht="14.25" customHeight="1">
      <c r="A23" s="888"/>
      <c r="B23" s="468" t="s">
        <v>207</v>
      </c>
      <c r="C23" s="470"/>
      <c r="D23" s="470"/>
      <c r="E23" s="470"/>
      <c r="F23" s="470"/>
      <c r="G23" s="470"/>
      <c r="H23" s="470"/>
      <c r="I23" s="470"/>
      <c r="J23" s="470"/>
    </row>
    <row r="24" spans="1:11" ht="14.25" customHeight="1">
      <c r="A24" s="888"/>
      <c r="B24" s="468" t="s">
        <v>208</v>
      </c>
      <c r="C24" s="470"/>
      <c r="D24" s="470"/>
      <c r="E24" s="470"/>
      <c r="F24" s="470"/>
      <c r="G24" s="470"/>
      <c r="H24" s="470"/>
      <c r="I24" s="470"/>
      <c r="J24" s="470"/>
    </row>
    <row r="25" spans="1:11" ht="14.25" customHeight="1">
      <c r="A25" s="888"/>
      <c r="B25" s="468" t="s">
        <v>209</v>
      </c>
      <c r="C25" s="470"/>
      <c r="D25" s="470"/>
      <c r="E25" s="470"/>
      <c r="F25" s="470"/>
      <c r="G25" s="470"/>
      <c r="H25" s="470"/>
      <c r="I25" s="470"/>
      <c r="J25" s="470"/>
    </row>
    <row r="26" spans="1:11" ht="14.25" customHeight="1">
      <c r="A26" s="888"/>
      <c r="B26" s="468" t="s">
        <v>210</v>
      </c>
      <c r="C26" s="470"/>
      <c r="D26" s="470"/>
      <c r="E26" s="470"/>
      <c r="F26" s="470"/>
      <c r="G26" s="470"/>
      <c r="H26" s="470"/>
      <c r="I26" s="470"/>
      <c r="J26" s="470"/>
    </row>
    <row r="27" spans="1:11" ht="14.25" customHeight="1">
      <c r="A27" s="888"/>
      <c r="B27" s="468" t="s">
        <v>211</v>
      </c>
      <c r="C27" s="470"/>
      <c r="D27" s="470"/>
      <c r="E27" s="470"/>
      <c r="F27" s="470"/>
      <c r="G27" s="470"/>
      <c r="H27" s="470"/>
      <c r="I27" s="470"/>
      <c r="J27" s="470"/>
    </row>
    <row r="28" spans="1:11" ht="14.25" customHeight="1">
      <c r="A28" s="888"/>
      <c r="B28" s="468" t="s">
        <v>212</v>
      </c>
      <c r="C28" s="470"/>
      <c r="D28" s="470"/>
      <c r="E28" s="470"/>
      <c r="F28" s="470"/>
      <c r="G28" s="470"/>
      <c r="H28" s="470"/>
      <c r="I28" s="470"/>
      <c r="J28" s="470"/>
    </row>
    <row r="29" spans="1:11" ht="14.25" customHeight="1">
      <c r="A29" s="888"/>
      <c r="B29" s="468" t="s">
        <v>196</v>
      </c>
      <c r="C29" s="470"/>
      <c r="D29" s="470"/>
      <c r="E29" s="470"/>
      <c r="F29" s="470"/>
      <c r="G29" s="470"/>
      <c r="H29" s="470"/>
      <c r="I29" s="470"/>
      <c r="J29" s="470"/>
    </row>
    <row r="30" spans="1:11" ht="14.25" customHeight="1">
      <c r="A30" s="889"/>
      <c r="B30" s="468" t="s">
        <v>197</v>
      </c>
      <c r="C30" s="306"/>
      <c r="D30" s="306"/>
      <c r="E30" s="306"/>
      <c r="F30" s="306"/>
      <c r="G30" s="306"/>
      <c r="H30" s="306"/>
      <c r="I30" s="306"/>
      <c r="J30" s="306"/>
    </row>
    <row r="31" spans="1:11" ht="14.25" customHeight="1">
      <c r="A31" s="341" t="s">
        <v>342</v>
      </c>
      <c r="B31" s="341"/>
      <c r="C31" s="297"/>
      <c r="D31" s="297"/>
      <c r="E31" s="297"/>
      <c r="F31" s="297"/>
      <c r="G31" s="297"/>
      <c r="H31" s="297"/>
      <c r="I31" s="297"/>
      <c r="J31" s="297"/>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F31"/>
  <sheetViews>
    <sheetView workbookViewId="0">
      <selection activeCell="J8" sqref="J8"/>
    </sheetView>
  </sheetViews>
  <sheetFormatPr baseColWidth="10" defaultColWidth="10.921875" defaultRowHeight="17.399999999999999"/>
  <cols>
    <col min="1" max="5" width="10" customWidth="1"/>
  </cols>
  <sheetData>
    <row r="1" spans="1:6" ht="14.25" customHeight="1">
      <c r="A1" s="766" t="s">
        <v>346</v>
      </c>
      <c r="B1" s="766"/>
      <c r="C1" s="766"/>
      <c r="D1" s="766"/>
      <c r="E1" s="766"/>
      <c r="F1" s="766"/>
    </row>
    <row r="2" spans="1:6" ht="14.25" customHeight="1">
      <c r="A2" s="17"/>
      <c r="B2" s="17"/>
      <c r="C2" s="17"/>
      <c r="D2" s="17"/>
      <c r="E2" s="17"/>
      <c r="F2" s="17"/>
    </row>
    <row r="3" spans="1:6" ht="14.25" customHeight="1">
      <c r="A3" s="766" t="s">
        <v>68</v>
      </c>
      <c r="B3" s="766"/>
      <c r="C3" s="766"/>
      <c r="D3" s="766"/>
      <c r="E3" s="766"/>
      <c r="F3" s="766"/>
    </row>
    <row r="4" spans="1:6" ht="14.25" customHeight="1">
      <c r="A4" s="766" t="s">
        <v>181</v>
      </c>
      <c r="B4" s="766"/>
      <c r="C4" s="766"/>
      <c r="D4" s="766"/>
      <c r="E4" s="766"/>
      <c r="F4" s="766"/>
    </row>
    <row r="5" spans="1:6" ht="14.25" customHeight="1">
      <c r="A5" s="900" t="s">
        <v>182</v>
      </c>
      <c r="B5" s="900" t="s">
        <v>201</v>
      </c>
      <c r="C5" s="901" t="s">
        <v>347</v>
      </c>
      <c r="D5" s="901"/>
      <c r="E5" s="901"/>
      <c r="F5" s="343" t="s">
        <v>348</v>
      </c>
    </row>
    <row r="6" spans="1:6" ht="21.9" customHeight="1">
      <c r="A6" s="900"/>
      <c r="B6" s="900"/>
      <c r="C6" s="346" t="s">
        <v>329</v>
      </c>
      <c r="D6" s="346" t="s">
        <v>338</v>
      </c>
      <c r="E6" s="346" t="s">
        <v>151</v>
      </c>
      <c r="F6" s="343" t="s">
        <v>338</v>
      </c>
    </row>
    <row r="7" spans="1:6" ht="14.25" customHeight="1">
      <c r="A7" s="887">
        <v>2021</v>
      </c>
      <c r="B7" s="468" t="s">
        <v>203</v>
      </c>
      <c r="C7" s="470">
        <v>8681</v>
      </c>
      <c r="D7" s="470">
        <v>1208</v>
      </c>
      <c r="E7" s="470">
        <v>240</v>
      </c>
      <c r="F7" s="470">
        <v>0</v>
      </c>
    </row>
    <row r="8" spans="1:6" ht="14.25" customHeight="1">
      <c r="A8" s="888"/>
      <c r="B8" s="468" t="s">
        <v>204</v>
      </c>
      <c r="C8" s="470">
        <v>3187</v>
      </c>
      <c r="D8" s="470">
        <v>1114</v>
      </c>
      <c r="E8" s="470">
        <v>0</v>
      </c>
      <c r="F8" s="470">
        <v>0</v>
      </c>
    </row>
    <row r="9" spans="1:6" ht="14.25" customHeight="1">
      <c r="A9" s="888"/>
      <c r="B9" s="468" t="s">
        <v>205</v>
      </c>
      <c r="C9" s="470">
        <v>77</v>
      </c>
      <c r="D9" s="470">
        <v>1812</v>
      </c>
      <c r="E9" s="470">
        <v>258</v>
      </c>
      <c r="F9" s="470">
        <v>0</v>
      </c>
    </row>
    <row r="10" spans="1:6" ht="14.25" customHeight="1">
      <c r="A10" s="888"/>
      <c r="B10" s="468" t="s">
        <v>206</v>
      </c>
      <c r="C10" s="470">
        <v>0</v>
      </c>
      <c r="D10" s="470">
        <v>723</v>
      </c>
      <c r="E10" s="470">
        <v>184</v>
      </c>
      <c r="F10" s="470">
        <v>0</v>
      </c>
    </row>
    <row r="11" spans="1:6" ht="14.25" customHeight="1">
      <c r="A11" s="888"/>
      <c r="B11" s="468" t="s">
        <v>207</v>
      </c>
      <c r="C11" s="470">
        <v>0</v>
      </c>
      <c r="D11" s="470">
        <v>723</v>
      </c>
      <c r="E11" s="470">
        <v>179</v>
      </c>
      <c r="F11" s="470">
        <v>0</v>
      </c>
    </row>
    <row r="12" spans="1:6" ht="14.25" customHeight="1">
      <c r="A12" s="888"/>
      <c r="B12" s="468" t="s">
        <v>208</v>
      </c>
      <c r="C12" s="470">
        <v>78</v>
      </c>
      <c r="D12" s="470">
        <v>1775</v>
      </c>
      <c r="E12" s="470">
        <v>207</v>
      </c>
      <c r="F12" s="470">
        <v>0</v>
      </c>
    </row>
    <row r="13" spans="1:6" ht="14.25" customHeight="1">
      <c r="A13" s="888"/>
      <c r="B13" s="468" t="s">
        <v>209</v>
      </c>
      <c r="C13" s="470">
        <v>39</v>
      </c>
      <c r="D13" s="470">
        <v>675</v>
      </c>
      <c r="E13" s="470">
        <v>308</v>
      </c>
      <c r="F13" s="470">
        <v>0</v>
      </c>
    </row>
    <row r="14" spans="1:6" ht="14.25" customHeight="1">
      <c r="A14" s="888"/>
      <c r="B14" s="468" t="s">
        <v>210</v>
      </c>
      <c r="C14" s="470">
        <v>76</v>
      </c>
      <c r="D14" s="470">
        <v>876</v>
      </c>
      <c r="E14" s="470">
        <v>244</v>
      </c>
      <c r="F14" s="470">
        <v>0</v>
      </c>
    </row>
    <row r="15" spans="1:6" ht="14.25" customHeight="1">
      <c r="A15" s="888"/>
      <c r="B15" s="468" t="s">
        <v>211</v>
      </c>
      <c r="C15" s="470">
        <v>0</v>
      </c>
      <c r="D15" s="470">
        <v>624</v>
      </c>
      <c r="E15" s="470">
        <v>272</v>
      </c>
      <c r="F15" s="470">
        <v>0</v>
      </c>
    </row>
    <row r="16" spans="1:6" ht="14.25" customHeight="1">
      <c r="A16" s="888"/>
      <c r="B16" s="468" t="s">
        <v>212</v>
      </c>
      <c r="C16" s="470">
        <v>0</v>
      </c>
      <c r="D16" s="470">
        <v>655</v>
      </c>
      <c r="E16" s="470">
        <v>281</v>
      </c>
      <c r="F16" s="470">
        <v>0</v>
      </c>
    </row>
    <row r="17" spans="1:6" ht="14.25" customHeight="1">
      <c r="A17" s="888"/>
      <c r="B17" s="468" t="s">
        <v>196</v>
      </c>
      <c r="C17" s="470">
        <v>0</v>
      </c>
      <c r="D17" s="470">
        <v>621</v>
      </c>
      <c r="E17" s="470">
        <v>197</v>
      </c>
      <c r="F17" s="470">
        <v>0</v>
      </c>
    </row>
    <row r="18" spans="1:6" ht="14.25" customHeight="1">
      <c r="A18" s="889"/>
      <c r="B18" s="468" t="s">
        <v>197</v>
      </c>
      <c r="C18" s="470">
        <v>888</v>
      </c>
      <c r="D18" s="470">
        <v>596</v>
      </c>
      <c r="E18" s="470">
        <v>225</v>
      </c>
      <c r="F18" s="470">
        <v>0</v>
      </c>
    </row>
    <row r="19" spans="1:6" ht="14.25" customHeight="1">
      <c r="A19" s="887">
        <v>2022</v>
      </c>
      <c r="B19" s="468" t="s">
        <v>203</v>
      </c>
      <c r="C19" s="470">
        <v>14329</v>
      </c>
      <c r="D19" s="470">
        <v>1377</v>
      </c>
      <c r="E19" s="470">
        <v>226</v>
      </c>
      <c r="F19" s="470">
        <v>0</v>
      </c>
    </row>
    <row r="20" spans="1:6" ht="14.25" customHeight="1">
      <c r="A20" s="888"/>
      <c r="B20" s="468" t="s">
        <v>204</v>
      </c>
      <c r="C20" s="470">
        <v>1046</v>
      </c>
      <c r="D20" s="470">
        <v>1234</v>
      </c>
      <c r="E20" s="470">
        <v>249</v>
      </c>
      <c r="F20" s="470">
        <v>0</v>
      </c>
    </row>
    <row r="21" spans="1:6" ht="14.25" customHeight="1">
      <c r="A21" s="888"/>
      <c r="B21" s="468" t="s">
        <v>205</v>
      </c>
      <c r="C21" s="470">
        <v>0</v>
      </c>
      <c r="D21" s="470">
        <v>1352</v>
      </c>
      <c r="E21" s="470">
        <v>344</v>
      </c>
      <c r="F21" s="470">
        <v>0</v>
      </c>
    </row>
    <row r="22" spans="1:6" ht="14.25" customHeight="1">
      <c r="A22" s="888"/>
      <c r="B22" s="468" t="s">
        <v>206</v>
      </c>
      <c r="C22" s="470">
        <v>0</v>
      </c>
      <c r="D22" s="470">
        <v>790</v>
      </c>
      <c r="E22" s="470">
        <v>200</v>
      </c>
      <c r="F22" s="470">
        <v>0</v>
      </c>
    </row>
    <row r="23" spans="1:6" ht="14.25" customHeight="1">
      <c r="A23" s="888"/>
      <c r="B23" s="468" t="s">
        <v>207</v>
      </c>
      <c r="C23" s="470"/>
      <c r="D23" s="470"/>
      <c r="E23" s="470"/>
      <c r="F23" s="470"/>
    </row>
    <row r="24" spans="1:6" ht="14.25" customHeight="1">
      <c r="A24" s="888"/>
      <c r="B24" s="468" t="s">
        <v>208</v>
      </c>
      <c r="C24" s="470"/>
      <c r="D24" s="470"/>
      <c r="E24" s="470"/>
      <c r="F24" s="470"/>
    </row>
    <row r="25" spans="1:6" ht="14.25" customHeight="1">
      <c r="A25" s="888"/>
      <c r="B25" s="468" t="s">
        <v>209</v>
      </c>
      <c r="C25" s="470"/>
      <c r="D25" s="470"/>
      <c r="E25" s="470"/>
      <c r="F25" s="470"/>
    </row>
    <row r="26" spans="1:6" ht="14.25" customHeight="1">
      <c r="A26" s="888"/>
      <c r="B26" s="468" t="s">
        <v>210</v>
      </c>
      <c r="C26" s="470"/>
      <c r="D26" s="470"/>
      <c r="E26" s="470"/>
      <c r="F26" s="470"/>
    </row>
    <row r="27" spans="1:6" ht="14.25" customHeight="1">
      <c r="A27" s="888"/>
      <c r="B27" s="468" t="s">
        <v>211</v>
      </c>
      <c r="C27" s="470"/>
      <c r="D27" s="470"/>
      <c r="E27" s="470"/>
      <c r="F27" s="470"/>
    </row>
    <row r="28" spans="1:6" ht="14.25" customHeight="1">
      <c r="A28" s="888"/>
      <c r="B28" s="468" t="s">
        <v>212</v>
      </c>
      <c r="C28" s="470"/>
      <c r="D28" s="470"/>
      <c r="E28" s="470"/>
      <c r="F28" s="470"/>
    </row>
    <row r="29" spans="1:6" ht="14.25" customHeight="1">
      <c r="A29" s="888"/>
      <c r="B29" s="468" t="s">
        <v>196</v>
      </c>
      <c r="C29" s="470"/>
      <c r="D29" s="470"/>
      <c r="E29" s="470"/>
      <c r="F29" s="470"/>
    </row>
    <row r="30" spans="1:6" ht="14.25" customHeight="1">
      <c r="A30" s="889"/>
      <c r="B30" s="468" t="s">
        <v>197</v>
      </c>
      <c r="C30" s="470"/>
      <c r="D30" s="470"/>
      <c r="E30" s="470"/>
      <c r="F30" s="470"/>
    </row>
    <row r="31" spans="1:6" ht="14.25" customHeight="1">
      <c r="A31" s="341" t="s">
        <v>342</v>
      </c>
      <c r="B31" s="341"/>
      <c r="C31" s="297"/>
      <c r="D31" s="297"/>
      <c r="E31" s="297"/>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I10"/>
  <sheetViews>
    <sheetView zoomScaleNormal="100" workbookViewId="0">
      <selection activeCell="J12" sqref="J12"/>
    </sheetView>
  </sheetViews>
  <sheetFormatPr baseColWidth="10" defaultColWidth="10.921875" defaultRowHeight="17.399999999999999"/>
  <cols>
    <col min="1" max="1" width="3.765625" customWidth="1"/>
    <col min="2" max="2" width="22.23046875" customWidth="1"/>
    <col min="3" max="3" width="7.84375" bestFit="1" customWidth="1"/>
    <col min="4" max="4" width="6.3828125" bestFit="1" customWidth="1"/>
    <col min="5" max="5" width="5.921875" bestFit="1" customWidth="1"/>
    <col min="6" max="6" width="6.3828125" bestFit="1" customWidth="1"/>
    <col min="7" max="7" width="5.921875" bestFit="1" customWidth="1"/>
    <col min="8" max="8" width="6.3828125" bestFit="1" customWidth="1"/>
  </cols>
  <sheetData>
    <row r="1" spans="2:9">
      <c r="B1" s="766" t="s">
        <v>349</v>
      </c>
      <c r="C1" s="766"/>
      <c r="D1" s="766"/>
      <c r="E1" s="766"/>
      <c r="F1" s="766"/>
      <c r="G1" s="766"/>
      <c r="H1" s="766"/>
    </row>
    <row r="2" spans="2:9">
      <c r="B2" s="17"/>
      <c r="C2" s="17"/>
      <c r="D2" s="606"/>
      <c r="E2" s="606"/>
      <c r="F2" s="17"/>
      <c r="G2" s="606"/>
      <c r="H2" s="17"/>
    </row>
    <row r="3" spans="2:9" ht="39.450000000000003" customHeight="1">
      <c r="B3" s="857" t="s">
        <v>692</v>
      </c>
      <c r="C3" s="857"/>
      <c r="D3" s="857"/>
      <c r="E3" s="857"/>
      <c r="F3" s="857"/>
      <c r="G3" s="857"/>
      <c r="H3" s="857"/>
    </row>
    <row r="4" spans="2:9">
      <c r="B4" s="836" t="s">
        <v>350</v>
      </c>
      <c r="C4" s="836"/>
      <c r="D4" s="836"/>
      <c r="E4" s="836"/>
      <c r="F4" s="836"/>
      <c r="G4" s="836"/>
      <c r="H4" s="836"/>
    </row>
    <row r="5" spans="2:9" ht="38.25" customHeight="1">
      <c r="B5" s="608"/>
      <c r="C5" s="903" t="s">
        <v>351</v>
      </c>
      <c r="D5" s="904"/>
      <c r="E5" s="905" t="s">
        <v>352</v>
      </c>
      <c r="F5" s="906"/>
      <c r="G5" s="903" t="s">
        <v>353</v>
      </c>
      <c r="H5" s="904"/>
    </row>
    <row r="6" spans="2:9" ht="38.25" customHeight="1">
      <c r="B6" s="608"/>
      <c r="C6" s="400" t="s">
        <v>324</v>
      </c>
      <c r="D6" s="400" t="s">
        <v>691</v>
      </c>
      <c r="E6" s="400" t="s">
        <v>324</v>
      </c>
      <c r="F6" s="400" t="s">
        <v>691</v>
      </c>
      <c r="G6" s="400" t="s">
        <v>324</v>
      </c>
      <c r="H6" s="400" t="s">
        <v>691</v>
      </c>
    </row>
    <row r="7" spans="2:9" ht="44.25" customHeight="1">
      <c r="B7" s="427" t="s">
        <v>751</v>
      </c>
      <c r="C7" s="621">
        <v>-4.9302718692767478E-4</v>
      </c>
      <c r="D7" s="402">
        <v>0.52443871522182817</v>
      </c>
      <c r="E7" s="402">
        <v>2.312432860292879E-2</v>
      </c>
      <c r="F7" s="402">
        <v>0.48632443531827518</v>
      </c>
      <c r="G7" s="402">
        <v>1.5761185357350271E-2</v>
      </c>
      <c r="H7" s="402">
        <v>0.228478566408995</v>
      </c>
      <c r="I7" s="126"/>
    </row>
    <row r="8" spans="2:9">
      <c r="B8" s="833" t="s">
        <v>354</v>
      </c>
      <c r="C8" s="834"/>
      <c r="D8" s="834"/>
      <c r="E8" s="834"/>
      <c r="F8" s="834"/>
      <c r="G8" s="834"/>
      <c r="H8" s="835"/>
    </row>
    <row r="9" spans="2:9" ht="50.1" customHeight="1">
      <c r="B9" s="902" t="s">
        <v>752</v>
      </c>
      <c r="C9" s="902"/>
      <c r="D9" s="902"/>
      <c r="E9" s="902"/>
      <c r="F9" s="902"/>
      <c r="G9" s="902"/>
      <c r="H9" s="902"/>
    </row>
    <row r="10" spans="2:9">
      <c r="C10" s="126"/>
      <c r="D10" s="126"/>
      <c r="E10" s="126"/>
    </row>
  </sheetData>
  <mergeCells count="8">
    <mergeCell ref="B1:H1"/>
    <mergeCell ref="B4:H4"/>
    <mergeCell ref="B9:H9"/>
    <mergeCell ref="B8:H8"/>
    <mergeCell ref="B3:H3"/>
    <mergeCell ref="C5:D5"/>
    <mergeCell ref="E5:F5"/>
    <mergeCell ref="G5:H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workbookViewId="0">
      <selection activeCell="B18" sqref="B18:F18"/>
    </sheetView>
  </sheetViews>
  <sheetFormatPr baseColWidth="10" defaultColWidth="11.07421875" defaultRowHeight="15" customHeight="1"/>
  <cols>
    <col min="1" max="1" width="5.23046875" style="43" customWidth="1"/>
    <col min="2" max="5" width="10.23046875" style="43" customWidth="1"/>
    <col min="6" max="6" width="9.23046875" style="43" customWidth="1"/>
    <col min="7" max="7" width="5.3046875" style="43" customWidth="1"/>
    <col min="8" max="8" width="3.3046875" style="43" customWidth="1"/>
    <col min="9" max="16384" width="11.07421875" style="43"/>
  </cols>
  <sheetData>
    <row r="1" spans="1:8" ht="4.8" customHeight="1">
      <c r="A1" s="776"/>
      <c r="B1" s="776"/>
      <c r="C1" s="776"/>
      <c r="D1" s="776"/>
      <c r="E1" s="776"/>
      <c r="F1" s="776"/>
      <c r="G1" s="776"/>
      <c r="H1" s="39"/>
    </row>
    <row r="2" spans="1:8" s="42" customFormat="1" ht="15" customHeight="1">
      <c r="A2" s="776" t="s">
        <v>14</v>
      </c>
      <c r="B2" s="776"/>
      <c r="C2" s="776"/>
      <c r="D2" s="776"/>
      <c r="E2" s="776"/>
      <c r="F2" s="776"/>
      <c r="G2" s="776"/>
      <c r="H2" s="356"/>
    </row>
    <row r="3" spans="1:8" s="42" customFormat="1" ht="15" customHeight="1">
      <c r="A3" s="776" t="s">
        <v>15</v>
      </c>
      <c r="B3" s="776"/>
      <c r="C3" s="776"/>
      <c r="D3" s="776"/>
      <c r="E3" s="776"/>
      <c r="F3" s="776"/>
      <c r="G3" s="776"/>
      <c r="H3" s="356"/>
    </row>
    <row r="4" spans="1:8" s="42" customFormat="1" ht="7.5" customHeight="1">
      <c r="A4" s="264"/>
      <c r="B4" s="264"/>
      <c r="C4" s="264"/>
      <c r="D4" s="264"/>
      <c r="E4" s="264"/>
      <c r="F4" s="264"/>
      <c r="G4" s="264"/>
      <c r="H4" s="356"/>
    </row>
    <row r="5" spans="1:8" s="42" customFormat="1" ht="15" customHeight="1">
      <c r="A5" s="254" t="s">
        <v>16</v>
      </c>
      <c r="B5" s="255" t="s">
        <v>17</v>
      </c>
      <c r="C5" s="255"/>
      <c r="D5" s="255"/>
      <c r="E5" s="255"/>
      <c r="F5" s="255"/>
      <c r="G5" s="256" t="s">
        <v>18</v>
      </c>
      <c r="H5" s="509"/>
    </row>
    <row r="6" spans="1:8" s="42" customFormat="1" ht="15.75" customHeight="1">
      <c r="A6" s="262" t="s">
        <v>19</v>
      </c>
      <c r="B6" s="777" t="s">
        <v>20</v>
      </c>
      <c r="C6" s="777"/>
      <c r="D6" s="777"/>
      <c r="E6" s="777"/>
      <c r="F6" s="777"/>
      <c r="G6" s="351">
        <v>4</v>
      </c>
      <c r="H6" s="356"/>
    </row>
    <row r="7" spans="1:8" s="42" customFormat="1" ht="15.75" customHeight="1">
      <c r="A7" s="262" t="s">
        <v>21</v>
      </c>
      <c r="B7" s="771" t="s">
        <v>22</v>
      </c>
      <c r="C7" s="771"/>
      <c r="D7" s="771"/>
      <c r="E7" s="771"/>
      <c r="F7" s="771"/>
      <c r="G7" s="351">
        <v>5</v>
      </c>
      <c r="H7" s="356"/>
    </row>
    <row r="8" spans="1:8" s="42" customFormat="1" ht="15.75" customHeight="1">
      <c r="A8" s="262" t="s">
        <v>23</v>
      </c>
      <c r="B8" s="771" t="s">
        <v>24</v>
      </c>
      <c r="C8" s="771"/>
      <c r="D8" s="771"/>
      <c r="E8" s="771"/>
      <c r="F8" s="771"/>
      <c r="G8" s="351">
        <v>6</v>
      </c>
      <c r="H8" s="356"/>
    </row>
    <row r="9" spans="1:8" s="42" customFormat="1" ht="15.75" customHeight="1">
      <c r="A9" s="262" t="s">
        <v>25</v>
      </c>
      <c r="B9" s="771" t="s">
        <v>26</v>
      </c>
      <c r="C9" s="771"/>
      <c r="D9" s="771"/>
      <c r="E9" s="771"/>
      <c r="F9" s="771"/>
      <c r="G9" s="351">
        <v>7</v>
      </c>
      <c r="H9" s="356"/>
    </row>
    <row r="10" spans="1:8" s="42" customFormat="1" ht="30" customHeight="1">
      <c r="A10" s="262" t="s">
        <v>27</v>
      </c>
      <c r="B10" s="771" t="s">
        <v>28</v>
      </c>
      <c r="C10" s="771"/>
      <c r="D10" s="771"/>
      <c r="E10" s="771"/>
      <c r="F10" s="771"/>
      <c r="G10" s="351">
        <v>8</v>
      </c>
      <c r="H10" s="356"/>
    </row>
    <row r="11" spans="1:8" s="42" customFormat="1" ht="30" customHeight="1">
      <c r="A11" s="262" t="s">
        <v>29</v>
      </c>
      <c r="B11" s="771" t="s">
        <v>30</v>
      </c>
      <c r="C11" s="771"/>
      <c r="D11" s="771"/>
      <c r="E11" s="771"/>
      <c r="F11" s="771"/>
      <c r="G11" s="351">
        <v>9</v>
      </c>
      <c r="H11" s="356"/>
    </row>
    <row r="12" spans="1:8" s="42" customFormat="1" ht="15.75" customHeight="1">
      <c r="A12" s="262" t="s">
        <v>31</v>
      </c>
      <c r="B12" s="771" t="s">
        <v>32</v>
      </c>
      <c r="C12" s="771"/>
      <c r="D12" s="771"/>
      <c r="E12" s="771"/>
      <c r="F12" s="771"/>
      <c r="G12" s="351">
        <v>10</v>
      </c>
      <c r="H12" s="356"/>
    </row>
    <row r="13" spans="1:8" s="42" customFormat="1" ht="15.75" customHeight="1">
      <c r="A13" s="262" t="s">
        <v>33</v>
      </c>
      <c r="B13" s="769" t="s">
        <v>34</v>
      </c>
      <c r="C13" s="769"/>
      <c r="D13" s="769"/>
      <c r="E13" s="769"/>
      <c r="F13" s="769"/>
      <c r="G13" s="351">
        <v>11</v>
      </c>
      <c r="H13" s="510"/>
    </row>
    <row r="14" spans="1:8" s="42" customFormat="1" ht="15.75" customHeight="1">
      <c r="A14" s="262" t="s">
        <v>35</v>
      </c>
      <c r="B14" s="769" t="s">
        <v>36</v>
      </c>
      <c r="C14" s="769"/>
      <c r="D14" s="769"/>
      <c r="E14" s="769"/>
      <c r="F14" s="769"/>
      <c r="G14" s="351">
        <v>12</v>
      </c>
      <c r="H14" s="510"/>
    </row>
    <row r="15" spans="1:8" s="42" customFormat="1" ht="15.75" customHeight="1">
      <c r="A15" s="262" t="s">
        <v>37</v>
      </c>
      <c r="B15" s="769" t="s">
        <v>38</v>
      </c>
      <c r="C15" s="769"/>
      <c r="D15" s="769"/>
      <c r="E15" s="769"/>
      <c r="F15" s="769"/>
      <c r="G15" s="351">
        <v>13</v>
      </c>
      <c r="H15" s="510"/>
    </row>
    <row r="16" spans="1:8" s="42" customFormat="1" ht="15.75" customHeight="1">
      <c r="A16" s="262" t="s">
        <v>39</v>
      </c>
      <c r="B16" s="769" t="s">
        <v>40</v>
      </c>
      <c r="C16" s="769"/>
      <c r="D16" s="769"/>
      <c r="E16" s="769"/>
      <c r="F16" s="769"/>
      <c r="G16" s="351">
        <v>14</v>
      </c>
      <c r="H16" s="510"/>
    </row>
    <row r="17" spans="1:10" s="42" customFormat="1" ht="15.75" customHeight="1">
      <c r="A17" s="262" t="s">
        <v>41</v>
      </c>
      <c r="B17" s="769" t="s">
        <v>42</v>
      </c>
      <c r="C17" s="769"/>
      <c r="D17" s="769"/>
      <c r="E17" s="769"/>
      <c r="F17" s="769"/>
      <c r="G17" s="351">
        <v>15</v>
      </c>
      <c r="H17" s="510"/>
      <c r="I17" s="356"/>
      <c r="J17" s="356"/>
    </row>
    <row r="18" spans="1:10" s="42" customFormat="1" ht="15.75" customHeight="1">
      <c r="A18" s="262" t="s">
        <v>43</v>
      </c>
      <c r="B18" s="769" t="s">
        <v>44</v>
      </c>
      <c r="C18" s="769"/>
      <c r="D18" s="769"/>
      <c r="E18" s="769"/>
      <c r="F18" s="769"/>
      <c r="G18" s="351">
        <v>16</v>
      </c>
      <c r="H18" s="510"/>
      <c r="I18" s="356"/>
      <c r="J18" s="356"/>
    </row>
    <row r="19" spans="1:10" s="42" customFormat="1" ht="30" customHeight="1">
      <c r="A19" s="262" t="s">
        <v>45</v>
      </c>
      <c r="B19" s="769" t="s">
        <v>46</v>
      </c>
      <c r="C19" s="769"/>
      <c r="D19" s="769"/>
      <c r="E19" s="769"/>
      <c r="F19" s="769"/>
      <c r="G19" s="351">
        <v>17</v>
      </c>
      <c r="H19" s="510"/>
      <c r="I19" s="356"/>
      <c r="J19" s="356"/>
    </row>
    <row r="20" spans="1:10" s="42" customFormat="1" ht="15.75" customHeight="1">
      <c r="A20" s="262" t="s">
        <v>47</v>
      </c>
      <c r="B20" s="769" t="s">
        <v>48</v>
      </c>
      <c r="C20" s="769"/>
      <c r="D20" s="769"/>
      <c r="E20" s="769"/>
      <c r="F20" s="769"/>
      <c r="G20" s="351">
        <v>18</v>
      </c>
      <c r="H20" s="510"/>
      <c r="I20" s="356"/>
      <c r="J20" s="356"/>
    </row>
    <row r="21" spans="1:10" s="42" customFormat="1" ht="15.75" customHeight="1">
      <c r="A21" s="262" t="s">
        <v>49</v>
      </c>
      <c r="B21" s="771" t="s">
        <v>50</v>
      </c>
      <c r="C21" s="771"/>
      <c r="D21" s="771"/>
      <c r="E21" s="771"/>
      <c r="F21" s="771"/>
      <c r="G21" s="351">
        <v>19</v>
      </c>
      <c r="H21" s="356"/>
      <c r="I21" s="356"/>
      <c r="J21" s="356"/>
    </row>
    <row r="22" spans="1:10" s="42" customFormat="1" ht="15.75" customHeight="1">
      <c r="A22" s="262" t="s">
        <v>51</v>
      </c>
      <c r="B22" s="771" t="s">
        <v>52</v>
      </c>
      <c r="C22" s="771"/>
      <c r="D22" s="771"/>
      <c r="E22" s="771"/>
      <c r="F22" s="771"/>
      <c r="G22" s="351">
        <v>20</v>
      </c>
      <c r="H22" s="356"/>
      <c r="I22" s="356"/>
      <c r="J22" s="356"/>
    </row>
    <row r="23" spans="1:10" s="42" customFormat="1" ht="15.75" customHeight="1">
      <c r="A23" s="262" t="s">
        <v>53</v>
      </c>
      <c r="B23" s="771" t="s">
        <v>54</v>
      </c>
      <c r="C23" s="771"/>
      <c r="D23" s="771"/>
      <c r="E23" s="771"/>
      <c r="F23" s="771"/>
      <c r="G23" s="351">
        <v>22</v>
      </c>
      <c r="H23" s="356"/>
      <c r="I23" s="356"/>
      <c r="J23" s="356"/>
    </row>
    <row r="24" spans="1:10" s="42" customFormat="1" ht="15.75" customHeight="1">
      <c r="A24" s="262" t="s">
        <v>55</v>
      </c>
      <c r="B24" s="771" t="s">
        <v>56</v>
      </c>
      <c r="C24" s="771"/>
      <c r="D24" s="771"/>
      <c r="E24" s="771"/>
      <c r="F24" s="771"/>
      <c r="G24" s="351">
        <v>23</v>
      </c>
      <c r="H24" s="356"/>
      <c r="I24" s="356"/>
      <c r="J24" s="356"/>
    </row>
    <row r="25" spans="1:10" s="42" customFormat="1" ht="15.75" customHeight="1">
      <c r="A25" s="262" t="s">
        <v>57</v>
      </c>
      <c r="B25" s="771" t="s">
        <v>58</v>
      </c>
      <c r="C25" s="771"/>
      <c r="D25" s="771"/>
      <c r="E25" s="771"/>
      <c r="F25" s="771"/>
      <c r="G25" s="352">
        <v>24</v>
      </c>
      <c r="H25" s="356"/>
      <c r="I25" s="356"/>
      <c r="J25" s="356"/>
    </row>
    <row r="26" spans="1:10" s="42" customFormat="1" ht="15.75" customHeight="1">
      <c r="A26" s="262" t="s">
        <v>59</v>
      </c>
      <c r="B26" s="771" t="s">
        <v>60</v>
      </c>
      <c r="C26" s="771"/>
      <c r="D26" s="771"/>
      <c r="E26" s="771"/>
      <c r="F26" s="771"/>
      <c r="G26" s="352">
        <v>25</v>
      </c>
      <c r="H26" s="356"/>
      <c r="I26" s="356"/>
      <c r="J26" s="356"/>
    </row>
    <row r="27" spans="1:10" s="42" customFormat="1" ht="15.75" customHeight="1">
      <c r="A27" s="262" t="s">
        <v>61</v>
      </c>
      <c r="B27" s="771" t="s">
        <v>62</v>
      </c>
      <c r="C27" s="771"/>
      <c r="D27" s="771"/>
      <c r="E27" s="771"/>
      <c r="F27" s="771"/>
      <c r="G27" s="352" t="s">
        <v>63</v>
      </c>
      <c r="H27" s="356"/>
      <c r="I27" s="356"/>
      <c r="J27" s="356"/>
    </row>
    <row r="28" spans="1:10" s="42" customFormat="1" ht="15.75" customHeight="1">
      <c r="A28" s="262" t="s">
        <v>64</v>
      </c>
      <c r="B28" s="771" t="s">
        <v>65</v>
      </c>
      <c r="C28" s="771"/>
      <c r="D28" s="771"/>
      <c r="E28" s="771"/>
      <c r="F28" s="771"/>
      <c r="G28" s="352" t="s">
        <v>66</v>
      </c>
      <c r="H28" s="356"/>
      <c r="I28" s="356"/>
      <c r="J28" s="356"/>
    </row>
    <row r="29" spans="1:10" s="42" customFormat="1" ht="15.75" customHeight="1">
      <c r="A29" s="262" t="s">
        <v>67</v>
      </c>
      <c r="B29" s="771" t="s">
        <v>68</v>
      </c>
      <c r="C29" s="771"/>
      <c r="D29" s="771"/>
      <c r="E29" s="771"/>
      <c r="F29" s="771"/>
      <c r="G29" s="352" t="s">
        <v>69</v>
      </c>
      <c r="H29" s="356"/>
      <c r="I29" s="356"/>
      <c r="J29" s="356"/>
    </row>
    <row r="30" spans="1:10" s="42" customFormat="1" ht="15.75" customHeight="1">
      <c r="A30" s="262" t="s">
        <v>70</v>
      </c>
      <c r="B30" s="257" t="s">
        <v>71</v>
      </c>
      <c r="C30" s="257"/>
      <c r="D30" s="257"/>
      <c r="E30" s="257"/>
      <c r="F30" s="257"/>
      <c r="G30" s="399">
        <v>27</v>
      </c>
      <c r="H30" s="356"/>
      <c r="I30" s="356"/>
      <c r="J30" s="511"/>
    </row>
    <row r="31" spans="1:10" s="42" customFormat="1" ht="15.75" customHeight="1">
      <c r="A31" s="254" t="s">
        <v>72</v>
      </c>
      <c r="B31" s="255" t="s">
        <v>17</v>
      </c>
      <c r="C31" s="255"/>
      <c r="D31" s="255"/>
      <c r="E31" s="255"/>
      <c r="F31" s="255"/>
      <c r="G31" s="256" t="s">
        <v>18</v>
      </c>
      <c r="H31" s="356"/>
      <c r="I31" s="356"/>
      <c r="J31" s="511"/>
    </row>
    <row r="32" spans="1:10" s="42" customFormat="1" ht="7.5" customHeight="1">
      <c r="A32" s="268"/>
      <c r="B32" s="257"/>
      <c r="C32" s="257"/>
      <c r="D32" s="257"/>
      <c r="E32" s="257"/>
      <c r="F32" s="257"/>
      <c r="G32" s="72"/>
      <c r="H32" s="356"/>
      <c r="I32" s="356"/>
      <c r="J32" s="356"/>
    </row>
    <row r="33" spans="1:8" s="42" customFormat="1" ht="16.5" customHeight="1">
      <c r="A33" s="262" t="s">
        <v>19</v>
      </c>
      <c r="B33" s="773" t="s">
        <v>73</v>
      </c>
      <c r="C33" s="773"/>
      <c r="D33" s="773"/>
      <c r="E33" s="773"/>
      <c r="F33" s="773"/>
      <c r="G33" s="72">
        <v>4</v>
      </c>
      <c r="H33" s="356"/>
    </row>
    <row r="34" spans="1:8" s="42" customFormat="1" ht="16.5" customHeight="1">
      <c r="A34" s="262" t="s">
        <v>21</v>
      </c>
      <c r="B34" s="770" t="s">
        <v>74</v>
      </c>
      <c r="C34" s="770"/>
      <c r="D34" s="770"/>
      <c r="E34" s="770"/>
      <c r="F34" s="770"/>
      <c r="G34" s="72">
        <v>5</v>
      </c>
      <c r="H34" s="356"/>
    </row>
    <row r="35" spans="1:8" s="42" customFormat="1" ht="30" customHeight="1">
      <c r="A35" s="512" t="s">
        <v>23</v>
      </c>
      <c r="B35" s="775" t="s">
        <v>75</v>
      </c>
      <c r="C35" s="775"/>
      <c r="D35" s="775"/>
      <c r="E35" s="775"/>
      <c r="F35" s="775"/>
      <c r="G35" s="72">
        <v>7</v>
      </c>
      <c r="H35" s="356"/>
    </row>
    <row r="36" spans="1:8" s="42" customFormat="1" ht="15.75" customHeight="1">
      <c r="A36" s="512" t="s">
        <v>25</v>
      </c>
      <c r="B36" s="769" t="s">
        <v>34</v>
      </c>
      <c r="C36" s="769"/>
      <c r="D36" s="769"/>
      <c r="E36" s="769"/>
      <c r="F36" s="769"/>
      <c r="G36" s="72">
        <v>11</v>
      </c>
      <c r="H36" s="510"/>
    </row>
    <row r="37" spans="1:8" s="42" customFormat="1" ht="15.75" customHeight="1">
      <c r="A37" s="512" t="s">
        <v>27</v>
      </c>
      <c r="B37" s="774" t="s">
        <v>76</v>
      </c>
      <c r="C37" s="774"/>
      <c r="D37" s="774"/>
      <c r="E37" s="774"/>
      <c r="F37" s="774"/>
      <c r="G37" s="72">
        <v>12</v>
      </c>
      <c r="H37" s="510"/>
    </row>
    <row r="38" spans="1:8" s="42" customFormat="1" ht="15.75" customHeight="1">
      <c r="A38" s="512" t="s">
        <v>29</v>
      </c>
      <c r="B38" s="774" t="s">
        <v>77</v>
      </c>
      <c r="C38" s="774"/>
      <c r="D38" s="774"/>
      <c r="E38" s="774"/>
      <c r="F38" s="774"/>
      <c r="G38" s="72">
        <v>13</v>
      </c>
      <c r="H38" s="356"/>
    </row>
    <row r="39" spans="1:8" s="42" customFormat="1" ht="15.75" customHeight="1">
      <c r="A39" s="512" t="s">
        <v>31</v>
      </c>
      <c r="B39" s="774" t="s">
        <v>78</v>
      </c>
      <c r="C39" s="774"/>
      <c r="D39" s="774"/>
      <c r="E39" s="774"/>
      <c r="F39" s="774"/>
      <c r="G39" s="72">
        <v>14</v>
      </c>
      <c r="H39" s="356"/>
    </row>
    <row r="40" spans="1:8" s="42" customFormat="1" ht="15.75" customHeight="1">
      <c r="A40" s="512" t="s">
        <v>33</v>
      </c>
      <c r="B40" s="771" t="s">
        <v>79</v>
      </c>
      <c r="C40" s="771"/>
      <c r="D40" s="771"/>
      <c r="E40" s="771"/>
      <c r="F40" s="771"/>
      <c r="G40" s="72">
        <v>16</v>
      </c>
      <c r="H40" s="356"/>
    </row>
    <row r="41" spans="1:8" s="42" customFormat="1" ht="15.75" customHeight="1">
      <c r="A41" s="512" t="s">
        <v>80</v>
      </c>
      <c r="B41" s="771" t="s">
        <v>81</v>
      </c>
      <c r="C41" s="771"/>
      <c r="D41" s="771"/>
      <c r="E41" s="771"/>
      <c r="F41" s="771"/>
      <c r="G41" s="72">
        <v>18</v>
      </c>
      <c r="H41" s="356"/>
    </row>
    <row r="42" spans="1:8" s="42" customFormat="1" ht="15.75" customHeight="1">
      <c r="A42" s="512" t="s">
        <v>82</v>
      </c>
      <c r="B42" s="775" t="s">
        <v>83</v>
      </c>
      <c r="C42" s="775"/>
      <c r="D42" s="775"/>
      <c r="E42" s="775"/>
      <c r="F42" s="775"/>
      <c r="G42" s="72">
        <v>20</v>
      </c>
      <c r="H42" s="356"/>
    </row>
    <row r="43" spans="1:8" s="42" customFormat="1" ht="15.75" customHeight="1">
      <c r="A43" s="512" t="s">
        <v>84</v>
      </c>
      <c r="B43" s="769" t="s">
        <v>85</v>
      </c>
      <c r="C43" s="769"/>
      <c r="D43" s="769"/>
      <c r="E43" s="769"/>
      <c r="F43" s="769"/>
      <c r="G43" s="72">
        <v>21</v>
      </c>
      <c r="H43" s="356"/>
    </row>
    <row r="44" spans="1:8" s="42" customFormat="1" ht="12" customHeight="1">
      <c r="A44" s="356"/>
      <c r="B44" s="356"/>
      <c r="C44" s="356"/>
      <c r="D44" s="356"/>
      <c r="E44" s="356"/>
      <c r="F44" s="356"/>
      <c r="G44" s="356"/>
      <c r="H44" s="356"/>
    </row>
    <row r="45" spans="1:8" ht="15" customHeight="1">
      <c r="A45" s="39"/>
      <c r="B45" s="39"/>
      <c r="C45" s="39"/>
      <c r="D45" s="39"/>
      <c r="E45" s="39"/>
      <c r="F45" s="39"/>
      <c r="G45" s="39"/>
      <c r="H45" s="39"/>
    </row>
    <row r="46" spans="1:8" ht="15" customHeight="1">
      <c r="A46" s="262"/>
      <c r="B46" s="772"/>
      <c r="C46" s="772"/>
      <c r="D46" s="772"/>
      <c r="E46" s="772"/>
      <c r="F46" s="772"/>
      <c r="G46" s="39"/>
      <c r="H46" s="39"/>
    </row>
    <row r="59" spans="1:8" ht="30" customHeight="1">
      <c r="A59" s="35"/>
      <c r="B59" s="39"/>
      <c r="C59" s="39"/>
      <c r="D59" s="39"/>
      <c r="E59" s="39"/>
      <c r="F59" s="39"/>
      <c r="G59" s="39"/>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B16" zoomScaleNormal="100" workbookViewId="0">
      <selection activeCell="K28" sqref="K28"/>
    </sheetView>
  </sheetViews>
  <sheetFormatPr baseColWidth="10" defaultColWidth="11.07421875" defaultRowHeight="15" customHeight="1"/>
  <cols>
    <col min="1" max="1" width="6" style="252" customWidth="1"/>
    <col min="2" max="6" width="9.84375" style="252" customWidth="1"/>
    <col min="7" max="7" width="6.23046875" style="263" customWidth="1"/>
    <col min="8" max="16384" width="11.07421875" style="252"/>
  </cols>
  <sheetData>
    <row r="1" spans="1:7" ht="15" customHeight="1">
      <c r="A1" s="776"/>
      <c r="B1" s="776"/>
      <c r="C1" s="776"/>
      <c r="D1" s="776"/>
      <c r="E1" s="776"/>
      <c r="F1" s="776"/>
      <c r="G1" s="776"/>
    </row>
    <row r="2" spans="1:7" s="253" customFormat="1" ht="15" customHeight="1">
      <c r="A2" s="776" t="s">
        <v>355</v>
      </c>
      <c r="B2" s="776"/>
      <c r="C2" s="776"/>
      <c r="D2" s="776"/>
      <c r="E2" s="776"/>
      <c r="F2" s="776"/>
      <c r="G2" s="776"/>
    </row>
    <row r="3" spans="1:7" s="253" customFormat="1" ht="15" customHeight="1">
      <c r="A3" s="776" t="s">
        <v>356</v>
      </c>
      <c r="B3" s="776"/>
      <c r="C3" s="776"/>
      <c r="D3" s="776"/>
      <c r="E3" s="776"/>
      <c r="F3" s="776"/>
      <c r="G3" s="776"/>
    </row>
    <row r="4" spans="1:7" s="253" customFormat="1" ht="15" customHeight="1">
      <c r="A4" s="776"/>
      <c r="B4" s="776"/>
      <c r="C4" s="776"/>
      <c r="D4" s="776"/>
      <c r="E4" s="776"/>
      <c r="F4" s="776"/>
      <c r="G4" s="776"/>
    </row>
    <row r="5" spans="1:7" s="253" customFormat="1" ht="15" customHeight="1">
      <c r="A5" s="254" t="s">
        <v>16</v>
      </c>
      <c r="B5" s="255" t="s">
        <v>17</v>
      </c>
      <c r="C5" s="255"/>
      <c r="D5" s="255"/>
      <c r="E5" s="255"/>
      <c r="F5" s="255"/>
      <c r="G5" s="256" t="s">
        <v>18</v>
      </c>
    </row>
    <row r="6" spans="1:7" s="253" customFormat="1" ht="15" customHeight="1">
      <c r="A6" s="257"/>
      <c r="B6" s="257"/>
      <c r="C6" s="257"/>
      <c r="D6" s="257"/>
      <c r="E6" s="257"/>
      <c r="F6" s="257"/>
      <c r="G6" s="72"/>
    </row>
    <row r="7" spans="1:7" s="253" customFormat="1" ht="15.75" customHeight="1">
      <c r="A7" s="265" t="s">
        <v>19</v>
      </c>
      <c r="B7" s="908" t="s">
        <v>357</v>
      </c>
      <c r="C7" s="908"/>
      <c r="D7" s="908"/>
      <c r="E7" s="908"/>
      <c r="F7" s="908"/>
      <c r="G7" s="354">
        <v>28</v>
      </c>
    </row>
    <row r="8" spans="1:7" s="253" customFormat="1" ht="15.75" customHeight="1">
      <c r="A8" s="265" t="s">
        <v>21</v>
      </c>
      <c r="B8" s="907" t="s">
        <v>358</v>
      </c>
      <c r="C8" s="907"/>
      <c r="D8" s="907"/>
      <c r="E8" s="907"/>
      <c r="F8" s="907"/>
      <c r="G8" s="354">
        <v>29</v>
      </c>
    </row>
    <row r="9" spans="1:7" s="253" customFormat="1" ht="15.75" customHeight="1">
      <c r="A9" s="265" t="s">
        <v>23</v>
      </c>
      <c r="B9" s="907" t="s">
        <v>359</v>
      </c>
      <c r="C9" s="907"/>
      <c r="D9" s="907"/>
      <c r="E9" s="907"/>
      <c r="F9" s="907"/>
      <c r="G9" s="354">
        <v>30</v>
      </c>
    </row>
    <row r="10" spans="1:7" s="253" customFormat="1" ht="30" customHeight="1">
      <c r="A10" s="265" t="s">
        <v>25</v>
      </c>
      <c r="B10" s="907" t="s">
        <v>360</v>
      </c>
      <c r="C10" s="907"/>
      <c r="D10" s="907"/>
      <c r="E10" s="907"/>
      <c r="F10" s="907"/>
      <c r="G10" s="354">
        <v>31</v>
      </c>
    </row>
    <row r="11" spans="1:7" s="253" customFormat="1" ht="30" customHeight="1">
      <c r="A11" s="265" t="s">
        <v>27</v>
      </c>
      <c r="B11" s="907" t="s">
        <v>361</v>
      </c>
      <c r="C11" s="907"/>
      <c r="D11" s="907"/>
      <c r="E11" s="907"/>
      <c r="F11" s="907"/>
      <c r="G11" s="354">
        <v>32</v>
      </c>
    </row>
    <row r="12" spans="1:7" s="253" customFormat="1" ht="30" customHeight="1">
      <c r="A12" s="265" t="s">
        <v>29</v>
      </c>
      <c r="B12" s="907" t="s">
        <v>362</v>
      </c>
      <c r="C12" s="907"/>
      <c r="D12" s="907"/>
      <c r="E12" s="907"/>
      <c r="F12" s="907"/>
      <c r="G12" s="354">
        <v>33</v>
      </c>
    </row>
    <row r="13" spans="1:7" s="253" customFormat="1" ht="15" customHeight="1">
      <c r="A13" s="265" t="s">
        <v>31</v>
      </c>
      <c r="B13" s="907" t="s">
        <v>363</v>
      </c>
      <c r="C13" s="907"/>
      <c r="D13" s="907"/>
      <c r="E13" s="907"/>
      <c r="F13" s="907"/>
      <c r="G13" s="354">
        <v>34</v>
      </c>
    </row>
    <row r="14" spans="1:7" s="253" customFormat="1" ht="15" customHeight="1">
      <c r="A14" s="265" t="s">
        <v>33</v>
      </c>
      <c r="B14" s="907" t="s">
        <v>364</v>
      </c>
      <c r="C14" s="907"/>
      <c r="D14" s="907"/>
      <c r="E14" s="907"/>
      <c r="F14" s="907"/>
      <c r="G14" s="354">
        <v>35</v>
      </c>
    </row>
    <row r="15" spans="1:7" s="253" customFormat="1" ht="15" customHeight="1">
      <c r="A15" s="265" t="s">
        <v>80</v>
      </c>
      <c r="B15" s="910" t="s">
        <v>365</v>
      </c>
      <c r="C15" s="910"/>
      <c r="D15" s="910"/>
      <c r="E15" s="910"/>
      <c r="F15" s="910"/>
      <c r="G15" s="354">
        <v>36</v>
      </c>
    </row>
    <row r="16" spans="1:7" s="253" customFormat="1" ht="15" customHeight="1">
      <c r="A16" s="265" t="s">
        <v>82</v>
      </c>
      <c r="B16" s="908" t="s">
        <v>366</v>
      </c>
      <c r="C16" s="908"/>
      <c r="D16" s="908"/>
      <c r="E16" s="908"/>
      <c r="F16" s="908"/>
      <c r="G16" s="354">
        <v>37</v>
      </c>
    </row>
    <row r="17" spans="1:7" s="253" customFormat="1" ht="15" customHeight="1">
      <c r="A17" s="265" t="s">
        <v>84</v>
      </c>
      <c r="B17" s="910" t="s">
        <v>367</v>
      </c>
      <c r="C17" s="910"/>
      <c r="D17" s="910"/>
      <c r="E17" s="910"/>
      <c r="F17" s="910"/>
      <c r="G17" s="354">
        <v>38</v>
      </c>
    </row>
    <row r="18" spans="1:7" s="253" customFormat="1" ht="15" customHeight="1">
      <c r="A18" s="265" t="s">
        <v>368</v>
      </c>
      <c r="B18" s="907" t="s">
        <v>369</v>
      </c>
      <c r="C18" s="907"/>
      <c r="D18" s="907"/>
      <c r="E18" s="907"/>
      <c r="F18" s="907"/>
      <c r="G18" s="354">
        <v>39</v>
      </c>
    </row>
    <row r="19" spans="1:7" s="253" customFormat="1" ht="15" customHeight="1">
      <c r="A19" s="265" t="s">
        <v>370</v>
      </c>
      <c r="B19" s="907" t="s">
        <v>371</v>
      </c>
      <c r="C19" s="907"/>
      <c r="D19" s="907"/>
      <c r="E19" s="907"/>
      <c r="F19" s="907"/>
      <c r="G19" s="354">
        <v>40</v>
      </c>
    </row>
    <row r="20" spans="1:7" s="253" customFormat="1" ht="15" customHeight="1">
      <c r="A20" s="265" t="s">
        <v>372</v>
      </c>
      <c r="B20" s="907" t="s">
        <v>50</v>
      </c>
      <c r="C20" s="907"/>
      <c r="D20" s="907"/>
      <c r="E20" s="907"/>
      <c r="F20" s="907"/>
      <c r="G20" s="354">
        <v>41</v>
      </c>
    </row>
    <row r="21" spans="1:7" s="253" customFormat="1" ht="15" customHeight="1">
      <c r="A21" s="265" t="s">
        <v>373</v>
      </c>
      <c r="B21" s="907" t="s">
        <v>374</v>
      </c>
      <c r="C21" s="907"/>
      <c r="D21" s="907"/>
      <c r="E21" s="907"/>
      <c r="F21" s="907"/>
      <c r="G21" s="354">
        <v>42</v>
      </c>
    </row>
    <row r="22" spans="1:7" s="253" customFormat="1" ht="15" customHeight="1">
      <c r="A22" s="258"/>
      <c r="B22" s="258"/>
      <c r="C22" s="258"/>
      <c r="D22" s="258"/>
      <c r="E22" s="258"/>
      <c r="F22" s="258"/>
      <c r="G22" s="266"/>
    </row>
    <row r="23" spans="1:7" s="253" customFormat="1" ht="15" customHeight="1">
      <c r="A23" s="259" t="s">
        <v>375</v>
      </c>
      <c r="B23" s="259" t="s">
        <v>17</v>
      </c>
      <c r="C23" s="259"/>
      <c r="D23" s="259"/>
      <c r="E23" s="259"/>
      <c r="F23" s="259"/>
      <c r="G23" s="355" t="s">
        <v>18</v>
      </c>
    </row>
    <row r="24" spans="1:7" s="253" customFormat="1" ht="15" customHeight="1">
      <c r="A24" s="268"/>
      <c r="B24" s="258"/>
      <c r="C24" s="258"/>
      <c r="D24" s="258"/>
      <c r="E24" s="258"/>
      <c r="F24" s="258"/>
      <c r="G24" s="72"/>
    </row>
    <row r="25" spans="1:7" s="253" customFormat="1" ht="15.75" customHeight="1">
      <c r="A25" s="262" t="s">
        <v>19</v>
      </c>
      <c r="B25" s="908" t="s">
        <v>376</v>
      </c>
      <c r="C25" s="908"/>
      <c r="D25" s="908"/>
      <c r="E25" s="908"/>
      <c r="F25" s="908"/>
      <c r="G25" s="354">
        <v>28</v>
      </c>
    </row>
    <row r="26" spans="1:7" s="253" customFormat="1" ht="15.75" customHeight="1">
      <c r="A26" s="262" t="s">
        <v>21</v>
      </c>
      <c r="B26" s="907" t="s">
        <v>377</v>
      </c>
      <c r="C26" s="907"/>
      <c r="D26" s="907"/>
      <c r="E26" s="907"/>
      <c r="F26" s="907"/>
      <c r="G26" s="354">
        <v>29</v>
      </c>
    </row>
    <row r="27" spans="1:7" s="253" customFormat="1" ht="30" customHeight="1">
      <c r="A27" s="262" t="s">
        <v>23</v>
      </c>
      <c r="B27" s="907" t="s">
        <v>378</v>
      </c>
      <c r="C27" s="907"/>
      <c r="D27" s="907"/>
      <c r="E27" s="907"/>
      <c r="F27" s="907"/>
      <c r="G27" s="354">
        <v>31</v>
      </c>
    </row>
    <row r="28" spans="1:7" s="253" customFormat="1" ht="15.75" customHeight="1">
      <c r="A28" s="552" t="s">
        <v>25</v>
      </c>
      <c r="B28" s="907" t="s">
        <v>379</v>
      </c>
      <c r="C28" s="907"/>
      <c r="D28" s="907"/>
      <c r="E28" s="907"/>
      <c r="F28" s="907"/>
      <c r="G28" s="354">
        <v>35</v>
      </c>
    </row>
    <row r="29" spans="1:7" s="253" customFormat="1" ht="15.75" customHeight="1">
      <c r="A29" s="552" t="s">
        <v>27</v>
      </c>
      <c r="B29" s="910" t="s">
        <v>380</v>
      </c>
      <c r="C29" s="910"/>
      <c r="D29" s="910"/>
      <c r="E29" s="910"/>
      <c r="F29" s="910"/>
      <c r="G29" s="354">
        <v>36</v>
      </c>
    </row>
    <row r="30" spans="1:7" s="253" customFormat="1" ht="15.75" customHeight="1">
      <c r="A30" s="552" t="s">
        <v>29</v>
      </c>
      <c r="B30" s="910" t="s">
        <v>381</v>
      </c>
      <c r="C30" s="910"/>
      <c r="D30" s="910"/>
      <c r="E30" s="910"/>
      <c r="F30" s="910"/>
      <c r="G30" s="354">
        <v>37</v>
      </c>
    </row>
    <row r="31" spans="1:7" s="253" customFormat="1" ht="15.75" customHeight="1">
      <c r="A31" s="552" t="s">
        <v>31</v>
      </c>
      <c r="B31" s="910" t="s">
        <v>367</v>
      </c>
      <c r="C31" s="910"/>
      <c r="D31" s="910"/>
      <c r="E31" s="910"/>
      <c r="F31" s="910"/>
      <c r="G31" s="354">
        <v>38</v>
      </c>
    </row>
    <row r="32" spans="1:7" s="253" customFormat="1" ht="15.75" customHeight="1">
      <c r="A32" s="552" t="s">
        <v>33</v>
      </c>
      <c r="B32" s="771" t="s">
        <v>369</v>
      </c>
      <c r="C32" s="771"/>
      <c r="D32" s="771"/>
      <c r="E32" s="771"/>
      <c r="F32" s="771"/>
      <c r="G32" s="354">
        <v>39</v>
      </c>
    </row>
    <row r="33" spans="1:7" s="253" customFormat="1" ht="15.75" customHeight="1">
      <c r="A33" s="552" t="s">
        <v>80</v>
      </c>
      <c r="B33" s="907" t="s">
        <v>382</v>
      </c>
      <c r="C33" s="907"/>
      <c r="D33" s="907"/>
      <c r="E33" s="907"/>
      <c r="F33" s="907"/>
      <c r="G33" s="354">
        <v>40</v>
      </c>
    </row>
    <row r="34" spans="1:7" s="253" customFormat="1" ht="30" customHeight="1">
      <c r="A34" s="552" t="s">
        <v>82</v>
      </c>
      <c r="B34" s="907" t="s">
        <v>383</v>
      </c>
      <c r="C34" s="907"/>
      <c r="D34" s="907"/>
      <c r="E34" s="907"/>
      <c r="F34" s="907"/>
      <c r="G34" s="354">
        <v>42</v>
      </c>
    </row>
    <row r="35" spans="1:7" s="253" customFormat="1" ht="15.75" customHeight="1">
      <c r="A35" s="552" t="s">
        <v>84</v>
      </c>
      <c r="B35" s="908" t="s">
        <v>384</v>
      </c>
      <c r="C35" s="908"/>
      <c r="D35" s="908"/>
      <c r="E35" s="908"/>
      <c r="F35" s="908"/>
      <c r="G35" s="354">
        <v>43</v>
      </c>
    </row>
    <row r="36" spans="1:7" s="253" customFormat="1" ht="15" customHeight="1">
      <c r="A36" s="260"/>
      <c r="B36" s="361"/>
      <c r="C36" s="361"/>
      <c r="D36" s="361"/>
      <c r="E36" s="361"/>
      <c r="F36" s="361"/>
      <c r="G36" s="553"/>
    </row>
    <row r="37" spans="1:7" s="253" customFormat="1" ht="12" customHeight="1">
      <c r="A37" s="260"/>
      <c r="B37" s="361"/>
      <c r="C37" s="361"/>
      <c r="D37" s="361"/>
      <c r="E37" s="361"/>
      <c r="F37" s="361"/>
      <c r="G37" s="554"/>
    </row>
    <row r="38" spans="1:7" s="253" customFormat="1" ht="12" customHeight="1">
      <c r="A38" s="260"/>
      <c r="B38" s="361"/>
      <c r="C38" s="361"/>
      <c r="D38" s="361"/>
      <c r="E38" s="361"/>
      <c r="F38" s="361"/>
      <c r="G38" s="554"/>
    </row>
    <row r="39" spans="1:7" s="253" customFormat="1" ht="12" customHeight="1">
      <c r="A39" s="261"/>
      <c r="B39" s="361"/>
      <c r="C39" s="361"/>
      <c r="D39" s="361"/>
      <c r="E39" s="361"/>
      <c r="F39" s="361"/>
      <c r="G39" s="554"/>
    </row>
    <row r="40" spans="1:7" s="253" customFormat="1" ht="12" customHeight="1">
      <c r="A40" s="361"/>
      <c r="B40" s="102"/>
      <c r="C40" s="361"/>
      <c r="D40" s="361"/>
      <c r="E40" s="361"/>
      <c r="F40" s="361"/>
      <c r="G40" s="554"/>
    </row>
    <row r="42" spans="1:7" ht="15" customHeight="1">
      <c r="A42" s="262"/>
      <c r="B42" s="909"/>
      <c r="C42" s="909"/>
      <c r="D42" s="909"/>
      <c r="E42" s="909"/>
      <c r="F42" s="909"/>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zoomScaleNormal="100" workbookViewId="0">
      <selection activeCell="L15" sqref="L15"/>
    </sheetView>
  </sheetViews>
  <sheetFormatPr baseColWidth="10" defaultColWidth="10.921875" defaultRowHeight="11.4"/>
  <cols>
    <col min="1" max="2" width="0.84375" style="1" customWidth="1"/>
    <col min="3" max="8" width="10.07421875" style="1" customWidth="1"/>
    <col min="9" max="9" width="1.3828125" style="21" customWidth="1"/>
    <col min="10" max="15" width="10.921875" style="21" customWidth="1"/>
    <col min="16" max="19" width="10.921875" style="21"/>
    <col min="20" max="16384" width="10.921875" style="1"/>
  </cols>
  <sheetData>
    <row r="1" spans="3:19" s="15" customFormat="1" ht="13.2">
      <c r="C1" s="766" t="s">
        <v>86</v>
      </c>
      <c r="D1" s="766"/>
      <c r="E1" s="766"/>
      <c r="F1" s="766"/>
      <c r="G1" s="766"/>
      <c r="H1" s="766"/>
      <c r="I1" s="518"/>
      <c r="J1" s="518"/>
      <c r="K1" s="518"/>
      <c r="L1" s="518"/>
      <c r="M1" s="518"/>
      <c r="N1" s="518"/>
      <c r="O1" s="518"/>
      <c r="P1" s="518"/>
      <c r="Q1" s="518"/>
      <c r="R1" s="518"/>
      <c r="S1" s="518"/>
    </row>
    <row r="2" spans="3:19" s="15" customFormat="1" ht="13.2">
      <c r="C2" s="17"/>
      <c r="D2" s="17"/>
      <c r="E2" s="17"/>
      <c r="F2" s="17"/>
      <c r="G2" s="17"/>
      <c r="H2" s="17"/>
      <c r="I2" s="518"/>
      <c r="J2" s="518"/>
      <c r="K2" s="518"/>
      <c r="L2" s="518"/>
      <c r="M2" s="518"/>
      <c r="N2" s="518"/>
      <c r="O2" s="518"/>
      <c r="P2" s="518"/>
      <c r="Q2" s="518"/>
      <c r="R2" s="518"/>
      <c r="S2" s="518"/>
    </row>
    <row r="3" spans="3:19" s="15" customFormat="1" ht="13.8" customHeight="1">
      <c r="C3" s="857" t="s">
        <v>736</v>
      </c>
      <c r="D3" s="857"/>
      <c r="E3" s="857"/>
      <c r="F3" s="857"/>
      <c r="G3" s="857"/>
      <c r="H3" s="857"/>
      <c r="I3" s="518"/>
      <c r="J3" s="518"/>
      <c r="K3" s="518"/>
      <c r="L3" s="518"/>
      <c r="M3" s="518"/>
      <c r="N3" s="518"/>
      <c r="O3" s="518"/>
      <c r="P3" s="518"/>
      <c r="Q3" s="518"/>
      <c r="R3" s="518"/>
      <c r="S3" s="518"/>
    </row>
    <row r="4" spans="3:19" s="15" customFormat="1" ht="13.2">
      <c r="C4" s="766" t="s">
        <v>87</v>
      </c>
      <c r="D4" s="766"/>
      <c r="E4" s="766"/>
      <c r="F4" s="766"/>
      <c r="G4" s="766"/>
      <c r="H4" s="766"/>
      <c r="I4" s="519"/>
      <c r="J4" s="518"/>
      <c r="K4" s="518"/>
      <c r="L4" s="518"/>
      <c r="M4" s="518"/>
      <c r="N4" s="518"/>
      <c r="O4" s="518"/>
      <c r="P4" s="518"/>
      <c r="Q4" s="518"/>
      <c r="R4" s="518"/>
      <c r="S4" s="518"/>
    </row>
    <row r="5" spans="3:19" s="22" customFormat="1" ht="30" customHeight="1">
      <c r="C5" s="103" t="s">
        <v>88</v>
      </c>
      <c r="D5" s="103" t="s">
        <v>385</v>
      </c>
      <c r="E5" s="103" t="s">
        <v>90</v>
      </c>
      <c r="F5" s="103" t="s">
        <v>91</v>
      </c>
      <c r="G5" s="103" t="s">
        <v>92</v>
      </c>
      <c r="H5" s="103" t="s">
        <v>386</v>
      </c>
      <c r="I5" s="20"/>
      <c r="J5" s="518"/>
      <c r="K5" s="104"/>
      <c r="L5" s="20"/>
      <c r="M5" s="20"/>
      <c r="N5" s="20"/>
      <c r="O5" s="20"/>
      <c r="P5" s="20"/>
      <c r="Q5" s="20"/>
      <c r="R5" s="20"/>
      <c r="S5" s="20"/>
    </row>
    <row r="6" spans="3:19" s="22" customFormat="1" ht="15.75" customHeight="1">
      <c r="C6" s="683">
        <v>44682</v>
      </c>
      <c r="D6" s="316">
        <v>309.39</v>
      </c>
      <c r="E6" s="316">
        <v>1180.72</v>
      </c>
      <c r="F6" s="690">
        <v>1184.97</v>
      </c>
      <c r="G6" s="690">
        <v>182.7</v>
      </c>
      <c r="H6" s="690">
        <v>305.13</v>
      </c>
      <c r="I6" s="20"/>
      <c r="K6" s="404"/>
      <c r="L6" s="105"/>
      <c r="M6" s="20"/>
      <c r="N6" s="105"/>
      <c r="O6" s="20"/>
      <c r="P6" s="20"/>
      <c r="Q6" s="20"/>
      <c r="R6" s="20"/>
      <c r="S6" s="20"/>
    </row>
    <row r="7" spans="3:19" s="22" customFormat="1" ht="15.75" customHeight="1">
      <c r="C7" s="683">
        <v>44713</v>
      </c>
      <c r="D7" s="316">
        <v>310.92</v>
      </c>
      <c r="E7" s="316">
        <v>1185.81</v>
      </c>
      <c r="F7" s="316">
        <v>1186.28</v>
      </c>
      <c r="G7" s="316">
        <v>182.67</v>
      </c>
      <c r="H7" s="316">
        <v>310.45</v>
      </c>
      <c r="I7" s="97"/>
      <c r="J7" s="22" t="s">
        <v>690</v>
      </c>
      <c r="K7" s="404"/>
      <c r="L7" s="106"/>
      <c r="M7" s="106"/>
      <c r="N7" s="106"/>
      <c r="O7" s="107"/>
      <c r="R7" s="108"/>
      <c r="S7" s="20"/>
    </row>
    <row r="8" spans="3:19" s="22" customFormat="1" ht="15.75" customHeight="1">
      <c r="C8" s="683">
        <v>44743</v>
      </c>
      <c r="E8" s="316"/>
      <c r="F8" s="316"/>
      <c r="G8" s="316"/>
      <c r="H8" s="316"/>
      <c r="J8" s="181" t="s">
        <v>690</v>
      </c>
      <c r="K8" s="97"/>
      <c r="L8" s="106"/>
      <c r="M8" s="106"/>
      <c r="N8" s="106"/>
      <c r="O8" s="107"/>
      <c r="R8" s="109"/>
      <c r="S8" s="20"/>
    </row>
    <row r="9" spans="3:19" s="22" customFormat="1" ht="15.75" customHeight="1">
      <c r="C9" s="683">
        <v>44774</v>
      </c>
      <c r="D9" s="316"/>
      <c r="E9" s="316"/>
      <c r="F9" s="316"/>
      <c r="G9" s="316"/>
      <c r="H9" s="316"/>
      <c r="I9" s="105"/>
      <c r="K9" s="104"/>
      <c r="L9" s="105"/>
      <c r="M9" s="110"/>
      <c r="N9" s="105"/>
      <c r="O9" s="20"/>
      <c r="P9" s="20"/>
      <c r="Q9" s="20"/>
      <c r="R9" s="20"/>
      <c r="S9" s="20"/>
    </row>
    <row r="10" spans="3:19" s="22" customFormat="1" ht="15.75" customHeight="1">
      <c r="C10" s="683">
        <v>44805</v>
      </c>
      <c r="D10" s="316"/>
      <c r="E10" s="316"/>
      <c r="F10" s="316"/>
      <c r="G10" s="316"/>
      <c r="H10" s="316"/>
      <c r="I10" s="111"/>
      <c r="J10" s="95"/>
      <c r="K10" s="112"/>
      <c r="L10" s="112"/>
      <c r="M10" s="112"/>
      <c r="N10" s="112"/>
      <c r="O10" s="112"/>
      <c r="P10" s="105"/>
      <c r="Q10" s="20"/>
      <c r="R10" s="20"/>
      <c r="S10" s="20"/>
    </row>
    <row r="11" spans="3:19" s="22" customFormat="1" ht="15.75" customHeight="1">
      <c r="C11" s="683">
        <v>44835</v>
      </c>
      <c r="D11" s="147"/>
      <c r="E11" s="316"/>
      <c r="F11" s="316"/>
      <c r="G11" s="147"/>
      <c r="H11" s="147"/>
      <c r="I11" s="97"/>
      <c r="K11" s="112"/>
      <c r="L11" s="112"/>
      <c r="M11" s="112"/>
      <c r="N11" s="112"/>
      <c r="O11" s="112"/>
      <c r="P11" s="20"/>
      <c r="Q11" s="20"/>
      <c r="R11" s="20"/>
      <c r="S11" s="20"/>
    </row>
    <row r="12" spans="3:19" s="22" customFormat="1" ht="15.75" customHeight="1">
      <c r="C12" s="683">
        <v>44866</v>
      </c>
      <c r="D12" s="147"/>
      <c r="E12" s="580"/>
      <c r="F12" s="580"/>
      <c r="G12" s="147"/>
      <c r="H12" s="147"/>
      <c r="I12" s="105"/>
      <c r="J12" s="555"/>
      <c r="K12" s="104"/>
      <c r="L12" s="20"/>
      <c r="M12" s="20"/>
      <c r="N12" s="20"/>
      <c r="O12" s="20"/>
      <c r="P12" s="20"/>
      <c r="Q12" s="20"/>
      <c r="R12" s="20"/>
      <c r="S12" s="20"/>
    </row>
    <row r="13" spans="3:19" s="22" customFormat="1" ht="15.75" customHeight="1">
      <c r="C13" s="683">
        <v>44896</v>
      </c>
      <c r="D13" s="316"/>
      <c r="E13" s="316"/>
      <c r="F13" s="316"/>
      <c r="G13" s="316"/>
      <c r="H13" s="316"/>
      <c r="I13" s="105"/>
      <c r="J13" s="555"/>
      <c r="K13" s="104"/>
      <c r="L13" s="20"/>
      <c r="M13" s="20"/>
      <c r="N13" s="20"/>
      <c r="O13" s="20"/>
      <c r="P13" s="20"/>
      <c r="Q13" s="20"/>
      <c r="R13" s="20"/>
      <c r="S13" s="20"/>
    </row>
    <row r="14" spans="3:19" s="22" customFormat="1" ht="15.75" customHeight="1">
      <c r="C14" s="683">
        <v>44927</v>
      </c>
      <c r="D14" s="316"/>
      <c r="E14" s="316"/>
      <c r="F14" s="316"/>
      <c r="G14" s="316"/>
      <c r="H14" s="316"/>
      <c r="I14" s="105"/>
      <c r="J14" s="555"/>
      <c r="K14" s="104"/>
      <c r="L14" s="20"/>
      <c r="M14" s="105"/>
      <c r="N14" s="20"/>
      <c r="O14" s="20"/>
      <c r="P14" s="20"/>
      <c r="Q14" s="20"/>
      <c r="R14" s="20"/>
      <c r="S14" s="20"/>
    </row>
    <row r="15" spans="3:19" s="22" customFormat="1" ht="15.75" customHeight="1">
      <c r="C15" s="683">
        <v>44958</v>
      </c>
      <c r="D15" s="316"/>
      <c r="E15" s="316"/>
      <c r="F15" s="316"/>
      <c r="G15" s="316"/>
      <c r="H15" s="316"/>
      <c r="I15" s="20"/>
      <c r="J15" s="555"/>
      <c r="K15" s="113"/>
      <c r="L15" s="20"/>
      <c r="M15" s="20"/>
      <c r="N15" s="20"/>
      <c r="O15" s="20"/>
      <c r="P15" s="20"/>
      <c r="Q15" s="20"/>
      <c r="R15" s="20"/>
      <c r="S15" s="20"/>
    </row>
    <row r="16" spans="3:19" s="22" customFormat="1" ht="15.75" customHeight="1">
      <c r="C16" s="683">
        <v>44986</v>
      </c>
      <c r="D16" s="316"/>
      <c r="E16" s="316"/>
      <c r="F16" s="316"/>
      <c r="G16" s="316"/>
      <c r="H16" s="316"/>
      <c r="I16" s="114"/>
      <c r="J16" s="555"/>
      <c r="K16" s="113"/>
      <c r="L16" s="20"/>
      <c r="M16" s="105"/>
      <c r="N16" s="105"/>
      <c r="O16" s="105"/>
      <c r="P16" s="20"/>
      <c r="Q16" s="20"/>
      <c r="R16" s="20"/>
      <c r="S16" s="20"/>
    </row>
    <row r="17" spans="3:19" s="22" customFormat="1" ht="15.75" customHeight="1">
      <c r="C17" s="683">
        <v>45017</v>
      </c>
      <c r="D17" s="316"/>
      <c r="E17" s="316"/>
      <c r="F17" s="316"/>
      <c r="G17" s="316"/>
      <c r="H17" s="316"/>
      <c r="I17" s="114"/>
      <c r="J17" s="114"/>
      <c r="K17" s="114"/>
      <c r="L17" s="114"/>
      <c r="M17" s="114"/>
      <c r="N17" s="105"/>
      <c r="O17" s="20"/>
      <c r="P17" s="20"/>
      <c r="Q17" s="20"/>
      <c r="R17" s="20"/>
      <c r="S17" s="20"/>
    </row>
    <row r="18" spans="3:19" s="22" customFormat="1" ht="26.25" customHeight="1">
      <c r="C18" s="846" t="s">
        <v>124</v>
      </c>
      <c r="D18" s="846"/>
      <c r="E18" s="846"/>
      <c r="F18" s="846"/>
      <c r="G18" s="846"/>
      <c r="H18" s="846"/>
      <c r="K18" s="20"/>
      <c r="L18" s="20"/>
      <c r="M18" s="20"/>
      <c r="N18" s="20"/>
      <c r="O18" s="20"/>
      <c r="P18" s="20"/>
      <c r="Q18" s="20"/>
      <c r="R18" s="20"/>
      <c r="S18" s="20"/>
    </row>
    <row r="19" spans="3:19" ht="15" customHeight="1">
      <c r="I19" s="22"/>
    </row>
    <row r="20" spans="3:19" ht="10.050000000000001" customHeight="1">
      <c r="I20" s="22"/>
    </row>
    <row r="21" spans="3:19" ht="15" customHeight="1">
      <c r="I21" s="22"/>
    </row>
    <row r="22" spans="3:19" ht="15" customHeight="1">
      <c r="I22" s="22"/>
    </row>
    <row r="23" spans="3:19" ht="15" customHeight="1">
      <c r="I23" s="22"/>
    </row>
    <row r="24" spans="3:19" ht="15" customHeight="1">
      <c r="I24" s="22"/>
    </row>
    <row r="25" spans="3:19" ht="15" customHeight="1">
      <c r="I25" s="22"/>
    </row>
    <row r="26" spans="3:19" ht="15" customHeight="1">
      <c r="I26" s="22"/>
    </row>
    <row r="27" spans="3:19" ht="15" customHeight="1">
      <c r="I27" s="115"/>
    </row>
    <row r="28" spans="3:19" ht="15" customHeight="1">
      <c r="I28" s="518"/>
    </row>
    <row r="29" spans="3:19" ht="15" customHeight="1"/>
    <row r="30" spans="3:19" ht="15" customHeight="1"/>
    <row r="31" spans="3:19" ht="14.25" customHeight="1">
      <c r="L31" s="116"/>
    </row>
    <row r="32" spans="3:19" ht="23.25" customHeight="1"/>
    <row r="33" spans="3:8">
      <c r="C33" s="846" t="s">
        <v>109</v>
      </c>
      <c r="D33" s="846"/>
      <c r="E33" s="846"/>
      <c r="F33" s="846"/>
      <c r="G33" s="846"/>
      <c r="H33" s="846"/>
    </row>
    <row r="34" spans="3:8" ht="15.9" customHeight="1">
      <c r="C34" s="781"/>
      <c r="D34" s="781"/>
      <c r="E34" s="781"/>
      <c r="F34" s="781"/>
      <c r="G34" s="781"/>
      <c r="H34" s="781"/>
    </row>
    <row r="36" spans="3:8" ht="15.6" customHeight="1">
      <c r="C36" s="780"/>
      <c r="D36" s="780"/>
      <c r="E36" s="780"/>
      <c r="F36" s="780"/>
      <c r="G36" s="780"/>
      <c r="H36" s="780"/>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6"/>
  <sheetViews>
    <sheetView zoomScaleNormal="100" workbookViewId="0">
      <selection activeCell="I11" sqref="I11"/>
    </sheetView>
  </sheetViews>
  <sheetFormatPr baseColWidth="10" defaultColWidth="10.921875" defaultRowHeight="11.4"/>
  <cols>
    <col min="1" max="1" width="0.765625" style="1" customWidth="1"/>
    <col min="2" max="2" width="12.3828125" style="1" customWidth="1"/>
    <col min="3" max="6" width="10.07421875" style="1" customWidth="1"/>
    <col min="7" max="7" width="10.69140625" style="1" customWidth="1"/>
    <col min="8" max="13" width="10.921875" style="62" customWidth="1"/>
    <col min="14" max="18" width="10.921875" style="62"/>
    <col min="19" max="16384" width="10.921875" style="1"/>
  </cols>
  <sheetData>
    <row r="1" spans="2:18" s="15" customFormat="1" ht="13.2">
      <c r="B1" s="766" t="s">
        <v>96</v>
      </c>
      <c r="C1" s="766"/>
      <c r="D1" s="766"/>
      <c r="E1" s="766"/>
      <c r="F1" s="766"/>
      <c r="G1" s="766"/>
      <c r="H1" s="60"/>
      <c r="I1" s="60"/>
      <c r="J1" s="60"/>
      <c r="K1" s="60"/>
      <c r="L1" s="60"/>
      <c r="M1" s="60"/>
      <c r="N1" s="60"/>
      <c r="O1" s="60"/>
      <c r="P1" s="60"/>
      <c r="Q1" s="60"/>
      <c r="R1" s="60"/>
    </row>
    <row r="2" spans="2:18" s="15" customFormat="1" ht="13.2">
      <c r="B2" s="17"/>
      <c r="C2" s="17"/>
      <c r="D2" s="17"/>
      <c r="E2" s="17"/>
      <c r="F2" s="17"/>
      <c r="H2" s="60"/>
      <c r="I2" s="60"/>
      <c r="J2" s="60"/>
      <c r="K2" s="60"/>
      <c r="L2" s="60"/>
      <c r="M2" s="60"/>
      <c r="N2" s="60"/>
      <c r="O2" s="60"/>
      <c r="P2" s="60"/>
      <c r="Q2" s="60"/>
      <c r="R2" s="60"/>
    </row>
    <row r="3" spans="2:18" s="15" customFormat="1" ht="13.2">
      <c r="B3" s="766" t="s">
        <v>358</v>
      </c>
      <c r="C3" s="766"/>
      <c r="D3" s="766"/>
      <c r="E3" s="766"/>
      <c r="F3" s="766"/>
      <c r="G3" s="766"/>
      <c r="H3" s="60"/>
      <c r="I3" s="60"/>
      <c r="J3" s="60"/>
      <c r="K3" s="60"/>
      <c r="L3" s="60"/>
      <c r="M3" s="60"/>
      <c r="N3" s="60"/>
      <c r="O3" s="60"/>
      <c r="P3" s="60"/>
      <c r="Q3" s="60"/>
      <c r="R3" s="60"/>
    </row>
    <row r="4" spans="2:18" s="15" customFormat="1" ht="13.2">
      <c r="B4" s="783" t="s">
        <v>747</v>
      </c>
      <c r="C4" s="783"/>
      <c r="D4" s="783"/>
      <c r="E4" s="783"/>
      <c r="F4" s="783"/>
      <c r="G4" s="783"/>
      <c r="H4" s="60"/>
      <c r="I4" s="60"/>
      <c r="J4" s="60"/>
      <c r="K4" s="60"/>
      <c r="L4" s="60"/>
      <c r="M4" s="60"/>
      <c r="N4" s="60"/>
      <c r="O4" s="60"/>
      <c r="P4" s="60"/>
      <c r="Q4" s="60"/>
      <c r="R4" s="60"/>
    </row>
    <row r="5" spans="2:18" s="22" customFormat="1" ht="25.5" customHeight="1">
      <c r="B5" s="117" t="s">
        <v>111</v>
      </c>
      <c r="C5" s="117" t="s">
        <v>385</v>
      </c>
      <c r="D5" s="117" t="s">
        <v>90</v>
      </c>
      <c r="E5" s="117" t="s">
        <v>91</v>
      </c>
      <c r="F5" s="117" t="s">
        <v>386</v>
      </c>
      <c r="G5" s="117" t="s">
        <v>387</v>
      </c>
      <c r="H5" s="556"/>
      <c r="I5" s="63"/>
      <c r="J5" s="63"/>
      <c r="K5" s="63"/>
      <c r="L5" s="63"/>
      <c r="M5" s="63"/>
      <c r="N5" s="63"/>
      <c r="O5" s="63"/>
      <c r="P5" s="63"/>
      <c r="Q5" s="63"/>
      <c r="R5" s="63"/>
    </row>
    <row r="6" spans="2:18" s="22" customFormat="1" ht="15.75" customHeight="1">
      <c r="B6" s="271" t="s">
        <v>388</v>
      </c>
      <c r="C6" s="316">
        <v>134.52799999999999</v>
      </c>
      <c r="D6" s="316">
        <v>867.96600000000001</v>
      </c>
      <c r="E6" s="316">
        <v>864.69399999999996</v>
      </c>
      <c r="F6" s="316">
        <v>137.80000000000001</v>
      </c>
      <c r="G6" s="317">
        <f>+F6/E6</f>
        <v>0.1593627341001557</v>
      </c>
      <c r="H6" s="557"/>
      <c r="I6" s="403"/>
      <c r="J6" s="63"/>
      <c r="K6" s="63"/>
      <c r="L6" s="63"/>
      <c r="M6" s="63"/>
      <c r="N6" s="63"/>
      <c r="O6" s="63"/>
      <c r="P6" s="63"/>
      <c r="Q6" s="63"/>
      <c r="R6" s="63"/>
    </row>
    <row r="7" spans="2:18" s="22" customFormat="1" ht="15.75" customHeight="1">
      <c r="B7" s="271" t="s">
        <v>102</v>
      </c>
      <c r="C7" s="316">
        <v>133.41</v>
      </c>
      <c r="D7" s="316">
        <v>990.47</v>
      </c>
      <c r="E7" s="316">
        <v>948.85</v>
      </c>
      <c r="F7" s="316">
        <v>175.03</v>
      </c>
      <c r="G7" s="317">
        <f t="shared" ref="G7:G16" si="0">+F7/E7</f>
        <v>0.18446540549085735</v>
      </c>
      <c r="H7" s="557"/>
      <c r="I7"/>
      <c r="J7"/>
      <c r="K7"/>
      <c r="L7"/>
      <c r="M7"/>
      <c r="N7"/>
      <c r="O7"/>
      <c r="P7"/>
      <c r="Q7" s="63"/>
      <c r="R7" s="63"/>
    </row>
    <row r="8" spans="2:18" s="22" customFormat="1" ht="15.75" customHeight="1">
      <c r="B8" s="271" t="s">
        <v>389</v>
      </c>
      <c r="C8" s="316">
        <v>174.77</v>
      </c>
      <c r="D8" s="316">
        <v>1015.57</v>
      </c>
      <c r="E8" s="316">
        <v>980.58</v>
      </c>
      <c r="F8" s="316">
        <v>209.77</v>
      </c>
      <c r="G8" s="317">
        <f t="shared" si="0"/>
        <v>0.21392441208264495</v>
      </c>
      <c r="H8" s="557"/>
      <c r="I8"/>
      <c r="J8"/>
      <c r="K8"/>
      <c r="L8"/>
      <c r="M8"/>
      <c r="N8"/>
      <c r="O8"/>
      <c r="P8"/>
      <c r="Q8" s="63"/>
      <c r="R8" s="63"/>
    </row>
    <row r="9" spans="2:18" s="22" customFormat="1" ht="15.75" customHeight="1">
      <c r="B9" s="272" t="s">
        <v>390</v>
      </c>
      <c r="C9" s="316">
        <v>209.73</v>
      </c>
      <c r="D9" s="316">
        <v>972.21</v>
      </c>
      <c r="E9" s="316">
        <v>968.01</v>
      </c>
      <c r="F9" s="147">
        <v>213.93</v>
      </c>
      <c r="G9" s="317">
        <f t="shared" si="0"/>
        <v>0.22099978306009235</v>
      </c>
      <c r="H9" s="557"/>
      <c r="I9" s="180"/>
      <c r="J9" s="180"/>
      <c r="K9" s="180"/>
      <c r="L9" s="180"/>
      <c r="M9" s="180"/>
      <c r="N9" s="180"/>
      <c r="O9" s="915"/>
      <c r="P9" s="916"/>
      <c r="Q9" s="63"/>
      <c r="R9" s="63"/>
    </row>
    <row r="10" spans="2:18" s="22" customFormat="1" ht="15.75" customHeight="1">
      <c r="B10" s="53" t="s">
        <v>391</v>
      </c>
      <c r="C10" s="316">
        <v>311.48</v>
      </c>
      <c r="D10" s="316">
        <v>1123.4100000000001</v>
      </c>
      <c r="E10" s="316">
        <v>1084.1400000000001</v>
      </c>
      <c r="F10" s="316">
        <v>350.46</v>
      </c>
      <c r="G10" s="317">
        <f t="shared" si="0"/>
        <v>0.32326083347169182</v>
      </c>
      <c r="H10" s="97"/>
      <c r="K10" s="403"/>
      <c r="O10" s="403"/>
      <c r="P10" s="403"/>
      <c r="Q10" s="63"/>
      <c r="R10" s="63"/>
    </row>
    <row r="11" spans="2:18" s="22" customFormat="1" ht="15.75" customHeight="1">
      <c r="B11" s="53" t="s">
        <v>106</v>
      </c>
      <c r="C11" s="316">
        <v>351.96</v>
      </c>
      <c r="D11" s="316">
        <v>1080.0899999999999</v>
      </c>
      <c r="E11" s="316">
        <v>1090.45</v>
      </c>
      <c r="F11" s="316">
        <v>341.6</v>
      </c>
      <c r="G11" s="317">
        <f t="shared" si="0"/>
        <v>0.31326516575725616</v>
      </c>
      <c r="H11" s="557"/>
      <c r="I11" s="112"/>
      <c r="J11" s="112"/>
      <c r="K11" s="112"/>
      <c r="L11" s="112"/>
      <c r="M11" s="112"/>
      <c r="N11" s="112"/>
      <c r="O11" s="912"/>
      <c r="P11" s="913"/>
      <c r="Q11" s="63"/>
      <c r="R11" s="63"/>
    </row>
    <row r="12" spans="2:18" s="22" customFormat="1" ht="15" customHeight="1">
      <c r="B12" s="272" t="s">
        <v>392</v>
      </c>
      <c r="C12" s="417">
        <v>340.97</v>
      </c>
      <c r="D12" s="417">
        <v>1124.92</v>
      </c>
      <c r="E12" s="417">
        <v>1144.82</v>
      </c>
      <c r="F12" s="417">
        <v>321.07</v>
      </c>
      <c r="G12" s="317">
        <f t="shared" si="0"/>
        <v>0.28045456927726631</v>
      </c>
      <c r="H12" s="595"/>
      <c r="I12" s="595"/>
      <c r="J12" s="595"/>
      <c r="K12" s="915"/>
      <c r="L12" s="916"/>
      <c r="M12" s="112"/>
      <c r="N12" s="112"/>
      <c r="O12" s="112"/>
      <c r="P12" s="111"/>
      <c r="Q12" s="63"/>
      <c r="R12" s="63"/>
    </row>
    <row r="13" spans="2:18" s="22" customFormat="1" ht="15.75" customHeight="1">
      <c r="B13" s="272" t="s">
        <v>108</v>
      </c>
      <c r="C13" s="417">
        <v>322.41000000000003</v>
      </c>
      <c r="D13" s="417">
        <v>1120.1300000000001</v>
      </c>
      <c r="E13" s="417">
        <v>1136.17</v>
      </c>
      <c r="F13" s="417">
        <v>306.37</v>
      </c>
      <c r="G13" s="317">
        <f t="shared" si="0"/>
        <v>0.26965154862388552</v>
      </c>
      <c r="H13" s="595"/>
      <c r="I13" s="595"/>
      <c r="J13" s="595"/>
      <c r="K13" s="112"/>
      <c r="L13" s="112"/>
      <c r="M13" s="112"/>
      <c r="N13" s="112"/>
      <c r="O13" s="112"/>
      <c r="P13" s="111"/>
      <c r="Q13" s="63"/>
      <c r="R13" s="63"/>
    </row>
    <row r="14" spans="2:18" s="22" customFormat="1" ht="15.75" customHeight="1">
      <c r="B14" s="47" t="s">
        <v>737</v>
      </c>
      <c r="C14" s="684">
        <v>307.45999999999998</v>
      </c>
      <c r="D14" s="417">
        <v>1129</v>
      </c>
      <c r="E14" s="417">
        <v>1143.29</v>
      </c>
      <c r="F14" s="417">
        <v>293.17</v>
      </c>
      <c r="G14" s="317">
        <f t="shared" si="0"/>
        <v>0.25642662841448804</v>
      </c>
      <c r="H14" s="383"/>
      <c r="I14" s="595"/>
      <c r="J14" s="595"/>
      <c r="K14" s="403"/>
      <c r="L14" s="63"/>
      <c r="M14" s="63"/>
      <c r="N14" s="63"/>
      <c r="O14" s="63"/>
      <c r="P14" s="63"/>
      <c r="Q14" s="63"/>
      <c r="R14" s="63"/>
    </row>
    <row r="15" spans="2:18" s="22" customFormat="1" ht="15.75" customHeight="1">
      <c r="B15" s="47" t="s">
        <v>729</v>
      </c>
      <c r="C15" s="417">
        <v>307.47000000000003</v>
      </c>
      <c r="D15" s="417">
        <v>1129</v>
      </c>
      <c r="E15" s="417">
        <v>1143.22</v>
      </c>
      <c r="F15" s="417">
        <v>293.25</v>
      </c>
      <c r="G15" s="317">
        <f t="shared" si="0"/>
        <v>0.25651230734241875</v>
      </c>
      <c r="H15" s="383"/>
      <c r="I15" s="672"/>
      <c r="J15" s="672"/>
      <c r="K15" s="403"/>
      <c r="L15" s="63"/>
      <c r="M15" s="63"/>
      <c r="N15" s="63"/>
      <c r="O15" s="63"/>
      <c r="P15" s="63"/>
      <c r="Q15" s="63"/>
      <c r="R15" s="63"/>
    </row>
    <row r="16" spans="2:18" s="22" customFormat="1" ht="15.75" customHeight="1">
      <c r="B16" s="272" t="s">
        <v>730</v>
      </c>
      <c r="C16" s="316">
        <v>310.92</v>
      </c>
      <c r="D16" s="316">
        <v>1185.81</v>
      </c>
      <c r="E16" s="316">
        <v>1186.28</v>
      </c>
      <c r="F16" s="316">
        <v>310.45</v>
      </c>
      <c r="G16" s="317">
        <f t="shared" si="0"/>
        <v>0.26170044171696394</v>
      </c>
      <c r="H16" s="751"/>
      <c r="I16" s="751"/>
      <c r="J16" s="751"/>
      <c r="K16" s="751"/>
      <c r="L16" s="63"/>
      <c r="M16" s="63"/>
      <c r="N16" s="63"/>
      <c r="O16" s="63"/>
      <c r="P16" s="63"/>
      <c r="Q16" s="63"/>
      <c r="R16" s="63"/>
    </row>
    <row r="17" spans="2:18" s="22" customFormat="1" ht="15.75" customHeight="1">
      <c r="B17" s="914" t="s">
        <v>109</v>
      </c>
      <c r="C17" s="914"/>
      <c r="D17" s="914"/>
      <c r="E17" s="914"/>
      <c r="F17" s="914"/>
      <c r="G17" s="914"/>
      <c r="H17" s="915"/>
      <c r="I17" s="916"/>
      <c r="K17" s="180"/>
      <c r="O17" s="915"/>
      <c r="P17" s="916"/>
      <c r="Q17" s="63"/>
      <c r="R17" s="63"/>
    </row>
    <row r="18" spans="2:18" s="22" customFormat="1" ht="24" customHeight="1">
      <c r="B18" s="781"/>
      <c r="C18" s="781"/>
      <c r="D18" s="781"/>
      <c r="E18" s="781"/>
      <c r="F18" s="781"/>
      <c r="G18" s="781"/>
      <c r="H18" s="63"/>
      <c r="I18" s="403"/>
      <c r="K18" s="63"/>
      <c r="L18" s="63"/>
      <c r="M18" s="63"/>
      <c r="N18" s="63"/>
      <c r="O18" s="63"/>
      <c r="P18" s="63"/>
      <c r="Q18" s="63"/>
      <c r="R18" s="63"/>
    </row>
    <row r="19" spans="2:18" s="22" customFormat="1" ht="15.75" customHeight="1">
      <c r="B19" s="118"/>
      <c r="C19" s="363"/>
      <c r="D19" s="363"/>
      <c r="E19" s="363"/>
      <c r="F19" s="363"/>
      <c r="G19" s="118"/>
      <c r="H19" s="63"/>
      <c r="J19" s="63"/>
      <c r="K19" s="63"/>
      <c r="L19" s="63"/>
      <c r="M19" s="63"/>
      <c r="N19" s="63"/>
      <c r="O19" s="63"/>
      <c r="P19" s="63"/>
      <c r="Q19" s="63"/>
      <c r="R19" s="63"/>
    </row>
    <row r="20" spans="2:18" ht="13.2">
      <c r="C20" s="9"/>
      <c r="D20" s="9"/>
      <c r="E20" s="9"/>
      <c r="F20" s="9"/>
      <c r="G20" s="119"/>
      <c r="H20" s="73"/>
    </row>
    <row r="21" spans="2:18" ht="15" customHeight="1">
      <c r="G21" s="4"/>
    </row>
    <row r="22" spans="2:18" ht="10.050000000000001" customHeight="1">
      <c r="G22" s="4"/>
    </row>
    <row r="23" spans="2:18" ht="15" customHeight="1">
      <c r="G23" s="4"/>
    </row>
    <row r="24" spans="2:18" ht="15" customHeight="1">
      <c r="G24" s="4"/>
    </row>
    <row r="25" spans="2:18" ht="15" customHeight="1">
      <c r="G25" s="120"/>
      <c r="H25" s="73"/>
    </row>
    <row r="26" spans="2:18" ht="15" customHeight="1">
      <c r="G26" s="5"/>
      <c r="H26" s="73"/>
      <c r="I26" s="121"/>
    </row>
    <row r="27" spans="2:18" ht="15" customHeight="1">
      <c r="G27" s="5"/>
    </row>
    <row r="28" spans="2:18" ht="15" customHeight="1">
      <c r="G28" s="5"/>
    </row>
    <row r="29" spans="2:18" ht="15" customHeight="1">
      <c r="G29" s="5"/>
    </row>
    <row r="30" spans="2:18" ht="15" customHeight="1">
      <c r="G30" s="5"/>
    </row>
    <row r="31" spans="2:18" ht="15" customHeight="1">
      <c r="G31" s="5"/>
    </row>
    <row r="32" spans="2:18" ht="15" customHeight="1">
      <c r="G32" s="5"/>
    </row>
    <row r="33" spans="2:13" ht="15" customHeight="1">
      <c r="G33" s="5"/>
      <c r="J33" s="122"/>
    </row>
    <row r="34" spans="2:13" ht="15" customHeight="1">
      <c r="G34" s="5"/>
    </row>
    <row r="35" spans="2:13" ht="15" customHeight="1">
      <c r="B35" s="1" t="s">
        <v>393</v>
      </c>
      <c r="H35" s="123"/>
      <c r="I35" s="124"/>
      <c r="J35" s="124"/>
      <c r="K35" s="124"/>
      <c r="L35" s="124"/>
      <c r="M35" s="125"/>
    </row>
    <row r="36" spans="2:13" ht="12" customHeight="1"/>
    <row r="37" spans="2:13" ht="14.25" customHeight="1"/>
    <row r="38" spans="2:13" ht="14.25" customHeight="1">
      <c r="B38" s="780"/>
      <c r="C38" s="911"/>
      <c r="D38" s="911"/>
      <c r="E38" s="911"/>
      <c r="F38" s="911"/>
    </row>
    <row r="39" spans="2:13" ht="14.25" customHeight="1"/>
    <row r="40" spans="2:13" ht="14.25" customHeight="1"/>
    <row r="41" spans="2:13" ht="14.25" customHeight="1"/>
    <row r="42" spans="2:13" ht="14.25" customHeight="1"/>
    <row r="43" spans="2:13" ht="14.25" customHeight="1"/>
    <row r="44" spans="2:13" ht="14.25" customHeight="1"/>
    <row r="45" spans="2:13" ht="14.25" customHeight="1"/>
    <row r="46" spans="2:13" ht="14.25" customHeight="1"/>
  </sheetData>
  <mergeCells count="11">
    <mergeCell ref="B38:F38"/>
    <mergeCell ref="B1:G1"/>
    <mergeCell ref="B3:G3"/>
    <mergeCell ref="B4:G4"/>
    <mergeCell ref="O11:P11"/>
    <mergeCell ref="B17:G17"/>
    <mergeCell ref="B18:G18"/>
    <mergeCell ref="K12:L12"/>
    <mergeCell ref="O9:P9"/>
    <mergeCell ref="O17:P17"/>
    <mergeCell ref="H17:I17"/>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ignoredErrors>
    <ignoredError sqref="G15:G16" evalErro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2"/>
  <sheetViews>
    <sheetView zoomScaleNormal="100" workbookViewId="0">
      <selection activeCell="L10" sqref="L10"/>
    </sheetView>
  </sheetViews>
  <sheetFormatPr baseColWidth="10" defaultColWidth="10.921875" defaultRowHeight="17.399999999999999"/>
  <cols>
    <col min="1" max="1" width="1.3828125" customWidth="1"/>
    <col min="2" max="2" width="12.23046875" customWidth="1"/>
    <col min="3" max="9" width="6.921875" customWidth="1"/>
  </cols>
  <sheetData>
    <row r="2" spans="2:13">
      <c r="B2" s="788" t="s">
        <v>394</v>
      </c>
      <c r="C2" s="788"/>
      <c r="D2" s="788"/>
      <c r="E2" s="788"/>
      <c r="F2" s="788"/>
      <c r="G2" s="788"/>
      <c r="H2" s="788"/>
      <c r="I2" s="788"/>
    </row>
    <row r="3" spans="2:13" ht="18" customHeight="1">
      <c r="B3" s="789" t="s">
        <v>359</v>
      </c>
      <c r="C3" s="789"/>
      <c r="D3" s="789"/>
      <c r="E3" s="789"/>
      <c r="F3" s="789"/>
      <c r="G3" s="789"/>
      <c r="H3" s="789"/>
      <c r="I3" s="789"/>
    </row>
    <row r="4" spans="2:13" ht="18" customHeight="1">
      <c r="B4" s="790" t="s">
        <v>747</v>
      </c>
      <c r="C4" s="790"/>
      <c r="D4" s="790"/>
      <c r="E4" s="790"/>
      <c r="F4" s="790"/>
      <c r="G4" s="790"/>
      <c r="H4" s="790"/>
      <c r="I4" s="790"/>
    </row>
    <row r="5" spans="2:13">
      <c r="B5" s="790"/>
      <c r="C5" s="790"/>
      <c r="D5" s="790"/>
      <c r="E5" s="790"/>
      <c r="F5" s="790"/>
      <c r="G5" s="790"/>
    </row>
    <row r="6" spans="2:13" ht="56.25" customHeight="1">
      <c r="B6" s="298" t="s">
        <v>111</v>
      </c>
      <c r="C6" s="332" t="s">
        <v>121</v>
      </c>
      <c r="D6" s="332" t="s">
        <v>119</v>
      </c>
      <c r="E6" s="424" t="s">
        <v>395</v>
      </c>
      <c r="F6" s="424" t="s">
        <v>112</v>
      </c>
      <c r="G6" s="424" t="s">
        <v>118</v>
      </c>
      <c r="H6" s="332" t="s">
        <v>120</v>
      </c>
      <c r="I6" s="332" t="s">
        <v>122</v>
      </c>
    </row>
    <row r="7" spans="2:13">
      <c r="B7" s="917" t="s">
        <v>738</v>
      </c>
      <c r="C7" s="918"/>
      <c r="D7" s="918"/>
      <c r="E7" s="918"/>
      <c r="F7" s="918"/>
      <c r="G7" s="918"/>
      <c r="H7" s="918"/>
      <c r="I7" s="919"/>
    </row>
    <row r="8" spans="2:13" ht="15.75" customHeight="1">
      <c r="B8" s="348" t="s">
        <v>89</v>
      </c>
      <c r="C8" s="610">
        <v>307.47000000000003</v>
      </c>
      <c r="D8" s="610">
        <v>48.76</v>
      </c>
      <c r="E8" s="610">
        <v>5.33</v>
      </c>
      <c r="F8" s="610">
        <v>3.62</v>
      </c>
      <c r="G8" s="610">
        <v>1.48</v>
      </c>
      <c r="H8" s="610">
        <v>200.53</v>
      </c>
      <c r="I8" s="610">
        <v>106.94</v>
      </c>
      <c r="K8" s="433"/>
    </row>
    <row r="9" spans="2:13" ht="15.75" customHeight="1">
      <c r="B9" s="348" t="s">
        <v>90</v>
      </c>
      <c r="C9" s="610">
        <v>1129</v>
      </c>
      <c r="D9" s="610">
        <v>358.45</v>
      </c>
      <c r="E9" s="610">
        <v>87</v>
      </c>
      <c r="F9" s="610">
        <v>52</v>
      </c>
      <c r="G9" s="610">
        <v>30.3</v>
      </c>
      <c r="H9" s="610">
        <v>260.67</v>
      </c>
      <c r="I9" s="610">
        <v>868.33</v>
      </c>
      <c r="K9" s="433"/>
    </row>
    <row r="10" spans="2:13" ht="15.75" customHeight="1">
      <c r="B10" s="348" t="s">
        <v>123</v>
      </c>
      <c r="C10" s="610">
        <v>185.34</v>
      </c>
      <c r="D10" s="610">
        <v>0.62</v>
      </c>
      <c r="E10" s="610">
        <v>2.85</v>
      </c>
      <c r="F10" s="610">
        <v>0.01</v>
      </c>
      <c r="G10" s="610">
        <v>0.02</v>
      </c>
      <c r="H10" s="610">
        <v>29.51</v>
      </c>
      <c r="I10" s="610">
        <v>155.83000000000001</v>
      </c>
      <c r="K10" s="433" t="s">
        <v>690</v>
      </c>
    </row>
    <row r="11" spans="2:13" ht="15.75" customHeight="1">
      <c r="B11" s="348" t="s">
        <v>91</v>
      </c>
      <c r="C11" s="610">
        <v>1143.22</v>
      </c>
      <c r="D11" s="610">
        <v>306.54000000000002</v>
      </c>
      <c r="E11" s="610">
        <v>70</v>
      </c>
      <c r="F11" s="610">
        <v>13.5</v>
      </c>
      <c r="G11" s="610">
        <v>7.1</v>
      </c>
      <c r="H11" s="610">
        <v>285</v>
      </c>
      <c r="I11" s="610">
        <v>858.22</v>
      </c>
      <c r="K11" s="433"/>
    </row>
    <row r="12" spans="2:13" ht="15.75" customHeight="1">
      <c r="B12" s="348" t="s">
        <v>92</v>
      </c>
      <c r="C12" s="610">
        <v>182.87</v>
      </c>
      <c r="D12" s="610">
        <v>69.92</v>
      </c>
      <c r="E12" s="610">
        <v>21.02</v>
      </c>
      <c r="F12" s="610">
        <v>40.94</v>
      </c>
      <c r="G12" s="610">
        <v>23.86</v>
      </c>
      <c r="H12" s="610">
        <v>0</v>
      </c>
      <c r="I12" s="610">
        <v>182.87</v>
      </c>
      <c r="K12" s="433"/>
    </row>
    <row r="13" spans="2:13" ht="15.75" customHeight="1">
      <c r="B13" s="558" t="s">
        <v>99</v>
      </c>
      <c r="C13" s="610">
        <v>293.25</v>
      </c>
      <c r="D13" s="610">
        <v>31.36</v>
      </c>
      <c r="E13" s="610">
        <v>4.1500000000000004</v>
      </c>
      <c r="F13" s="610">
        <v>1.18</v>
      </c>
      <c r="G13" s="610">
        <v>0.83</v>
      </c>
      <c r="H13" s="610">
        <v>205.7</v>
      </c>
      <c r="I13" s="610">
        <v>87.54</v>
      </c>
      <c r="K13" s="433"/>
      <c r="M13" t="s">
        <v>690</v>
      </c>
    </row>
    <row r="14" spans="2:13" ht="15.75" customHeight="1">
      <c r="B14" s="920" t="s">
        <v>739</v>
      </c>
      <c r="C14" s="921"/>
      <c r="D14" s="921"/>
      <c r="E14" s="921"/>
      <c r="F14" s="921"/>
      <c r="G14" s="921"/>
      <c r="H14" s="921"/>
      <c r="I14" s="922"/>
      <c r="K14" s="433"/>
    </row>
    <row r="15" spans="2:13" ht="15.75" customHeight="1">
      <c r="B15" s="559" t="s">
        <v>89</v>
      </c>
      <c r="C15" s="418">
        <v>310.92</v>
      </c>
      <c r="D15" s="418">
        <v>37.71</v>
      </c>
      <c r="E15" s="418">
        <v>4.6500000000000004</v>
      </c>
      <c r="F15" s="418">
        <v>1.49</v>
      </c>
      <c r="G15" s="418">
        <v>6.77</v>
      </c>
      <c r="H15" s="418">
        <v>210.24</v>
      </c>
      <c r="I15" s="418">
        <v>100.68</v>
      </c>
      <c r="K15" s="433"/>
    </row>
    <row r="16" spans="2:13" ht="15.75" customHeight="1">
      <c r="B16" s="349" t="s">
        <v>90</v>
      </c>
      <c r="C16" s="418">
        <v>1185.81</v>
      </c>
      <c r="D16" s="418">
        <v>367.3</v>
      </c>
      <c r="E16" s="418">
        <v>126</v>
      </c>
      <c r="F16" s="418">
        <v>55</v>
      </c>
      <c r="G16" s="418">
        <v>25</v>
      </c>
      <c r="H16" s="418">
        <v>271</v>
      </c>
      <c r="I16" s="418">
        <v>914.81</v>
      </c>
      <c r="K16" s="433"/>
    </row>
    <row r="17" spans="2:12" ht="15.75" customHeight="1">
      <c r="B17" s="349" t="s">
        <v>123</v>
      </c>
      <c r="C17" s="418">
        <v>176.68</v>
      </c>
      <c r="D17" s="418">
        <v>0.64</v>
      </c>
      <c r="E17" s="418">
        <v>1.3</v>
      </c>
      <c r="F17" s="418">
        <v>0.01</v>
      </c>
      <c r="G17" s="418">
        <v>0</v>
      </c>
      <c r="H17" s="418">
        <v>18</v>
      </c>
      <c r="I17" s="418">
        <v>158.68</v>
      </c>
      <c r="K17" s="433"/>
    </row>
    <row r="18" spans="2:12" ht="15.75" customHeight="1">
      <c r="B18" s="349" t="s">
        <v>91</v>
      </c>
      <c r="C18" s="418">
        <v>1186.28</v>
      </c>
      <c r="D18" s="418">
        <v>309.13</v>
      </c>
      <c r="E18" s="418">
        <v>77</v>
      </c>
      <c r="F18" s="418">
        <v>14</v>
      </c>
      <c r="G18" s="418">
        <v>10.7</v>
      </c>
      <c r="H18" s="418">
        <v>295</v>
      </c>
      <c r="I18" s="418">
        <v>891.28</v>
      </c>
      <c r="K18" s="433"/>
    </row>
    <row r="19" spans="2:12" ht="15.75" customHeight="1">
      <c r="B19" s="349" t="s">
        <v>92</v>
      </c>
      <c r="C19" s="418">
        <v>182.67</v>
      </c>
      <c r="D19" s="418">
        <v>60.96</v>
      </c>
      <c r="E19" s="418">
        <v>47</v>
      </c>
      <c r="F19" s="418">
        <v>41</v>
      </c>
      <c r="G19" s="418">
        <v>9</v>
      </c>
      <c r="H19" s="418">
        <v>0.02</v>
      </c>
      <c r="I19" s="418">
        <v>182.65</v>
      </c>
      <c r="J19" s="126"/>
      <c r="K19" s="433"/>
      <c r="L19" s="126"/>
    </row>
    <row r="20" spans="2:12" ht="15.75" customHeight="1">
      <c r="B20" s="349" t="s">
        <v>99</v>
      </c>
      <c r="C20" s="418">
        <v>310.45</v>
      </c>
      <c r="D20" s="418">
        <v>35.549999999999997</v>
      </c>
      <c r="E20" s="418">
        <v>7.95</v>
      </c>
      <c r="F20" s="418">
        <v>1.49</v>
      </c>
      <c r="G20" s="418">
        <v>12.07</v>
      </c>
      <c r="H20" s="418">
        <v>204.22</v>
      </c>
      <c r="I20" s="418">
        <v>106.23</v>
      </c>
      <c r="K20" s="433"/>
    </row>
    <row r="21" spans="2:12">
      <c r="B21" s="1" t="s">
        <v>396</v>
      </c>
      <c r="C21" s="1"/>
      <c r="D21" s="1"/>
      <c r="E21" s="1"/>
      <c r="F21" s="1"/>
      <c r="G21" s="1"/>
      <c r="H21" s="1"/>
    </row>
    <row r="22" spans="2:12" ht="18" customHeight="1">
      <c r="B22" s="846"/>
      <c r="C22" s="846"/>
      <c r="D22" s="846"/>
      <c r="E22" s="846"/>
      <c r="F22" s="846"/>
      <c r="G22" s="846"/>
      <c r="H22" s="846"/>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topLeftCell="A6" zoomScaleNormal="100" workbookViewId="0">
      <selection activeCell="G14" sqref="G14"/>
    </sheetView>
  </sheetViews>
  <sheetFormatPr baseColWidth="10" defaultColWidth="10.921875" defaultRowHeight="13.2"/>
  <cols>
    <col min="1" max="1" width="1.69140625" style="39" customWidth="1"/>
    <col min="2" max="5" width="14.07421875" style="39" customWidth="1"/>
    <col min="6" max="8" width="10.921875" style="39" customWidth="1"/>
    <col min="9" max="16384" width="10.921875" style="39"/>
  </cols>
  <sheetData>
    <row r="1" spans="2:13" s="19" customFormat="1" ht="15" customHeight="1">
      <c r="B1" s="788" t="s">
        <v>125</v>
      </c>
      <c r="C1" s="788"/>
      <c r="D1" s="788"/>
      <c r="E1" s="788"/>
    </row>
    <row r="2" spans="2:13" s="19" customFormat="1" ht="15" customHeight="1"/>
    <row r="3" spans="2:13" s="19" customFormat="1" ht="34.5" customHeight="1">
      <c r="B3" s="789" t="s">
        <v>397</v>
      </c>
      <c r="C3" s="789"/>
      <c r="D3" s="789"/>
      <c r="E3" s="789"/>
    </row>
    <row r="4" spans="2:13" s="19" customFormat="1" ht="15" customHeight="1">
      <c r="B4" s="788" t="s">
        <v>693</v>
      </c>
      <c r="C4" s="788"/>
      <c r="D4" s="788"/>
      <c r="E4" s="788"/>
    </row>
    <row r="5" spans="2:13" s="19" customFormat="1" ht="30.75" customHeight="1">
      <c r="B5" s="128" t="s">
        <v>398</v>
      </c>
      <c r="C5" s="129" t="s">
        <v>130</v>
      </c>
      <c r="D5" s="129" t="s">
        <v>131</v>
      </c>
      <c r="E5" s="129" t="s">
        <v>399</v>
      </c>
    </row>
    <row r="6" spans="2:13" s="19" customFormat="1" ht="15.75" customHeight="1">
      <c r="B6" s="51" t="s">
        <v>400</v>
      </c>
      <c r="C6" s="409">
        <v>102.54600000000001</v>
      </c>
      <c r="D6" s="410">
        <v>1379.6980000000001</v>
      </c>
      <c r="E6" s="560">
        <v>134.54430206931522</v>
      </c>
    </row>
    <row r="7" spans="2:13" s="19" customFormat="1" ht="15.75" customHeight="1">
      <c r="B7" s="51" t="s">
        <v>133</v>
      </c>
      <c r="C7" s="409">
        <v>110.233</v>
      </c>
      <c r="D7" s="410">
        <v>1413.644</v>
      </c>
      <c r="E7" s="560">
        <v>128.24145219671061</v>
      </c>
    </row>
    <row r="8" spans="2:13" s="19" customFormat="1" ht="15.75" customHeight="1">
      <c r="B8" s="51" t="s">
        <v>101</v>
      </c>
      <c r="C8" s="409">
        <v>106.34699999999999</v>
      </c>
      <c r="D8" s="410">
        <v>1411.057</v>
      </c>
      <c r="E8" s="560">
        <v>132.68423180719719</v>
      </c>
      <c r="F8" s="130"/>
      <c r="G8" s="130"/>
      <c r="H8" s="130"/>
    </row>
    <row r="9" spans="2:13" s="19" customFormat="1" ht="15.75" customHeight="1">
      <c r="B9" s="51" t="s">
        <v>102</v>
      </c>
      <c r="C9" s="409">
        <v>92.378</v>
      </c>
      <c r="D9" s="410">
        <v>1115.732</v>
      </c>
      <c r="E9" s="560">
        <v>120.77897334863279</v>
      </c>
      <c r="F9" s="130"/>
      <c r="G9" s="130"/>
      <c r="H9" s="130"/>
    </row>
    <row r="10" spans="2:13" s="19" customFormat="1" ht="15.75" customHeight="1">
      <c r="B10" s="51" t="s">
        <v>134</v>
      </c>
      <c r="C10" s="409">
        <v>117.6</v>
      </c>
      <c r="D10" s="410">
        <v>1517.8920000000001</v>
      </c>
      <c r="E10" s="560">
        <v>129.07244897959185</v>
      </c>
      <c r="F10" s="130"/>
      <c r="G10" s="130"/>
      <c r="H10" s="130"/>
    </row>
    <row r="11" spans="2:13" s="19" customFormat="1" ht="15.75" customHeight="1">
      <c r="B11" s="51" t="s">
        <v>135</v>
      </c>
      <c r="C11" s="411">
        <v>92.536000000000001</v>
      </c>
      <c r="D11" s="410">
        <v>1149.0391</v>
      </c>
      <c r="E11" s="560">
        <v>124.1721167977868</v>
      </c>
      <c r="F11" s="130"/>
      <c r="G11" s="130"/>
      <c r="H11" s="130"/>
    </row>
    <row r="12" spans="2:13" ht="15.75" customHeight="1">
      <c r="B12" s="51" t="s">
        <v>136</v>
      </c>
      <c r="C12" s="411">
        <v>86.421000000000006</v>
      </c>
      <c r="D12" s="410">
        <v>1039.675</v>
      </c>
      <c r="E12" s="560">
        <v>120.30351419215236</v>
      </c>
      <c r="F12" s="130"/>
      <c r="G12" s="289"/>
      <c r="H12" s="130"/>
      <c r="I12" s="28"/>
      <c r="J12" s="131"/>
      <c r="K12" s="131"/>
      <c r="L12" s="132"/>
      <c r="M12" s="28"/>
    </row>
    <row r="13" spans="2:13" ht="15" customHeight="1">
      <c r="B13" s="51" t="s">
        <v>137</v>
      </c>
      <c r="C13" s="411">
        <v>81.597999999999999</v>
      </c>
      <c r="D13" s="410">
        <v>1087.9098671827173</v>
      </c>
      <c r="E13" s="561">
        <v>133.32555542816215</v>
      </c>
      <c r="F13" s="130"/>
      <c r="G13" s="130"/>
      <c r="H13" s="130"/>
      <c r="I13" s="28"/>
      <c r="J13" s="131"/>
      <c r="K13" s="131"/>
      <c r="L13" s="132"/>
      <c r="M13" s="28"/>
    </row>
    <row r="14" spans="2:13" ht="15" customHeight="1">
      <c r="B14" s="51" t="s">
        <v>107</v>
      </c>
      <c r="C14" s="411">
        <v>73.856999999999999</v>
      </c>
      <c r="D14" s="410">
        <v>951.06949999999995</v>
      </c>
      <c r="E14" s="561">
        <v>128.77174810782998</v>
      </c>
      <c r="F14" s="130"/>
      <c r="I14" s="28"/>
      <c r="J14" s="131"/>
      <c r="K14" s="131"/>
      <c r="L14" s="132"/>
      <c r="M14" s="28"/>
    </row>
    <row r="15" spans="2:13" ht="15" customHeight="1">
      <c r="B15" s="51" t="s">
        <v>401</v>
      </c>
      <c r="C15" s="412">
        <v>54.679000000000002</v>
      </c>
      <c r="D15" s="410">
        <v>565.88379999999995</v>
      </c>
      <c r="E15" s="562">
        <f>D15/C15*10</f>
        <v>103.49198046782128</v>
      </c>
      <c r="F15" s="130"/>
      <c r="I15" s="28"/>
      <c r="J15" s="131"/>
      <c r="K15" s="131"/>
      <c r="L15" s="132"/>
      <c r="M15" s="28"/>
    </row>
    <row r="16" spans="2:13" ht="15" customHeight="1">
      <c r="B16" s="51" t="s">
        <v>139</v>
      </c>
      <c r="C16" s="412">
        <v>59.728000000000002</v>
      </c>
      <c r="D16" s="410">
        <f>C16*E16/10</f>
        <v>771.68575999999996</v>
      </c>
      <c r="E16" s="562">
        <v>129.19999999999999</v>
      </c>
      <c r="F16" s="130"/>
      <c r="G16" s="130"/>
      <c r="H16" s="130"/>
      <c r="I16" s="28"/>
      <c r="J16" s="131"/>
      <c r="K16" s="131"/>
      <c r="L16" s="132"/>
      <c r="M16" s="28"/>
    </row>
    <row r="17" spans="2:13" ht="15" customHeight="1">
      <c r="B17" s="607" t="s">
        <v>686</v>
      </c>
      <c r="C17" s="412">
        <v>48.314</v>
      </c>
      <c r="D17" s="622" t="s">
        <v>191</v>
      </c>
      <c r="E17" s="623" t="s">
        <v>191</v>
      </c>
      <c r="F17" s="130"/>
      <c r="G17" s="130"/>
      <c r="H17" s="130"/>
      <c r="I17" s="28"/>
      <c r="J17" s="131"/>
      <c r="K17" s="131"/>
      <c r="L17" s="132"/>
      <c r="M17" s="28"/>
    </row>
    <row r="18" spans="2:13" ht="14.4" customHeight="1">
      <c r="B18" s="785" t="s">
        <v>694</v>
      </c>
      <c r="C18" s="785"/>
      <c r="D18" s="785"/>
      <c r="E18" s="785"/>
      <c r="F18" s="130"/>
      <c r="G18" s="130"/>
      <c r="H18" s="130"/>
    </row>
    <row r="19" spans="2:13" ht="12.75" customHeight="1">
      <c r="G19" s="142"/>
    </row>
    <row r="20" spans="2:13" ht="12.75" customHeight="1"/>
    <row r="21" spans="2:13" ht="12.75" customHeight="1"/>
    <row r="22" spans="2:13" ht="12.75" customHeight="1"/>
    <row r="23" spans="2:13" ht="12.75" customHeight="1">
      <c r="G23" s="289"/>
    </row>
    <row r="24" spans="2:13" ht="12.75" customHeight="1"/>
    <row r="25" spans="2:13" ht="12.75" customHeight="1"/>
    <row r="26" spans="2:13" ht="12.75" customHeight="1"/>
    <row r="27" spans="2:13" ht="12.75" customHeight="1"/>
    <row r="28" spans="2:13" ht="12.75" customHeight="1"/>
    <row r="29" spans="2:13" ht="12.75" customHeight="1"/>
    <row r="30" spans="2:13" ht="12.75" customHeight="1"/>
    <row r="31" spans="2:13" ht="12.75" customHeight="1"/>
    <row r="32" spans="2:13" ht="12.75" customHeight="1"/>
    <row r="33" spans="2:5" ht="12.75" customHeight="1"/>
    <row r="34" spans="2:5" ht="12.75" customHeight="1"/>
    <row r="35" spans="2:5" ht="12.75" customHeight="1"/>
    <row r="36" spans="2:5" ht="12.75" customHeight="1">
      <c r="B36" s="924"/>
      <c r="C36" s="924"/>
      <c r="D36" s="924"/>
      <c r="E36" s="924"/>
    </row>
    <row r="37" spans="2:5" ht="14.4" customHeight="1">
      <c r="B37" s="924"/>
      <c r="C37" s="924"/>
      <c r="D37" s="924"/>
      <c r="E37" s="924"/>
    </row>
    <row r="38" spans="2:5" ht="12.75" customHeight="1">
      <c r="B38" s="923" t="s">
        <v>402</v>
      </c>
      <c r="C38" s="923"/>
      <c r="D38" s="923"/>
      <c r="E38" s="923"/>
    </row>
    <row r="39" spans="2:5" ht="12.75" customHeight="1"/>
    <row r="40" spans="2:5" ht="12.75" customHeight="1"/>
    <row r="41" spans="2:5" ht="12.75" customHeight="1"/>
    <row r="42" spans="2:5" ht="12.75" customHeight="1"/>
    <row r="43" spans="2:5" ht="12.75"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zoomScaleNormal="100" zoomScaleSheetLayoutView="50" workbookViewId="0">
      <selection activeCell="H11" sqref="H11"/>
    </sheetView>
  </sheetViews>
  <sheetFormatPr baseColWidth="10" defaultColWidth="10.921875" defaultRowHeight="13.2"/>
  <cols>
    <col min="1" max="1" width="3" style="39" customWidth="1"/>
    <col min="2" max="2" width="12.3828125" style="39" customWidth="1"/>
    <col min="3" max="3" width="12.15234375" style="39" customWidth="1"/>
    <col min="4" max="4" width="10.84375" style="39" customWidth="1"/>
    <col min="5" max="5" width="7.84375" style="138" bestFit="1" customWidth="1"/>
    <col min="6" max="8" width="7.07421875" style="138" customWidth="1"/>
    <col min="9" max="11" width="7.07421875" style="39" customWidth="1"/>
    <col min="12" max="12" width="6.69140625" style="39" customWidth="1"/>
    <col min="13" max="13" width="6.3828125" style="39" customWidth="1"/>
    <col min="14" max="16384" width="10.921875" style="39"/>
  </cols>
  <sheetData>
    <row r="1" spans="2:10" s="19" customFormat="1">
      <c r="B1" s="788" t="s">
        <v>140</v>
      </c>
      <c r="C1" s="788"/>
      <c r="D1" s="788"/>
      <c r="E1" s="563"/>
      <c r="F1" s="563"/>
      <c r="G1" s="563"/>
      <c r="H1" s="563"/>
    </row>
    <row r="2" spans="2:10" s="19" customFormat="1">
      <c r="E2" s="563"/>
      <c r="F2" s="563"/>
      <c r="G2" s="563"/>
      <c r="H2" s="563"/>
    </row>
    <row r="3" spans="2:10" s="19" customFormat="1" ht="37.049999999999997" customHeight="1">
      <c r="B3" s="789" t="s">
        <v>403</v>
      </c>
      <c r="C3" s="788"/>
      <c r="D3" s="788"/>
      <c r="E3" s="563"/>
      <c r="F3" s="563"/>
      <c r="G3" s="563"/>
      <c r="H3" s="563"/>
    </row>
    <row r="4" spans="2:10" s="19" customFormat="1" ht="15.75" customHeight="1">
      <c r="B4" s="788" t="s">
        <v>696</v>
      </c>
      <c r="C4" s="788"/>
      <c r="D4" s="788"/>
      <c r="E4" s="563"/>
      <c r="F4" s="563"/>
      <c r="G4" s="563"/>
      <c r="H4" s="563"/>
    </row>
    <row r="5" spans="2:10" s="19" customFormat="1" ht="30" customHeight="1">
      <c r="B5" s="128" t="s">
        <v>127</v>
      </c>
      <c r="C5" s="128" t="s">
        <v>143</v>
      </c>
      <c r="D5" s="129" t="s">
        <v>144</v>
      </c>
      <c r="E5" s="563"/>
      <c r="F5" s="563"/>
      <c r="G5" s="563"/>
      <c r="H5" s="563"/>
    </row>
    <row r="6" spans="2:10" ht="15.75" customHeight="1">
      <c r="B6" s="799" t="s">
        <v>404</v>
      </c>
      <c r="C6" s="136" t="s">
        <v>158</v>
      </c>
      <c r="D6" s="133">
        <v>105</v>
      </c>
      <c r="E6" s="134"/>
      <c r="F6" s="137"/>
      <c r="G6" s="135"/>
      <c r="H6" s="135"/>
      <c r="I6" s="132"/>
      <c r="J6" s="28"/>
    </row>
    <row r="7" spans="2:10" ht="15.75" customHeight="1">
      <c r="B7" s="799"/>
      <c r="C7" s="136" t="s">
        <v>147</v>
      </c>
      <c r="D7" s="133">
        <v>643</v>
      </c>
      <c r="E7" s="134"/>
      <c r="F7" s="137"/>
      <c r="G7" s="135"/>
      <c r="H7" s="135"/>
      <c r="I7" s="132"/>
      <c r="J7" s="28"/>
    </row>
    <row r="8" spans="2:10" ht="15.75" customHeight="1">
      <c r="B8" s="799"/>
      <c r="C8" s="136" t="s">
        <v>148</v>
      </c>
      <c r="D8" s="133">
        <v>4481</v>
      </c>
      <c r="E8" s="134"/>
      <c r="F8" s="137"/>
      <c r="G8" s="135"/>
      <c r="H8" s="135"/>
      <c r="I8" s="132"/>
      <c r="J8" s="28"/>
    </row>
    <row r="9" spans="2:10" ht="15.75" customHeight="1">
      <c r="B9" s="799"/>
      <c r="C9" s="136" t="s">
        <v>149</v>
      </c>
      <c r="D9" s="133">
        <v>22482</v>
      </c>
      <c r="E9" s="134"/>
      <c r="F9" s="137"/>
      <c r="G9" s="135"/>
      <c r="H9" s="135"/>
      <c r="I9" s="132"/>
      <c r="J9" s="28"/>
    </row>
    <row r="10" spans="2:10" ht="15.75" customHeight="1">
      <c r="B10" s="799"/>
      <c r="C10" s="136" t="s">
        <v>150</v>
      </c>
      <c r="D10" s="133">
        <v>20660</v>
      </c>
      <c r="E10" s="134"/>
      <c r="F10" s="137"/>
      <c r="G10" s="135"/>
      <c r="H10" s="135"/>
      <c r="I10" s="132"/>
      <c r="J10" s="28"/>
    </row>
    <row r="11" spans="2:10" ht="15.75" customHeight="1">
      <c r="B11" s="799"/>
      <c r="C11" s="136" t="s">
        <v>151</v>
      </c>
      <c r="D11" s="133">
        <v>6877</v>
      </c>
      <c r="E11" s="134"/>
      <c r="F11" s="137"/>
      <c r="G11" s="135"/>
      <c r="H11" s="135"/>
      <c r="I11" s="132"/>
      <c r="J11" s="28"/>
    </row>
    <row r="12" spans="2:10" ht="15.75" customHeight="1">
      <c r="B12" s="799"/>
      <c r="C12" s="136" t="s">
        <v>152</v>
      </c>
      <c r="D12" s="133">
        <v>8793</v>
      </c>
      <c r="E12" s="134"/>
      <c r="F12" s="137"/>
      <c r="G12" s="135"/>
      <c r="H12" s="135"/>
      <c r="I12" s="132"/>
      <c r="J12" s="28"/>
    </row>
    <row r="13" spans="2:10" ht="15.75" customHeight="1">
      <c r="B13" s="799"/>
      <c r="C13" s="136" t="s">
        <v>153</v>
      </c>
      <c r="D13" s="133">
        <v>109</v>
      </c>
      <c r="E13" s="134"/>
      <c r="F13" s="137"/>
      <c r="G13" s="135"/>
      <c r="H13" s="135"/>
      <c r="I13" s="132"/>
      <c r="J13" s="28"/>
    </row>
    <row r="14" spans="2:10" ht="15.75" customHeight="1">
      <c r="B14" s="799"/>
      <c r="C14" s="136" t="s">
        <v>156</v>
      </c>
      <c r="D14" s="133">
        <v>436</v>
      </c>
      <c r="E14" s="134"/>
      <c r="F14" s="137"/>
      <c r="G14" s="135"/>
      <c r="H14" s="135"/>
      <c r="I14" s="132"/>
      <c r="J14" s="28"/>
    </row>
    <row r="15" spans="2:10" ht="15.75" customHeight="1">
      <c r="B15" s="925"/>
      <c r="C15" s="136" t="s">
        <v>157</v>
      </c>
      <c r="D15" s="133">
        <f>SUM(D6:D14)</f>
        <v>64586</v>
      </c>
      <c r="E15" s="134"/>
      <c r="F15" s="137"/>
      <c r="G15" s="135"/>
      <c r="H15" s="135"/>
      <c r="I15" s="132"/>
      <c r="J15" s="28"/>
    </row>
    <row r="16" spans="2:10" ht="15.75" customHeight="1">
      <c r="B16" s="799" t="s">
        <v>405</v>
      </c>
      <c r="C16" s="319" t="s">
        <v>158</v>
      </c>
      <c r="D16" s="133">
        <v>113</v>
      </c>
      <c r="E16" s="134"/>
      <c r="G16" s="135"/>
      <c r="I16" s="132"/>
      <c r="J16" s="131"/>
    </row>
    <row r="17" spans="2:10" ht="15.75" customHeight="1">
      <c r="B17" s="799"/>
      <c r="C17" s="319" t="s">
        <v>147</v>
      </c>
      <c r="D17" s="133">
        <v>211</v>
      </c>
      <c r="E17" s="134"/>
      <c r="G17" s="135"/>
      <c r="I17" s="132"/>
      <c r="J17" s="131"/>
    </row>
    <row r="18" spans="2:10" ht="15.75" customHeight="1">
      <c r="B18" s="799"/>
      <c r="C18" s="319" t="s">
        <v>148</v>
      </c>
      <c r="D18" s="133">
        <v>2475</v>
      </c>
      <c r="E18" s="134"/>
      <c r="G18" s="135"/>
      <c r="I18" s="132"/>
      <c r="J18" s="131"/>
    </row>
    <row r="19" spans="2:10" ht="15.75" customHeight="1">
      <c r="B19" s="799"/>
      <c r="C19" s="319" t="s">
        <v>149</v>
      </c>
      <c r="D19" s="133">
        <v>22025</v>
      </c>
      <c r="E19" s="134"/>
      <c r="F19" s="290"/>
      <c r="G19" s="135"/>
      <c r="I19" s="132"/>
      <c r="J19" s="131"/>
    </row>
    <row r="20" spans="2:10" ht="15.75" customHeight="1">
      <c r="B20" s="799"/>
      <c r="C20" s="319" t="s">
        <v>150</v>
      </c>
      <c r="D20" s="133">
        <v>20346</v>
      </c>
      <c r="E20" s="134"/>
      <c r="F20" s="290"/>
      <c r="G20" s="135"/>
      <c r="I20" s="132"/>
      <c r="J20" s="131"/>
    </row>
    <row r="21" spans="2:10" ht="15.75" customHeight="1">
      <c r="B21" s="799"/>
      <c r="C21" s="39" t="s">
        <v>151</v>
      </c>
      <c r="D21" s="133">
        <v>7313</v>
      </c>
      <c r="E21" s="134"/>
      <c r="F21" s="290"/>
      <c r="G21" s="135"/>
      <c r="I21" s="132"/>
      <c r="J21" s="131"/>
    </row>
    <row r="22" spans="2:10" ht="15.75" customHeight="1">
      <c r="B22" s="799"/>
      <c r="C22" s="319" t="s">
        <v>152</v>
      </c>
      <c r="D22" s="133">
        <v>14239</v>
      </c>
      <c r="E22" s="134"/>
      <c r="G22" s="135"/>
      <c r="I22" s="132"/>
      <c r="J22" s="131"/>
    </row>
    <row r="23" spans="2:10" ht="15.75" customHeight="1">
      <c r="B23" s="799"/>
      <c r="C23" s="319" t="s">
        <v>153</v>
      </c>
      <c r="D23" s="133">
        <v>53</v>
      </c>
      <c r="E23" s="134"/>
      <c r="G23" s="135"/>
      <c r="H23" s="135"/>
      <c r="I23" s="132"/>
    </row>
    <row r="24" spans="2:10" ht="15.75" customHeight="1">
      <c r="B24" s="799"/>
      <c r="C24" s="319" t="s">
        <v>156</v>
      </c>
      <c r="D24" s="133">
        <v>436</v>
      </c>
      <c r="E24" s="134"/>
      <c r="G24" s="135"/>
      <c r="H24" s="135"/>
      <c r="I24" s="132"/>
    </row>
    <row r="25" spans="2:10" ht="17.25" customHeight="1">
      <c r="B25" s="925"/>
      <c r="C25" s="320" t="s">
        <v>157</v>
      </c>
      <c r="D25" s="133">
        <f>SUM(D16:D24)</f>
        <v>67211</v>
      </c>
      <c r="E25" s="21"/>
      <c r="F25" s="21"/>
      <c r="G25" s="21"/>
      <c r="H25" s="21"/>
      <c r="I25" s="1"/>
    </row>
    <row r="26" spans="2:10" ht="17.25" customHeight="1">
      <c r="B26" s="799" t="s">
        <v>695</v>
      </c>
      <c r="C26" s="319" t="s">
        <v>158</v>
      </c>
      <c r="D26" s="133">
        <v>0</v>
      </c>
      <c r="E26" s="21"/>
      <c r="F26" s="21"/>
      <c r="G26" s="21"/>
      <c r="H26" s="21"/>
      <c r="I26" s="1"/>
    </row>
    <row r="27" spans="2:10" ht="17.25" customHeight="1">
      <c r="B27" s="799"/>
      <c r="C27" s="319" t="s">
        <v>147</v>
      </c>
      <c r="D27" s="133">
        <v>366</v>
      </c>
      <c r="E27" s="21"/>
      <c r="F27" s="21"/>
      <c r="G27" s="21"/>
      <c r="H27" s="21"/>
      <c r="I27" s="1"/>
    </row>
    <row r="28" spans="2:10" ht="17.25" customHeight="1">
      <c r="B28" s="799"/>
      <c r="C28" s="319" t="s">
        <v>148</v>
      </c>
      <c r="D28" s="133">
        <v>2295</v>
      </c>
      <c r="E28" s="21"/>
      <c r="F28" s="21"/>
      <c r="G28" s="21"/>
      <c r="H28" s="21"/>
      <c r="I28" s="1"/>
    </row>
    <row r="29" spans="2:10" ht="17.25" customHeight="1">
      <c r="B29" s="799"/>
      <c r="C29" s="319" t="s">
        <v>149</v>
      </c>
      <c r="D29" s="133">
        <v>13555</v>
      </c>
      <c r="E29" s="21"/>
      <c r="F29" s="21"/>
      <c r="G29" s="21"/>
      <c r="H29" s="21"/>
      <c r="I29" s="1"/>
    </row>
    <row r="30" spans="2:10" ht="17.25" customHeight="1">
      <c r="B30" s="799"/>
      <c r="C30" s="319" t="s">
        <v>150</v>
      </c>
      <c r="D30" s="133">
        <v>19274</v>
      </c>
      <c r="E30" s="21"/>
      <c r="F30" s="21"/>
      <c r="G30" s="21"/>
      <c r="H30" s="21"/>
      <c r="I30" s="1"/>
    </row>
    <row r="31" spans="2:10" ht="17.25" customHeight="1">
      <c r="B31" s="799"/>
      <c r="C31" s="39" t="s">
        <v>151</v>
      </c>
      <c r="D31" s="133">
        <v>7194</v>
      </c>
      <c r="E31" s="21"/>
      <c r="F31" s="21"/>
      <c r="G31" s="21"/>
      <c r="H31" s="21"/>
      <c r="I31" s="1"/>
    </row>
    <row r="32" spans="2:10" ht="17.25" customHeight="1">
      <c r="B32" s="799"/>
      <c r="C32" s="319" t="s">
        <v>152</v>
      </c>
      <c r="D32" s="133">
        <v>12002</v>
      </c>
      <c r="E32" s="21"/>
      <c r="F32" s="21"/>
      <c r="G32" s="21"/>
      <c r="H32" s="21"/>
      <c r="I32" s="1"/>
    </row>
    <row r="33" spans="2:9" ht="17.25" customHeight="1">
      <c r="B33" s="799"/>
      <c r="C33" s="319" t="s">
        <v>153</v>
      </c>
      <c r="D33" s="133">
        <v>0</v>
      </c>
      <c r="E33" s="21"/>
      <c r="F33" s="21"/>
      <c r="G33" s="21"/>
      <c r="H33" s="21"/>
      <c r="I33" s="1"/>
    </row>
    <row r="34" spans="2:9" ht="17.25" customHeight="1">
      <c r="B34" s="799"/>
      <c r="C34" s="319" t="s">
        <v>156</v>
      </c>
      <c r="D34" s="133">
        <v>436</v>
      </c>
      <c r="E34" s="21"/>
      <c r="F34" s="21"/>
      <c r="G34" s="21"/>
      <c r="H34" s="21"/>
      <c r="I34" s="1"/>
    </row>
    <row r="35" spans="2:9" ht="17.25" customHeight="1">
      <c r="B35" s="925"/>
      <c r="C35" s="320" t="s">
        <v>157</v>
      </c>
      <c r="D35" s="133">
        <f>SUM(D26:D34)</f>
        <v>55122</v>
      </c>
      <c r="E35" s="21"/>
      <c r="F35" s="21"/>
      <c r="G35" s="21"/>
      <c r="H35" s="21"/>
      <c r="I35" s="1"/>
    </row>
    <row r="36" spans="2:9" ht="36" customHeight="1">
      <c r="B36" s="793" t="s">
        <v>159</v>
      </c>
      <c r="C36" s="794"/>
      <c r="D36" s="795"/>
      <c r="E36" s="321"/>
      <c r="F36" s="321"/>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26"/>
  <sheetViews>
    <sheetView zoomScaleNormal="100" zoomScaleSheetLayoutView="50" workbookViewId="0">
      <selection activeCell="H19" sqref="H19"/>
    </sheetView>
  </sheetViews>
  <sheetFormatPr baseColWidth="10" defaultColWidth="10.921875" defaultRowHeight="13.2"/>
  <cols>
    <col min="1" max="1" width="1.765625" style="39" customWidth="1"/>
    <col min="2" max="2" width="9" style="39" customWidth="1"/>
    <col min="3" max="3" width="12.15234375" style="39" customWidth="1"/>
    <col min="4" max="5" width="10.84375" style="39" customWidth="1"/>
    <col min="6" max="6" width="13.921875" style="39" customWidth="1"/>
    <col min="7" max="7" width="10.921875" style="138" customWidth="1"/>
    <col min="8" max="11" width="10.921875" style="39" customWidth="1"/>
    <col min="12" max="14" width="10.921875" style="140" customWidth="1"/>
    <col min="15" max="16" width="10.921875" style="39" customWidth="1"/>
    <col min="17" max="16384" width="10.921875" style="39"/>
  </cols>
  <sheetData>
    <row r="1" spans="2:17" s="19" customFormat="1">
      <c r="B1" s="788" t="s">
        <v>160</v>
      </c>
      <c r="C1" s="788"/>
      <c r="D1" s="788"/>
      <c r="E1" s="788"/>
      <c r="F1" s="788"/>
      <c r="G1" s="563"/>
      <c r="L1" s="139"/>
      <c r="M1" s="139"/>
      <c r="N1" s="139"/>
    </row>
    <row r="2" spans="2:17" s="19" customFormat="1">
      <c r="G2" s="563"/>
      <c r="L2" s="139"/>
      <c r="M2" s="139"/>
      <c r="N2" s="139"/>
    </row>
    <row r="3" spans="2:17" s="19" customFormat="1" ht="29.25" customHeight="1">
      <c r="B3" s="789" t="s">
        <v>406</v>
      </c>
      <c r="C3" s="788"/>
      <c r="D3" s="788"/>
      <c r="E3" s="788"/>
      <c r="F3" s="788"/>
      <c r="G3" s="563"/>
      <c r="L3" s="139"/>
      <c r="M3" s="139"/>
      <c r="N3" s="139"/>
    </row>
    <row r="4" spans="2:17" s="19" customFormat="1" ht="17.25" customHeight="1">
      <c r="B4" s="788" t="s">
        <v>407</v>
      </c>
      <c r="C4" s="788"/>
      <c r="D4" s="788"/>
      <c r="E4" s="788"/>
      <c r="F4" s="788"/>
      <c r="G4" s="563"/>
      <c r="L4" s="139"/>
      <c r="M4" s="139"/>
      <c r="N4" s="139"/>
    </row>
    <row r="5" spans="2:17" s="19" customFormat="1" ht="30" customHeight="1">
      <c r="B5" s="103" t="s">
        <v>127</v>
      </c>
      <c r="C5" s="128" t="s">
        <v>143</v>
      </c>
      <c r="D5" s="129" t="s">
        <v>144</v>
      </c>
      <c r="E5" s="129" t="s">
        <v>145</v>
      </c>
      <c r="F5" s="129" t="s">
        <v>408</v>
      </c>
      <c r="G5" s="563"/>
      <c r="L5" s="139"/>
      <c r="M5" s="139"/>
      <c r="N5" s="139"/>
    </row>
    <row r="6" spans="2:17" ht="15.75" customHeight="1">
      <c r="B6" s="925" t="s">
        <v>138</v>
      </c>
      <c r="C6" s="322" t="s">
        <v>158</v>
      </c>
      <c r="D6" s="326">
        <v>105</v>
      </c>
      <c r="E6" s="326">
        <f>4161/10</f>
        <v>416.1</v>
      </c>
      <c r="F6" s="494">
        <v>39.628571428571398</v>
      </c>
      <c r="G6" s="134"/>
      <c r="H6" s="141"/>
      <c r="I6" s="142"/>
      <c r="J6" s="142"/>
      <c r="K6" s="142"/>
    </row>
    <row r="7" spans="2:17" ht="15.75" customHeight="1">
      <c r="B7" s="798"/>
      <c r="C7" s="322" t="s">
        <v>147</v>
      </c>
      <c r="D7" s="326">
        <v>643</v>
      </c>
      <c r="E7" s="326">
        <f>4954/10</f>
        <v>495.4</v>
      </c>
      <c r="F7" s="494">
        <v>7.7045101088646968</v>
      </c>
      <c r="G7" s="134"/>
      <c r="H7" s="141"/>
      <c r="I7" s="142"/>
      <c r="J7" s="142"/>
      <c r="K7" s="142"/>
    </row>
    <row r="8" spans="2:17" ht="15.75" customHeight="1">
      <c r="B8" s="798"/>
      <c r="C8" s="322" t="s">
        <v>148</v>
      </c>
      <c r="D8" s="326">
        <v>3608</v>
      </c>
      <c r="E8" s="326">
        <f>240756/10</f>
        <v>24075.599999999999</v>
      </c>
      <c r="F8" s="494">
        <v>66.728381374722844</v>
      </c>
      <c r="G8" s="134"/>
      <c r="H8" s="141"/>
      <c r="I8" s="142"/>
      <c r="J8" s="142"/>
      <c r="K8" s="142"/>
    </row>
    <row r="9" spans="2:17" ht="15.75" customHeight="1">
      <c r="B9" s="798"/>
      <c r="C9" s="322" t="s">
        <v>149</v>
      </c>
      <c r="D9" s="326">
        <v>19962</v>
      </c>
      <c r="E9" s="326">
        <f>1919762/10</f>
        <v>191976.2</v>
      </c>
      <c r="F9" s="494">
        <v>96.170824566676686</v>
      </c>
      <c r="G9" s="134"/>
      <c r="H9" s="132"/>
      <c r="I9" s="142"/>
      <c r="J9" s="142"/>
      <c r="K9" s="142"/>
    </row>
    <row r="10" spans="2:17" ht="15.75" customHeight="1">
      <c r="B10" s="798"/>
      <c r="C10" s="322" t="s">
        <v>150</v>
      </c>
      <c r="D10" s="326">
        <v>15580</v>
      </c>
      <c r="E10" s="326">
        <f>1711689/10</f>
        <v>171168.9</v>
      </c>
      <c r="F10" s="494">
        <v>109.86450577663672</v>
      </c>
      <c r="G10" s="134"/>
      <c r="H10" s="132"/>
      <c r="I10" s="142"/>
      <c r="J10" s="142"/>
      <c r="K10" s="142"/>
    </row>
    <row r="11" spans="2:17" ht="15.75" customHeight="1">
      <c r="B11" s="798"/>
      <c r="C11" s="39" t="s">
        <v>151</v>
      </c>
      <c r="D11" s="326">
        <v>5999</v>
      </c>
      <c r="E11" s="326">
        <f>729980/10</f>
        <v>72998</v>
      </c>
      <c r="F11" s="494">
        <v>121.68361393565594</v>
      </c>
      <c r="G11" s="134"/>
      <c r="H11" s="132"/>
      <c r="I11" s="142"/>
      <c r="J11" s="142"/>
      <c r="K11" s="142"/>
    </row>
    <row r="12" spans="2:17" ht="15.75" customHeight="1">
      <c r="B12" s="798"/>
      <c r="C12" s="322" t="s">
        <v>152</v>
      </c>
      <c r="D12" s="326">
        <v>8288</v>
      </c>
      <c r="E12" s="326">
        <f>1022879/10</f>
        <v>102287.9</v>
      </c>
      <c r="F12" s="494">
        <v>123.41686776061776</v>
      </c>
      <c r="G12" s="134"/>
      <c r="H12" s="564"/>
      <c r="I12" s="565"/>
      <c r="J12" s="565"/>
      <c r="K12" s="565"/>
      <c r="L12" s="566"/>
      <c r="M12" s="566"/>
      <c r="N12" s="566"/>
      <c r="O12" s="566"/>
      <c r="P12" s="566"/>
      <c r="Q12" s="566"/>
    </row>
    <row r="13" spans="2:17" ht="15.75" customHeight="1">
      <c r="B13" s="798"/>
      <c r="C13" s="322" t="s">
        <v>153</v>
      </c>
      <c r="D13" s="326">
        <v>109</v>
      </c>
      <c r="E13" s="326">
        <f>11990/10</f>
        <v>1199</v>
      </c>
      <c r="F13" s="494">
        <v>110</v>
      </c>
      <c r="G13" s="134"/>
      <c r="H13" s="564"/>
      <c r="I13" s="565"/>
      <c r="J13" s="565"/>
      <c r="K13" s="565"/>
      <c r="L13" s="566"/>
      <c r="M13" s="566"/>
      <c r="N13" s="566"/>
      <c r="O13" s="566"/>
      <c r="P13" s="566"/>
      <c r="Q13" s="566"/>
    </row>
    <row r="14" spans="2:17" ht="15.75" customHeight="1">
      <c r="B14" s="798"/>
      <c r="C14" s="322" t="s">
        <v>156</v>
      </c>
      <c r="D14" s="326">
        <v>385</v>
      </c>
      <c r="E14" s="326">
        <f>12667/10</f>
        <v>1266.7</v>
      </c>
      <c r="F14" s="494">
        <v>32.9012987012987</v>
      </c>
      <c r="G14" s="134"/>
      <c r="H14" s="564"/>
      <c r="I14" s="565"/>
      <c r="J14" s="565"/>
      <c r="K14" s="565"/>
      <c r="L14" s="566"/>
      <c r="M14" s="566"/>
      <c r="N14" s="566"/>
      <c r="O14" s="566"/>
      <c r="P14" s="566"/>
      <c r="Q14" s="566"/>
    </row>
    <row r="15" spans="2:17" ht="15.75" customHeight="1">
      <c r="B15" s="927"/>
      <c r="C15" s="322" t="s">
        <v>157</v>
      </c>
      <c r="D15" s="326">
        <f>SUM(D6:D14)</f>
        <v>54679</v>
      </c>
      <c r="E15" s="326">
        <f>SUM(E6:E14)</f>
        <v>565883.79999999993</v>
      </c>
      <c r="F15" s="494">
        <f t="shared" ref="F15" si="0">E15/D15*10</f>
        <v>103.49198046782128</v>
      </c>
      <c r="G15" s="134"/>
      <c r="H15" s="564"/>
      <c r="I15" s="566"/>
      <c r="J15" s="565"/>
      <c r="K15" s="565"/>
      <c r="L15" s="566"/>
      <c r="M15" s="566"/>
      <c r="N15" s="566"/>
      <c r="O15" s="566"/>
      <c r="P15" s="566"/>
      <c r="Q15" s="566"/>
    </row>
    <row r="16" spans="2:17" ht="15.75" customHeight="1">
      <c r="B16" s="925" t="s">
        <v>139</v>
      </c>
      <c r="C16" s="322" t="s">
        <v>158</v>
      </c>
      <c r="D16" s="326">
        <v>113</v>
      </c>
      <c r="E16" s="326">
        <f>D16*F16/10</f>
        <v>549.29999999999995</v>
      </c>
      <c r="F16" s="494">
        <v>48.610619469026545</v>
      </c>
      <c r="G16" s="39"/>
      <c r="H16" s="564"/>
      <c r="I16" s="566"/>
      <c r="J16" s="565"/>
      <c r="K16" s="566"/>
      <c r="L16" s="567"/>
      <c r="M16" s="564"/>
      <c r="N16" s="568"/>
      <c r="O16" s="566"/>
      <c r="P16" s="566"/>
      <c r="Q16" s="566"/>
    </row>
    <row r="17" spans="2:17" ht="15.75" customHeight="1">
      <c r="B17" s="798"/>
      <c r="C17" s="322" t="s">
        <v>147</v>
      </c>
      <c r="D17" s="326">
        <v>211</v>
      </c>
      <c r="E17" s="326">
        <f t="shared" ref="E17:E24" si="1">D17*F17/10</f>
        <v>2484.6999999999998</v>
      </c>
      <c r="F17" s="494">
        <v>117.75829383886256</v>
      </c>
      <c r="G17" s="39"/>
      <c r="H17" s="564"/>
      <c r="I17" s="566"/>
      <c r="J17" s="565"/>
      <c r="K17" s="566"/>
      <c r="L17" s="567"/>
      <c r="M17" s="564"/>
      <c r="N17" s="568"/>
      <c r="O17" s="566"/>
      <c r="P17" s="566"/>
      <c r="Q17" s="566"/>
    </row>
    <row r="18" spans="2:17" ht="15.75" customHeight="1">
      <c r="B18" s="798"/>
      <c r="C18" s="322" t="s">
        <v>148</v>
      </c>
      <c r="D18" s="326">
        <v>1841</v>
      </c>
      <c r="E18" s="326">
        <f t="shared" si="1"/>
        <v>20123.7</v>
      </c>
      <c r="F18" s="494">
        <v>109.30852797392721</v>
      </c>
      <c r="G18" s="39"/>
      <c r="H18" s="564"/>
      <c r="I18" s="566"/>
      <c r="J18" s="565"/>
      <c r="K18" s="566"/>
      <c r="L18" s="567"/>
      <c r="M18" s="564"/>
      <c r="N18" s="568"/>
      <c r="O18" s="566"/>
      <c r="P18" s="566"/>
      <c r="Q18" s="566"/>
    </row>
    <row r="19" spans="2:17" ht="15.75" customHeight="1">
      <c r="B19" s="798"/>
      <c r="C19" s="322" t="s">
        <v>149</v>
      </c>
      <c r="D19" s="326">
        <v>20445</v>
      </c>
      <c r="E19" s="326">
        <f t="shared" si="1"/>
        <v>281940.40000000002</v>
      </c>
      <c r="F19" s="494">
        <v>137.90188310100268</v>
      </c>
      <c r="G19" s="39"/>
      <c r="H19" s="564"/>
      <c r="I19" s="566"/>
      <c r="J19" s="565"/>
      <c r="K19" s="566"/>
      <c r="L19" s="567"/>
      <c r="M19" s="564"/>
      <c r="N19" s="568"/>
      <c r="O19" s="566"/>
      <c r="P19" s="566"/>
      <c r="Q19" s="566"/>
    </row>
    <row r="20" spans="2:17" ht="15.75" customHeight="1">
      <c r="B20" s="798"/>
      <c r="C20" s="322" t="s">
        <v>150</v>
      </c>
      <c r="D20" s="326">
        <v>16255</v>
      </c>
      <c r="E20" s="326">
        <f t="shared" si="1"/>
        <v>192941.3</v>
      </c>
      <c r="F20" s="494">
        <v>118.69658566594894</v>
      </c>
      <c r="G20" s="39"/>
      <c r="H20" s="132"/>
      <c r="J20" s="142"/>
      <c r="L20" s="143"/>
      <c r="M20" s="144"/>
      <c r="N20" s="145"/>
    </row>
    <row r="21" spans="2:17" ht="15.75" customHeight="1">
      <c r="B21" s="798"/>
      <c r="C21" s="39" t="s">
        <v>151</v>
      </c>
      <c r="D21" s="326">
        <v>6571</v>
      </c>
      <c r="E21" s="326">
        <f t="shared" si="1"/>
        <v>84241.4</v>
      </c>
      <c r="F21" s="494">
        <v>128.2017957692893</v>
      </c>
      <c r="G21" s="39"/>
      <c r="H21" s="132"/>
      <c r="J21" s="142"/>
      <c r="L21" s="143"/>
      <c r="M21" s="144"/>
      <c r="N21" s="145"/>
    </row>
    <row r="22" spans="2:17" ht="15.75" customHeight="1">
      <c r="B22" s="798"/>
      <c r="C22" s="322" t="s">
        <v>152</v>
      </c>
      <c r="D22" s="326">
        <v>13854</v>
      </c>
      <c r="E22" s="326">
        <f t="shared" si="1"/>
        <v>187727.7</v>
      </c>
      <c r="F22" s="494">
        <v>135.50433087916846</v>
      </c>
      <c r="G22" s="39"/>
      <c r="H22" s="132"/>
      <c r="J22" s="142"/>
      <c r="L22" s="143"/>
      <c r="M22" s="144"/>
      <c r="N22" s="145"/>
    </row>
    <row r="23" spans="2:17" ht="15.75" customHeight="1">
      <c r="B23" s="798"/>
      <c r="C23" s="322" t="s">
        <v>153</v>
      </c>
      <c r="D23" s="326">
        <v>53</v>
      </c>
      <c r="E23" s="326">
        <f t="shared" si="1"/>
        <v>685.29000000000008</v>
      </c>
      <c r="F23" s="494">
        <v>129.30000000000001</v>
      </c>
      <c r="G23" s="39"/>
      <c r="H23" s="132"/>
      <c r="J23" s="142"/>
      <c r="L23" s="143"/>
      <c r="M23" s="144"/>
      <c r="N23" s="145"/>
    </row>
    <row r="24" spans="2:17" ht="15.75" customHeight="1">
      <c r="B24" s="798"/>
      <c r="C24" s="322" t="s">
        <v>156</v>
      </c>
      <c r="D24" s="326">
        <v>385</v>
      </c>
      <c r="E24" s="326">
        <f t="shared" si="1"/>
        <v>1266.7</v>
      </c>
      <c r="F24" s="494">
        <v>32.9012987012987</v>
      </c>
      <c r="G24" s="39"/>
      <c r="H24" s="132"/>
      <c r="J24" s="142"/>
      <c r="L24" s="143"/>
      <c r="M24" s="144"/>
      <c r="N24" s="145"/>
    </row>
    <row r="25" spans="2:17" ht="19.05" customHeight="1">
      <c r="B25" s="927"/>
      <c r="C25" s="322" t="s">
        <v>157</v>
      </c>
      <c r="D25" s="326">
        <f>SUM(D16:D24)</f>
        <v>59728</v>
      </c>
      <c r="E25" s="326">
        <v>771960</v>
      </c>
      <c r="F25" s="494">
        <v>129.19999999999999</v>
      </c>
      <c r="G25" s="39"/>
    </row>
    <row r="26" spans="2:17" ht="25.5" customHeight="1">
      <c r="B26" s="926" t="s">
        <v>409</v>
      </c>
      <c r="C26" s="926"/>
      <c r="D26" s="926"/>
      <c r="E26" s="926"/>
      <c r="F26" s="926"/>
      <c r="G26" s="39"/>
      <c r="H26" s="325"/>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topLeftCell="A8" zoomScaleNormal="100" workbookViewId="0">
      <selection activeCell="H8" sqref="H8"/>
    </sheetView>
  </sheetViews>
  <sheetFormatPr baseColWidth="10" defaultColWidth="10.921875" defaultRowHeight="16.5" customHeight="1"/>
  <cols>
    <col min="1" max="1" width="3.07421875" customWidth="1"/>
    <col min="2" max="2" width="25.07421875" customWidth="1"/>
    <col min="3" max="4" width="10.69140625" customWidth="1"/>
    <col min="5" max="5" width="10.3828125" customWidth="1"/>
    <col min="6" max="6" width="10.921875" style="146" customWidth="1"/>
  </cols>
  <sheetData>
    <row r="1" spans="2:6" ht="16.5" customHeight="1">
      <c r="B1" s="788" t="s">
        <v>163</v>
      </c>
      <c r="C1" s="788"/>
      <c r="D1" s="788"/>
      <c r="E1" s="788"/>
      <c r="F1" s="563"/>
    </row>
    <row r="2" spans="2:6" ht="16.5" customHeight="1">
      <c r="B2" s="31"/>
      <c r="C2" s="31"/>
      <c r="D2" s="31"/>
      <c r="E2" s="31"/>
      <c r="F2" s="563"/>
    </row>
    <row r="3" spans="2:6" ht="33.450000000000003" customHeight="1">
      <c r="B3" s="789" t="s">
        <v>744</v>
      </c>
      <c r="C3" s="808"/>
      <c r="D3" s="808"/>
      <c r="E3" s="808"/>
    </row>
    <row r="4" spans="2:6" ht="30.75" customHeight="1">
      <c r="B4" s="790" t="s">
        <v>748</v>
      </c>
      <c r="C4" s="790"/>
      <c r="D4" s="790"/>
      <c r="E4" s="790"/>
    </row>
    <row r="5" spans="2:6" ht="16.5" customHeight="1">
      <c r="B5" s="930"/>
      <c r="C5" s="930"/>
      <c r="D5" s="930"/>
      <c r="E5" s="930"/>
    </row>
    <row r="7" spans="2:6" ht="15.75" customHeight="1">
      <c r="B7" s="931" t="s">
        <v>143</v>
      </c>
      <c r="C7" s="931"/>
      <c r="D7" s="829" t="s">
        <v>149</v>
      </c>
      <c r="E7" s="829"/>
      <c r="F7"/>
    </row>
    <row r="8" spans="2:6" ht="15.75" customHeight="1">
      <c r="B8" s="805" t="s">
        <v>410</v>
      </c>
      <c r="C8" s="805"/>
      <c r="D8" s="929">
        <v>130</v>
      </c>
      <c r="E8" s="929"/>
      <c r="F8"/>
    </row>
    <row r="9" spans="2:6" ht="15.75" customHeight="1">
      <c r="B9" s="935"/>
      <c r="C9" s="935"/>
      <c r="D9" s="935"/>
      <c r="E9" s="935"/>
      <c r="F9"/>
    </row>
    <row r="10" spans="2:6" ht="15.75" customHeight="1">
      <c r="B10" s="805" t="s">
        <v>411</v>
      </c>
      <c r="C10" s="805"/>
      <c r="D10" s="929" t="s">
        <v>412</v>
      </c>
      <c r="E10" s="929"/>
      <c r="F10"/>
    </row>
    <row r="11" spans="2:6" ht="15.75" customHeight="1">
      <c r="B11" s="805" t="s">
        <v>167</v>
      </c>
      <c r="C11" s="805"/>
      <c r="D11" s="928">
        <v>92000</v>
      </c>
      <c r="E11" s="928"/>
      <c r="F11"/>
    </row>
    <row r="12" spans="2:6" ht="15.75" customHeight="1">
      <c r="B12" s="805" t="s">
        <v>168</v>
      </c>
      <c r="C12" s="805"/>
      <c r="D12" s="928">
        <v>510000</v>
      </c>
      <c r="E12" s="928"/>
      <c r="F12"/>
    </row>
    <row r="13" spans="2:6" ht="15.75" customHeight="1">
      <c r="B13" s="805" t="s">
        <v>169</v>
      </c>
      <c r="C13" s="805"/>
      <c r="D13" s="928">
        <v>1950420</v>
      </c>
      <c r="E13" s="928"/>
      <c r="F13"/>
    </row>
    <row r="14" spans="2:6" ht="15.75" customHeight="1">
      <c r="B14" s="807" t="s">
        <v>413</v>
      </c>
      <c r="C14" s="807"/>
      <c r="D14" s="928">
        <f>127621+778802</f>
        <v>906423</v>
      </c>
      <c r="E14" s="928"/>
      <c r="F14"/>
    </row>
    <row r="15" spans="2:6" ht="15.75" customHeight="1">
      <c r="B15" s="805" t="s">
        <v>170</v>
      </c>
      <c r="C15" s="805"/>
      <c r="D15" s="928">
        <f>SUM(D11:D14)</f>
        <v>3458843</v>
      </c>
      <c r="E15" s="928"/>
      <c r="F15"/>
    </row>
    <row r="16" spans="2:6" ht="15.75" customHeight="1">
      <c r="B16" s="818" t="s">
        <v>414</v>
      </c>
      <c r="C16" s="818"/>
      <c r="D16" s="928">
        <f>$B$21*D8</f>
        <v>3999970</v>
      </c>
      <c r="E16" s="928"/>
      <c r="F16"/>
    </row>
    <row r="17" spans="2:6" ht="15.75" customHeight="1">
      <c r="B17" s="818" t="s">
        <v>173</v>
      </c>
      <c r="C17" s="818"/>
      <c r="D17" s="928">
        <f>D16-D15</f>
        <v>541127</v>
      </c>
      <c r="E17" s="928"/>
      <c r="F17"/>
    </row>
    <row r="18" spans="2:6" ht="16.5" customHeight="1">
      <c r="B18" s="820" t="s">
        <v>415</v>
      </c>
      <c r="C18" s="820"/>
      <c r="D18" s="820"/>
      <c r="E18" s="820"/>
    </row>
    <row r="19" spans="2:6" ht="16.5" customHeight="1">
      <c r="B19" s="32" t="s">
        <v>328</v>
      </c>
      <c r="C19" s="820" t="s">
        <v>416</v>
      </c>
      <c r="D19" s="820"/>
      <c r="E19" s="820"/>
    </row>
    <row r="20" spans="2:6" ht="28.2" customHeight="1">
      <c r="B20" s="148" t="s">
        <v>417</v>
      </c>
      <c r="C20" s="67">
        <f>D20*0.9</f>
        <v>117</v>
      </c>
      <c r="D20" s="67">
        <v>130</v>
      </c>
      <c r="E20" s="67">
        <f>D20*1.1</f>
        <v>143</v>
      </c>
    </row>
    <row r="21" spans="2:6" ht="15.75" customHeight="1">
      <c r="B21" s="149">
        <v>30769</v>
      </c>
      <c r="C21" s="46">
        <f>(C$20*$B21)-D15</f>
        <v>141130</v>
      </c>
      <c r="D21" s="46">
        <f>(D$20*$B21)-D15</f>
        <v>541127</v>
      </c>
      <c r="E21" s="46">
        <f>(E$20*$B21)-D15</f>
        <v>941124</v>
      </c>
    </row>
    <row r="22" spans="2:6" ht="15.75" customHeight="1">
      <c r="B22" s="47" t="s">
        <v>418</v>
      </c>
      <c r="C22" s="46">
        <f>D15/C20</f>
        <v>29562.760683760684</v>
      </c>
      <c r="D22" s="46">
        <f>D15/D20</f>
        <v>26606.484615384616</v>
      </c>
      <c r="E22" s="46">
        <f>D15/E20</f>
        <v>24187.713286713286</v>
      </c>
    </row>
    <row r="23" spans="2:6" ht="31.8" customHeight="1">
      <c r="B23" s="846" t="s">
        <v>177</v>
      </c>
      <c r="C23" s="846"/>
      <c r="D23" s="846"/>
      <c r="E23" s="846"/>
    </row>
    <row r="24" spans="2:6" ht="15.75" customHeight="1">
      <c r="B24" s="933"/>
      <c r="C24" s="933"/>
      <c r="D24" s="933"/>
      <c r="E24" s="933"/>
    </row>
    <row r="25" spans="2:6" ht="15.75" customHeight="1">
      <c r="B25" s="934" t="s">
        <v>178</v>
      </c>
      <c r="C25" s="934"/>
      <c r="D25" s="934"/>
      <c r="E25" s="934"/>
    </row>
    <row r="26" spans="2:6" ht="25.5" customHeight="1">
      <c r="B26" s="932" t="s">
        <v>743</v>
      </c>
      <c r="C26" s="932"/>
      <c r="D26" s="932"/>
      <c r="E26" s="932"/>
    </row>
    <row r="27" spans="2:6" ht="30" customHeight="1">
      <c r="B27" s="932" t="s">
        <v>727</v>
      </c>
      <c r="C27" s="932"/>
      <c r="D27" s="932"/>
      <c r="E27" s="932"/>
    </row>
    <row r="28" spans="2:6" ht="30" customHeight="1">
      <c r="B28" s="932" t="s">
        <v>419</v>
      </c>
      <c r="C28" s="932"/>
      <c r="D28" s="932"/>
      <c r="E28" s="932"/>
    </row>
    <row r="29" spans="2:6" ht="30" customHeight="1">
      <c r="B29" s="932" t="s">
        <v>742</v>
      </c>
      <c r="C29" s="932"/>
      <c r="D29" s="932"/>
      <c r="E29" s="932"/>
    </row>
    <row r="30" spans="2:6" ht="15.75" customHeight="1">
      <c r="B30" s="932" t="s">
        <v>420</v>
      </c>
      <c r="C30" s="932"/>
      <c r="D30" s="932"/>
      <c r="E30" s="932"/>
    </row>
    <row r="31" spans="2:6" ht="16.5" customHeight="1">
      <c r="B31" s="150"/>
      <c r="C31" s="150"/>
      <c r="D31" s="150"/>
      <c r="E31" s="150"/>
    </row>
  </sheetData>
  <mergeCells count="35">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 ref="B29:E29"/>
    <mergeCell ref="B30:E30"/>
    <mergeCell ref="B23:E23"/>
    <mergeCell ref="B24:E24"/>
    <mergeCell ref="B25:E25"/>
    <mergeCell ref="B26:E26"/>
    <mergeCell ref="B27:E27"/>
    <mergeCell ref="B28:E28"/>
    <mergeCell ref="B1:E1"/>
    <mergeCell ref="B3:E3"/>
    <mergeCell ref="B4:E4"/>
    <mergeCell ref="B5:E5"/>
    <mergeCell ref="B7:C7"/>
    <mergeCell ref="D17:E17"/>
    <mergeCell ref="D8:E8"/>
    <mergeCell ref="D10:E10"/>
    <mergeCell ref="D11:E11"/>
    <mergeCell ref="D12:E12"/>
    <mergeCell ref="D13:E13"/>
  </mergeCells>
  <pageMargins left="0.70866141732283472" right="0.70866141732283472" top="0.74803149606299213" bottom="0.74803149606299213" header="0.31496062992125984" footer="0.31496062992125984"/>
  <pageSetup scale="92"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39"/>
  <sheetViews>
    <sheetView topLeftCell="A9" zoomScaleNormal="100" workbookViewId="0">
      <selection activeCell="J9" sqref="J9"/>
    </sheetView>
  </sheetViews>
  <sheetFormatPr baseColWidth="10" defaultColWidth="10.921875" defaultRowHeight="11.4"/>
  <cols>
    <col min="1" max="1" width="0.921875" style="1" customWidth="1"/>
    <col min="2" max="2" width="5.3828125" style="1" customWidth="1"/>
    <col min="3" max="8" width="8.921875" style="1" customWidth="1"/>
    <col min="9" max="14" width="10.921875" style="21" customWidth="1"/>
    <col min="15" max="16384" width="10.921875" style="1"/>
  </cols>
  <sheetData>
    <row r="1" spans="2:15" s="15" customFormat="1" ht="18" customHeight="1">
      <c r="B1" s="788" t="s">
        <v>179</v>
      </c>
      <c r="C1" s="788"/>
      <c r="D1" s="788"/>
      <c r="E1" s="788"/>
      <c r="F1" s="788"/>
      <c r="G1" s="788"/>
      <c r="H1" s="788"/>
      <c r="I1" s="518"/>
      <c r="J1" s="518"/>
      <c r="K1" s="518"/>
      <c r="L1" s="518"/>
      <c r="M1" s="518"/>
      <c r="N1" s="518"/>
      <c r="O1" s="518"/>
    </row>
    <row r="2" spans="2:15" s="15" customFormat="1" ht="13.2">
      <c r="I2" s="518"/>
      <c r="J2" s="518"/>
      <c r="K2" s="518"/>
      <c r="L2" s="518"/>
      <c r="M2" s="518"/>
      <c r="N2" s="518"/>
      <c r="O2" s="518"/>
    </row>
    <row r="3" spans="2:15" s="15" customFormat="1" ht="13.2">
      <c r="B3" s="766" t="s">
        <v>379</v>
      </c>
      <c r="C3" s="766"/>
      <c r="D3" s="766"/>
      <c r="E3" s="766"/>
      <c r="F3" s="766"/>
      <c r="G3" s="766"/>
      <c r="H3" s="766"/>
      <c r="I3" s="518"/>
      <c r="J3" s="518"/>
      <c r="K3" s="518"/>
      <c r="L3" s="518"/>
      <c r="M3" s="518"/>
      <c r="N3" s="518"/>
      <c r="O3" s="518"/>
    </row>
    <row r="4" spans="2:15" s="15" customFormat="1" ht="13.2">
      <c r="B4" s="766" t="s">
        <v>683</v>
      </c>
      <c r="C4" s="766"/>
      <c r="D4" s="766"/>
      <c r="E4" s="766"/>
      <c r="F4" s="766"/>
      <c r="G4" s="766"/>
      <c r="H4" s="766"/>
      <c r="I4" s="518"/>
      <c r="J4" s="518"/>
      <c r="K4" s="518"/>
      <c r="L4" s="518"/>
      <c r="M4" s="518"/>
      <c r="N4" s="518"/>
      <c r="O4" s="518"/>
    </row>
    <row r="5" spans="2:15" s="15" customFormat="1" ht="13.2">
      <c r="B5" s="783" t="s">
        <v>421</v>
      </c>
      <c r="C5" s="783"/>
      <c r="D5" s="783"/>
      <c r="E5" s="783"/>
      <c r="F5" s="783"/>
      <c r="G5" s="783"/>
      <c r="H5" s="783"/>
      <c r="I5" s="518"/>
      <c r="J5" s="518"/>
      <c r="K5" s="518"/>
      <c r="L5" s="518"/>
      <c r="M5" s="518"/>
      <c r="N5" s="518"/>
      <c r="O5" s="518"/>
    </row>
    <row r="6" spans="2:15" s="22" customFormat="1" ht="30" customHeight="1">
      <c r="B6" s="103" t="s">
        <v>111</v>
      </c>
      <c r="C6" s="103" t="s">
        <v>90</v>
      </c>
      <c r="D6" s="103" t="s">
        <v>422</v>
      </c>
      <c r="E6" s="103" t="s">
        <v>184</v>
      </c>
      <c r="F6" s="103" t="s">
        <v>422</v>
      </c>
      <c r="G6" s="103" t="s">
        <v>187</v>
      </c>
      <c r="H6" s="103" t="s">
        <v>422</v>
      </c>
      <c r="I6" s="20"/>
      <c r="J6" s="20"/>
      <c r="K6" s="20"/>
      <c r="L6" s="146"/>
      <c r="M6" s="151"/>
      <c r="N6" s="20"/>
      <c r="O6" s="20"/>
    </row>
    <row r="7" spans="2:15" s="22" customFormat="1" ht="15.75" customHeight="1">
      <c r="B7" s="51">
        <v>2010</v>
      </c>
      <c r="C7" s="64">
        <v>1292649.96</v>
      </c>
      <c r="D7" s="152">
        <v>2.4924102966400675E-2</v>
      </c>
      <c r="E7" s="64">
        <v>596478.2009999993</v>
      </c>
      <c r="F7" s="152">
        <v>-0.19391492994314166</v>
      </c>
      <c r="G7" s="66">
        <v>1889128.1609999994</v>
      </c>
      <c r="H7" s="152">
        <v>-5.5995051271120151E-2</v>
      </c>
      <c r="J7" s="153"/>
      <c r="K7" s="589"/>
      <c r="L7" s="153"/>
      <c r="M7" s="151"/>
      <c r="N7" s="153"/>
      <c r="O7" s="20"/>
    </row>
    <row r="8" spans="2:15" s="22" customFormat="1" ht="15.75" customHeight="1">
      <c r="B8" s="51">
        <v>2011</v>
      </c>
      <c r="C8" s="269">
        <v>1379698.1595000001</v>
      </c>
      <c r="D8" s="154">
        <v>6.734089056870439E-2</v>
      </c>
      <c r="E8" s="269">
        <v>666016.16</v>
      </c>
      <c r="F8" s="154">
        <v>0.11658088909774057</v>
      </c>
      <c r="G8" s="270">
        <v>2045714.3195000002</v>
      </c>
      <c r="H8" s="154">
        <v>8.2888054782430873E-2</v>
      </c>
      <c r="J8" s="153"/>
      <c r="K8" s="589"/>
      <c r="L8" s="153"/>
      <c r="M8" s="151"/>
      <c r="N8" s="153"/>
      <c r="O8" s="20"/>
    </row>
    <row r="9" spans="2:15" s="22" customFormat="1" ht="15.75" customHeight="1">
      <c r="B9" s="51">
        <v>2012</v>
      </c>
      <c r="C9" s="269">
        <v>1413644</v>
      </c>
      <c r="D9" s="154">
        <v>2.4603816614716539E-2</v>
      </c>
      <c r="E9" s="269">
        <v>873303.59099999967</v>
      </c>
      <c r="F9" s="154">
        <v>0.31123483700455501</v>
      </c>
      <c r="G9" s="270">
        <v>2286947.5909999995</v>
      </c>
      <c r="H9" s="154">
        <f t="shared" ref="H9:H13" si="0">(G9/G8-1)</f>
        <v>0.11792128998684426</v>
      </c>
      <c r="J9" s="153"/>
      <c r="K9" s="589"/>
      <c r="L9" s="153"/>
      <c r="M9" s="151"/>
      <c r="N9" s="153"/>
      <c r="O9" s="20"/>
    </row>
    <row r="10" spans="2:15" s="22" customFormat="1" ht="15.75" customHeight="1">
      <c r="B10" s="51">
        <v>2013</v>
      </c>
      <c r="C10" s="269">
        <v>1411057.0441826645</v>
      </c>
      <c r="D10" s="154">
        <v>-1.8299910142408682E-3</v>
      </c>
      <c r="E10" s="269">
        <v>1092901.9909999999</v>
      </c>
      <c r="F10" s="154">
        <v>0.25145711326864378</v>
      </c>
      <c r="G10" s="270">
        <v>2503959.0351826642</v>
      </c>
      <c r="H10" s="154">
        <f t="shared" si="0"/>
        <v>9.4891306226992933E-2</v>
      </c>
      <c r="J10" s="153"/>
      <c r="K10" s="589"/>
      <c r="L10" s="153"/>
      <c r="M10" s="151"/>
      <c r="N10" s="153"/>
      <c r="O10" s="20"/>
    </row>
    <row r="11" spans="2:15" s="22" customFormat="1" ht="15.75" customHeight="1">
      <c r="B11" s="51">
        <v>2014</v>
      </c>
      <c r="C11" s="269">
        <v>1115732</v>
      </c>
      <c r="D11" s="154">
        <v>-0.20929348349182261</v>
      </c>
      <c r="E11" s="269">
        <v>1410364.561</v>
      </c>
      <c r="F11" s="154">
        <v>0.29047670570123435</v>
      </c>
      <c r="G11" s="270">
        <v>2526096.5609999998</v>
      </c>
      <c r="H11" s="154">
        <f t="shared" si="0"/>
        <v>8.8410095797435417E-3</v>
      </c>
      <c r="J11" s="153"/>
      <c r="K11" s="589"/>
      <c r="L11" s="153"/>
      <c r="M11" s="151"/>
      <c r="N11" s="153"/>
      <c r="O11" s="20"/>
    </row>
    <row r="12" spans="2:15" s="22" customFormat="1" ht="15.75" customHeight="1">
      <c r="B12" s="51">
        <v>2015</v>
      </c>
      <c r="C12" s="269">
        <v>1517892</v>
      </c>
      <c r="D12" s="154">
        <v>0.36044498141130665</v>
      </c>
      <c r="E12" s="269">
        <v>1528818.3489999999</v>
      </c>
      <c r="F12" s="154">
        <v>8.3988063282029637E-2</v>
      </c>
      <c r="G12" s="270">
        <v>3046710.3489999999</v>
      </c>
      <c r="H12" s="154">
        <f t="shared" si="0"/>
        <v>0.20609417551081499</v>
      </c>
      <c r="J12" s="153"/>
      <c r="K12" s="589"/>
      <c r="L12" s="153"/>
      <c r="M12" s="151"/>
      <c r="N12" s="153"/>
      <c r="O12" s="20"/>
    </row>
    <row r="13" spans="2:15" s="22" customFormat="1" ht="15.75" customHeight="1">
      <c r="B13" s="51">
        <v>2016</v>
      </c>
      <c r="C13" s="269">
        <v>1149039.1000000001</v>
      </c>
      <c r="D13" s="154">
        <v>-0.2430033889104099</v>
      </c>
      <c r="E13" s="269">
        <v>1462676.1939999999</v>
      </c>
      <c r="F13" s="154">
        <f t="shared" ref="F13:F17" si="1">(E13/E12-1)</f>
        <v>-4.3263580034386462E-2</v>
      </c>
      <c r="G13" s="270">
        <v>2611715.2939999998</v>
      </c>
      <c r="H13" s="154">
        <f t="shared" si="0"/>
        <v>-0.14277532327376496</v>
      </c>
      <c r="J13" s="153"/>
      <c r="K13" s="589"/>
      <c r="L13" s="153"/>
      <c r="M13" s="151"/>
      <c r="N13" s="153"/>
      <c r="O13" s="20"/>
    </row>
    <row r="14" spans="2:15" s="22" customFormat="1" ht="15.75" customHeight="1">
      <c r="B14" s="51">
        <v>2017</v>
      </c>
      <c r="C14" s="269">
        <v>1039676</v>
      </c>
      <c r="D14" s="154">
        <v>-9.5177875148025934E-2</v>
      </c>
      <c r="E14" s="269">
        <v>1590526.189</v>
      </c>
      <c r="F14" s="154">
        <f t="shared" si="1"/>
        <v>8.7408269529817728E-2</v>
      </c>
      <c r="G14" s="270">
        <v>2630202.1890000002</v>
      </c>
      <c r="H14" s="154">
        <f>(G14/G13-1)</f>
        <v>7.078449570085743E-3</v>
      </c>
      <c r="J14" s="153"/>
      <c r="K14" s="589"/>
      <c r="L14" s="153"/>
      <c r="M14" s="151"/>
      <c r="N14" s="153"/>
      <c r="O14" s="20"/>
    </row>
    <row r="15" spans="2:15" s="22" customFormat="1" ht="15.75" customHeight="1">
      <c r="B15" s="51">
        <v>2018</v>
      </c>
      <c r="C15" s="269">
        <v>1087909.8671827174</v>
      </c>
      <c r="D15" s="154">
        <f>(C15/C14-1)</f>
        <v>4.639317170225854E-2</v>
      </c>
      <c r="E15" s="269">
        <v>1918486.1880699999</v>
      </c>
      <c r="F15" s="154">
        <f t="shared" si="1"/>
        <v>0.20619591260939618</v>
      </c>
      <c r="G15" s="270">
        <v>3006396.0552527173</v>
      </c>
      <c r="H15" s="154">
        <f>(G15/G14-1)</f>
        <v>0.14302849713456656</v>
      </c>
      <c r="J15" s="153"/>
      <c r="K15" s="589"/>
      <c r="L15" s="153"/>
      <c r="M15" s="20"/>
      <c r="N15" s="153"/>
      <c r="O15" s="20"/>
    </row>
    <row r="16" spans="2:15" s="22" customFormat="1" ht="15.75" customHeight="1">
      <c r="B16" s="301">
        <v>2019</v>
      </c>
      <c r="C16" s="269">
        <v>951070</v>
      </c>
      <c r="D16" s="154">
        <f>(C16/C15-1)</f>
        <v>-0.12578235689421757</v>
      </c>
      <c r="E16" s="269">
        <v>2366707.7000000002</v>
      </c>
      <c r="F16" s="154">
        <f t="shared" si="1"/>
        <v>0.23363291052979207</v>
      </c>
      <c r="G16" s="270">
        <v>3317777.7</v>
      </c>
      <c r="H16" s="154">
        <f>(G16/G15-1)</f>
        <v>0.10357306190687776</v>
      </c>
      <c r="J16" s="153"/>
      <c r="K16" s="589"/>
      <c r="L16" s="153"/>
      <c r="M16" s="20"/>
      <c r="N16" s="153"/>
      <c r="O16" s="20"/>
    </row>
    <row r="17" spans="2:15" s="22" customFormat="1" ht="15.75" customHeight="1">
      <c r="B17" s="301">
        <v>2020</v>
      </c>
      <c r="C17" s="269">
        <v>565884</v>
      </c>
      <c r="D17" s="154">
        <f>(C17/C16-1)</f>
        <v>-0.40500278633539066</v>
      </c>
      <c r="E17" s="269">
        <v>2788006.5392800001</v>
      </c>
      <c r="F17" s="154">
        <f t="shared" si="1"/>
        <v>0.17801050771077476</v>
      </c>
      <c r="G17" s="270">
        <v>3353890.5392800001</v>
      </c>
      <c r="H17" s="154">
        <f>(G17/G16-1)</f>
        <v>1.088464705757719E-2</v>
      </c>
      <c r="J17" s="153"/>
      <c r="K17" s="589"/>
      <c r="L17" s="153"/>
      <c r="M17" s="20"/>
      <c r="N17" s="153"/>
      <c r="O17" s="20"/>
    </row>
    <row r="18" spans="2:15" s="22" customFormat="1" ht="15.75" customHeight="1">
      <c r="B18" s="301">
        <v>2021</v>
      </c>
      <c r="C18" s="269">
        <f>'33'!E25</f>
        <v>771960</v>
      </c>
      <c r="D18" s="154">
        <f>(C18/C17-1)</f>
        <v>0.36416650762347058</v>
      </c>
      <c r="E18" s="269">
        <v>2341186.7386500002</v>
      </c>
      <c r="F18" s="154">
        <f>(E18/E17-1)</f>
        <v>-0.16026497582942922</v>
      </c>
      <c r="G18" s="269">
        <f>C18+E18</f>
        <v>3113146.7386500002</v>
      </c>
      <c r="H18" s="154">
        <f>(G18/G17-1)</f>
        <v>-7.1780458488571286E-2</v>
      </c>
      <c r="I18" s="246"/>
      <c r="J18" s="153"/>
      <c r="K18" s="589"/>
      <c r="L18" s="153"/>
      <c r="M18" s="20"/>
      <c r="N18" s="153"/>
      <c r="O18" s="20"/>
    </row>
    <row r="19" spans="2:15" s="22" customFormat="1" ht="18" customHeight="1">
      <c r="B19" s="833" t="s">
        <v>423</v>
      </c>
      <c r="C19" s="834"/>
      <c r="D19" s="834"/>
      <c r="E19" s="834"/>
      <c r="F19" s="834"/>
      <c r="G19" s="834"/>
      <c r="H19" s="835"/>
      <c r="I19" s="20"/>
      <c r="J19" s="20"/>
      <c r="K19" s="20"/>
      <c r="L19" s="20"/>
      <c r="M19" s="20"/>
      <c r="N19" s="20"/>
      <c r="O19" s="20"/>
    </row>
    <row r="20" spans="2:15" s="22" customFormat="1" ht="18" customHeight="1">
      <c r="B20" s="936"/>
      <c r="C20" s="936"/>
      <c r="D20" s="936"/>
      <c r="E20" s="936"/>
      <c r="F20" s="936"/>
      <c r="G20" s="936"/>
      <c r="H20" s="936"/>
      <c r="I20" s="20"/>
      <c r="J20" s="20"/>
      <c r="K20" s="20"/>
      <c r="L20" s="20"/>
      <c r="M20" s="20"/>
      <c r="N20" s="20"/>
      <c r="O20" s="20"/>
    </row>
    <row r="21" spans="2:15" ht="12.75" customHeight="1">
      <c r="O21" s="21"/>
    </row>
    <row r="22" spans="2:15" ht="12.75" customHeight="1">
      <c r="O22" s="21"/>
    </row>
    <row r="23" spans="2:15" ht="12.75" customHeight="1">
      <c r="O23" s="21"/>
    </row>
    <row r="24" spans="2:15" ht="12.75" customHeight="1">
      <c r="O24" s="21"/>
    </row>
    <row r="25" spans="2:15" ht="12.75" customHeight="1"/>
    <row r="26" spans="2:15" ht="12.75" customHeight="1"/>
    <row r="27" spans="2:15" ht="12.75" customHeight="1"/>
    <row r="28" spans="2:15" ht="12.75" customHeight="1"/>
    <row r="29" spans="2:15" ht="12.75" customHeight="1">
      <c r="H29" s="10"/>
    </row>
    <row r="30" spans="2:15" ht="12.75" customHeight="1">
      <c r="H30" s="11"/>
      <c r="L30" s="155"/>
    </row>
    <row r="31" spans="2:15" ht="12.75" customHeight="1">
      <c r="L31" s="155"/>
    </row>
    <row r="32" spans="2:15" ht="12.75" customHeight="1">
      <c r="L32" s="155"/>
    </row>
    <row r="33" ht="12.75" customHeight="1"/>
    <row r="34" ht="12.75" customHeight="1"/>
    <row r="35" ht="12.75" customHeight="1"/>
    <row r="36" ht="12.75" customHeight="1"/>
    <row r="37" ht="12.75" customHeight="1"/>
    <row r="38" ht="12.75" customHeight="1"/>
    <row r="39" ht="12.75" customHeight="1"/>
  </sheetData>
  <mergeCells count="6">
    <mergeCell ref="B20:H20"/>
    <mergeCell ref="B1:H1"/>
    <mergeCell ref="B3:H3"/>
    <mergeCell ref="B4:H4"/>
    <mergeCell ref="B5:H5"/>
    <mergeCell ref="B19:H19"/>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zoomScaleNormal="100" workbookViewId="0">
      <selection activeCell="J7" sqref="J7"/>
    </sheetView>
  </sheetViews>
  <sheetFormatPr baseColWidth="10" defaultColWidth="10.921875" defaultRowHeight="17.399999999999999"/>
  <cols>
    <col min="1" max="1" width="1.3046875" style="1" customWidth="1"/>
    <col min="2" max="2" width="14.84375" customWidth="1"/>
    <col min="3" max="6" width="9.3046875" customWidth="1"/>
    <col min="7" max="7" width="9.3046875" style="1" customWidth="1"/>
    <col min="8" max="8" width="7.921875" style="1" customWidth="1"/>
    <col min="9" max="9" width="8.921875" style="1" customWidth="1"/>
    <col min="10" max="11" width="7.921875" style="1" customWidth="1"/>
    <col min="12" max="16384" width="10.921875" style="1"/>
  </cols>
  <sheetData>
    <row r="1" spans="1:11" s="15" customFormat="1" ht="16.5" customHeight="1">
      <c r="B1" s="766" t="s">
        <v>192</v>
      </c>
      <c r="C1" s="766"/>
      <c r="D1" s="766"/>
      <c r="E1" s="766"/>
      <c r="F1" s="766"/>
      <c r="G1" s="766"/>
    </row>
    <row r="2" spans="1:11" s="15" customFormat="1" ht="11.25" customHeight="1">
      <c r="A2" s="17"/>
      <c r="B2" s="17"/>
      <c r="C2" s="17"/>
      <c r="D2" s="17"/>
      <c r="E2" s="16"/>
      <c r="F2" s="420"/>
      <c r="G2" s="23"/>
    </row>
    <row r="3" spans="1:11" s="15" customFormat="1" ht="15.75" customHeight="1">
      <c r="B3" s="766" t="s">
        <v>424</v>
      </c>
      <c r="C3" s="766"/>
      <c r="D3" s="766"/>
      <c r="E3" s="766"/>
      <c r="F3" s="766"/>
      <c r="G3" s="766"/>
    </row>
    <row r="4" spans="1:11" s="15" customFormat="1" ht="15.75" customHeight="1">
      <c r="B4" s="838" t="s">
        <v>663</v>
      </c>
      <c r="C4" s="838"/>
      <c r="D4" s="838"/>
      <c r="E4" s="838"/>
      <c r="F4" s="838"/>
      <c r="G4" s="838"/>
    </row>
    <row r="5" spans="1:11" s="15" customFormat="1" ht="15.75" customHeight="1">
      <c r="B5" s="783" t="s">
        <v>421</v>
      </c>
      <c r="C5" s="783"/>
      <c r="D5" s="783"/>
      <c r="E5" s="783"/>
      <c r="F5" s="783"/>
      <c r="G5" s="783"/>
    </row>
    <row r="6" spans="1:11" s="22" customFormat="1" ht="15.75" customHeight="1">
      <c r="B6" s="128" t="s">
        <v>425</v>
      </c>
      <c r="C6" s="159">
        <v>2018</v>
      </c>
      <c r="D6" s="159">
        <v>2019</v>
      </c>
      <c r="E6" s="159">
        <v>2020</v>
      </c>
      <c r="F6" s="212">
        <v>2021</v>
      </c>
      <c r="G6" s="212">
        <v>2022</v>
      </c>
      <c r="I6" s="95"/>
      <c r="J6" s="95"/>
    </row>
    <row r="7" spans="1:11" s="22" customFormat="1" ht="15.75" customHeight="1">
      <c r="B7" s="53" t="s">
        <v>203</v>
      </c>
      <c r="C7" s="67">
        <v>178988.753</v>
      </c>
      <c r="D7" s="67">
        <v>210065</v>
      </c>
      <c r="E7" s="67">
        <v>189863.11424</v>
      </c>
      <c r="F7" s="306">
        <v>169319.18</v>
      </c>
      <c r="G7" s="306">
        <v>166933.17012999998</v>
      </c>
      <c r="H7" s="241"/>
      <c r="I7" s="95"/>
      <c r="J7" s="11"/>
    </row>
    <row r="8" spans="1:11" s="22" customFormat="1" ht="15.75" customHeight="1">
      <c r="B8" s="53" t="s">
        <v>204</v>
      </c>
      <c r="C8" s="67">
        <v>116325.951</v>
      </c>
      <c r="D8" s="67">
        <v>298256.8</v>
      </c>
      <c r="E8" s="67">
        <v>210122.08674999996</v>
      </c>
      <c r="F8" s="306">
        <v>228790.80032999997</v>
      </c>
      <c r="G8" s="306">
        <v>152294.36619</v>
      </c>
      <c r="H8" s="156"/>
      <c r="I8" s="11"/>
    </row>
    <row r="9" spans="1:11" s="22" customFormat="1" ht="15.75" customHeight="1">
      <c r="B9" s="53" t="s">
        <v>205</v>
      </c>
      <c r="C9" s="67">
        <v>157653.57500000001</v>
      </c>
      <c r="D9" s="67">
        <v>120993</v>
      </c>
      <c r="E9" s="67">
        <v>236367.36278</v>
      </c>
      <c r="F9" s="306">
        <v>169998.05799999999</v>
      </c>
      <c r="G9" s="306">
        <v>134324.87856000001</v>
      </c>
      <c r="H9" s="157"/>
      <c r="I9" s="157"/>
      <c r="J9" s="211"/>
      <c r="K9" s="157"/>
    </row>
    <row r="10" spans="1:11" s="22" customFormat="1" ht="15.75" customHeight="1">
      <c r="B10" s="53" t="s">
        <v>206</v>
      </c>
      <c r="C10" s="67">
        <v>44290.14</v>
      </c>
      <c r="D10" s="67">
        <v>35949</v>
      </c>
      <c r="E10" s="67">
        <v>163687.78844</v>
      </c>
      <c r="F10" s="67">
        <v>124958.82113000001</v>
      </c>
      <c r="G10" s="306">
        <v>109000.40353999998</v>
      </c>
      <c r="H10" s="211"/>
    </row>
    <row r="11" spans="1:11" s="22" customFormat="1" ht="15.75" customHeight="1">
      <c r="B11" s="53" t="s">
        <v>207</v>
      </c>
      <c r="C11" s="67">
        <v>73076.376999999993</v>
      </c>
      <c r="D11" s="67">
        <v>156074</v>
      </c>
      <c r="E11" s="67">
        <v>154544.45334000001</v>
      </c>
      <c r="F11" s="46">
        <v>137570.77900000001</v>
      </c>
      <c r="G11" s="306">
        <v>256508.59538999994</v>
      </c>
      <c r="I11" s="95"/>
      <c r="K11" s="95"/>
    </row>
    <row r="12" spans="1:11" s="22" customFormat="1" ht="15.75" customHeight="1">
      <c r="B12" s="53" t="s">
        <v>208</v>
      </c>
      <c r="C12" s="67">
        <v>170531.42981</v>
      </c>
      <c r="D12" s="67">
        <v>132890.9</v>
      </c>
      <c r="E12" s="67">
        <v>176351.1024</v>
      </c>
      <c r="F12" s="46">
        <v>157439.008</v>
      </c>
      <c r="G12" s="306"/>
      <c r="H12" s="95"/>
      <c r="I12" s="95"/>
      <c r="J12" s="11"/>
      <c r="K12" s="95"/>
    </row>
    <row r="13" spans="1:11" s="22" customFormat="1" ht="15.75" customHeight="1">
      <c r="B13" s="53" t="s">
        <v>209</v>
      </c>
      <c r="C13" s="67">
        <v>252816.71930000003</v>
      </c>
      <c r="D13" s="67">
        <v>260760</v>
      </c>
      <c r="E13" s="67">
        <v>314078.46445999999</v>
      </c>
      <c r="F13" s="46">
        <v>169547.18582999997</v>
      </c>
      <c r="G13" s="306"/>
      <c r="H13" s="95"/>
      <c r="K13" s="95"/>
    </row>
    <row r="14" spans="1:11" s="22" customFormat="1" ht="15.75" customHeight="1">
      <c r="B14" s="53" t="s">
        <v>210</v>
      </c>
      <c r="C14" s="67">
        <v>176338.86595999997</v>
      </c>
      <c r="D14" s="67">
        <v>211372</v>
      </c>
      <c r="E14" s="67">
        <v>320739.91644</v>
      </c>
      <c r="F14" s="46">
        <v>176857.652</v>
      </c>
      <c r="G14" s="306"/>
      <c r="H14" s="95"/>
      <c r="K14" s="95"/>
    </row>
    <row r="15" spans="1:11" s="22" customFormat="1" ht="15.75" customHeight="1">
      <c r="B15" s="53" t="s">
        <v>211</v>
      </c>
      <c r="C15" s="67">
        <v>152839.46731000001</v>
      </c>
      <c r="D15" s="67">
        <v>225844</v>
      </c>
      <c r="E15" s="67">
        <v>269826.26050999999</v>
      </c>
      <c r="F15" s="46">
        <v>245239.02699000001</v>
      </c>
      <c r="G15" s="306"/>
      <c r="H15" s="95"/>
      <c r="I15" s="95"/>
      <c r="J15" s="95"/>
    </row>
    <row r="16" spans="1:11" s="22" customFormat="1" ht="15.75" customHeight="1">
      <c r="B16" s="53" t="s">
        <v>212</v>
      </c>
      <c r="C16" s="67">
        <v>301372.16352</v>
      </c>
      <c r="D16" s="67">
        <v>231780</v>
      </c>
      <c r="E16" s="67">
        <v>349715.25824</v>
      </c>
      <c r="F16" s="46">
        <v>285503.50107</v>
      </c>
      <c r="G16" s="306"/>
    </row>
    <row r="17" spans="2:12" s="22" customFormat="1" ht="15.75" customHeight="1">
      <c r="B17" s="53" t="s">
        <v>196</v>
      </c>
      <c r="C17" s="67">
        <v>80243.48517</v>
      </c>
      <c r="D17" s="67">
        <v>214971</v>
      </c>
      <c r="E17" s="67">
        <v>211944.91768000001</v>
      </c>
      <c r="F17" s="46">
        <v>251377.48130000001</v>
      </c>
      <c r="G17" s="46"/>
      <c r="H17" s="95"/>
      <c r="I17" s="95"/>
    </row>
    <row r="18" spans="2:12" s="22" customFormat="1" ht="15.75" customHeight="1">
      <c r="B18" s="53" t="s">
        <v>197</v>
      </c>
      <c r="C18" s="67">
        <v>214009.261</v>
      </c>
      <c r="D18" s="67">
        <v>267752</v>
      </c>
      <c r="E18" s="67">
        <v>190765.81400000001</v>
      </c>
      <c r="F18" s="46">
        <v>224585.245</v>
      </c>
      <c r="G18" s="46"/>
      <c r="H18" s="95"/>
    </row>
    <row r="19" spans="2:12" s="22" customFormat="1" ht="15.75" customHeight="1">
      <c r="B19" s="53" t="s">
        <v>198</v>
      </c>
      <c r="C19" s="46">
        <v>1918486.1880699999</v>
      </c>
      <c r="D19" s="46">
        <v>2366707.7000000002</v>
      </c>
      <c r="E19" s="46">
        <v>2788006.5392800001</v>
      </c>
      <c r="F19" s="46">
        <v>2341186.7386499997</v>
      </c>
      <c r="G19" s="46">
        <f>SUM(G7:G18)</f>
        <v>819061.41380999982</v>
      </c>
      <c r="H19" s="95"/>
      <c r="I19" s="95"/>
    </row>
    <row r="20" spans="2:12" ht="19.05" customHeight="1">
      <c r="B20" s="791" t="s">
        <v>426</v>
      </c>
      <c r="C20" s="791"/>
      <c r="D20" s="791"/>
      <c r="E20" s="791"/>
      <c r="F20" s="791"/>
      <c r="G20" s="791"/>
      <c r="H20" s="12"/>
      <c r="I20" s="12"/>
    </row>
    <row r="21" spans="2:12" ht="19.05" customHeight="1">
      <c r="B21" s="163"/>
      <c r="C21" s="163"/>
      <c r="D21" s="163"/>
      <c r="E21" s="502"/>
      <c r="F21" s="502"/>
      <c r="G21" s="502"/>
      <c r="H21" s="12"/>
      <c r="I21" s="12"/>
    </row>
    <row r="22" spans="2:12" ht="11.4">
      <c r="B22" s="1"/>
      <c r="C22" s="1"/>
      <c r="D22" s="1"/>
      <c r="E22" s="1"/>
      <c r="F22" s="1"/>
    </row>
    <row r="23" spans="2:12" ht="12" customHeight="1">
      <c r="B23" s="1"/>
      <c r="C23" s="1"/>
      <c r="D23" s="1"/>
      <c r="E23" s="1"/>
      <c r="F23" s="1"/>
    </row>
    <row r="24" spans="2:12" ht="11.4">
      <c r="B24" s="1"/>
      <c r="C24" s="1"/>
      <c r="D24" s="1"/>
      <c r="E24" s="1"/>
      <c r="F24" s="1"/>
    </row>
    <row r="25" spans="2:12" ht="11.4">
      <c r="B25" s="1"/>
      <c r="C25" s="1"/>
      <c r="D25" s="1"/>
      <c r="E25" s="1"/>
      <c r="F25" s="1"/>
    </row>
    <row r="26" spans="2:12" ht="11.4">
      <c r="B26" s="1"/>
      <c r="C26" s="1"/>
      <c r="D26" s="1"/>
      <c r="E26" s="1"/>
      <c r="F26" s="1"/>
    </row>
    <row r="27" spans="2:12" ht="11.4">
      <c r="B27" s="1"/>
      <c r="C27" s="1"/>
      <c r="D27" s="1"/>
      <c r="E27" s="1"/>
      <c r="F27" s="1"/>
    </row>
    <row r="28" spans="2:12" ht="11.4">
      <c r="B28" s="1"/>
      <c r="C28" s="1"/>
      <c r="D28" s="1"/>
      <c r="E28" s="1"/>
      <c r="F28" s="1"/>
    </row>
    <row r="29" spans="2:12" ht="11.4">
      <c r="B29" s="1"/>
      <c r="C29" s="1"/>
      <c r="D29" s="1"/>
      <c r="E29" s="1"/>
      <c r="F29" s="1"/>
      <c r="L29" s="13"/>
    </row>
    <row r="30" spans="2:12" ht="11.4">
      <c r="B30" s="1"/>
      <c r="C30" s="1"/>
      <c r="D30" s="1"/>
      <c r="E30" s="1"/>
      <c r="F30" s="1"/>
    </row>
    <row r="31" spans="2:12" ht="11.4">
      <c r="B31" s="1"/>
      <c r="C31" s="1"/>
      <c r="D31" s="1"/>
      <c r="E31" s="1"/>
      <c r="F31" s="1"/>
    </row>
    <row r="32" spans="2:12" ht="11.4">
      <c r="B32" s="1"/>
      <c r="C32" s="1"/>
      <c r="D32" s="1"/>
      <c r="E32" s="1"/>
      <c r="F32" s="1"/>
    </row>
    <row r="33" spans="2:12" ht="11.4">
      <c r="B33" s="1"/>
      <c r="C33" s="1"/>
      <c r="D33" s="1"/>
      <c r="E33" s="1"/>
      <c r="F33" s="1"/>
    </row>
    <row r="34" spans="2:12" ht="11.4">
      <c r="B34" s="1"/>
      <c r="C34" s="1"/>
      <c r="D34" s="1"/>
      <c r="E34" s="1"/>
      <c r="F34" s="1"/>
    </row>
    <row r="35" spans="2:12" ht="11.4">
      <c r="B35" s="1"/>
      <c r="C35" s="1"/>
      <c r="D35" s="1"/>
      <c r="E35" s="1"/>
      <c r="F35" s="1"/>
    </row>
    <row r="36" spans="2:12" ht="11.4">
      <c r="B36" s="1"/>
      <c r="C36" s="1"/>
      <c r="D36" s="1"/>
      <c r="E36" s="1"/>
      <c r="F36" s="1"/>
    </row>
    <row r="37" spans="2:12" ht="11.4">
      <c r="B37" s="1"/>
      <c r="C37" s="1"/>
      <c r="D37" s="1"/>
      <c r="E37" s="1"/>
      <c r="F37" s="1"/>
    </row>
    <row r="38" spans="2:12" ht="11.4">
      <c r="B38" s="1"/>
      <c r="C38" s="1"/>
      <c r="D38" s="1"/>
      <c r="E38" s="1"/>
      <c r="F38" s="1"/>
    </row>
    <row r="39" spans="2:12" ht="44.25" customHeight="1">
      <c r="B39" s="1"/>
      <c r="C39" s="1"/>
      <c r="D39" s="1"/>
      <c r="E39" s="1"/>
      <c r="F39" s="1"/>
      <c r="I39" s="12"/>
      <c r="J39" s="12"/>
      <c r="K39" s="12"/>
      <c r="L39" s="12"/>
    </row>
    <row r="40" spans="2:12" ht="11.4">
      <c r="B40" s="1"/>
      <c r="C40" s="1"/>
      <c r="D40" s="1"/>
      <c r="E40" s="1"/>
      <c r="F40" s="1"/>
    </row>
    <row r="41" spans="2:12" ht="11.4">
      <c r="B41" s="1"/>
      <c r="C41" s="1"/>
      <c r="D41" s="1"/>
      <c r="E41" s="1"/>
      <c r="F41" s="1"/>
    </row>
    <row r="42" spans="2:12" ht="11.4">
      <c r="B42" s="1"/>
      <c r="C42" s="1"/>
      <c r="D42" s="1"/>
      <c r="E42" s="1"/>
      <c r="F42" s="1"/>
    </row>
    <row r="43" spans="2:12" ht="11.4">
      <c r="B43" s="1"/>
      <c r="C43" s="1"/>
      <c r="D43" s="1"/>
      <c r="E43" s="1"/>
      <c r="F43" s="1"/>
    </row>
    <row r="44" spans="2:12" ht="5.25" customHeight="1">
      <c r="G44" s="158"/>
      <c r="H44" s="158"/>
    </row>
    <row r="45" spans="2:12" ht="11.4">
      <c r="B45" s="1"/>
      <c r="C45" s="1"/>
      <c r="D45" s="1"/>
      <c r="E45" s="1"/>
      <c r="F45" s="1"/>
    </row>
    <row r="48" spans="2:12" ht="18" customHeight="1">
      <c r="B48" s="1"/>
      <c r="C48" s="1"/>
      <c r="D48" s="1"/>
      <c r="E48" s="1"/>
      <c r="F48" s="1"/>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zoomScaleNormal="100" workbookViewId="0">
      <selection activeCell="N15" sqref="N15"/>
    </sheetView>
  </sheetViews>
  <sheetFormatPr baseColWidth="10" defaultColWidth="10.921875" defaultRowHeight="11.4"/>
  <cols>
    <col min="1" max="1" width="1.765625" style="1" customWidth="1"/>
    <col min="2" max="2" width="7" style="1" customWidth="1"/>
    <col min="3" max="7" width="10.23046875" style="1" customWidth="1"/>
    <col min="8" max="8" width="2.23046875" style="1" customWidth="1"/>
    <col min="9" max="9" width="4.3046875" style="1" customWidth="1"/>
    <col min="10" max="10" width="7.07421875" style="1" customWidth="1"/>
    <col min="11" max="11" width="4.765625" style="1" bestFit="1" customWidth="1"/>
    <col min="12" max="13" width="4.3046875" style="1" customWidth="1"/>
    <col min="14" max="14" width="6.921875" style="1" customWidth="1"/>
    <col min="15" max="16384" width="10.921875" style="1"/>
  </cols>
  <sheetData>
    <row r="1" spans="2:18" s="15" customFormat="1" ht="13.2">
      <c r="B1" s="766" t="s">
        <v>86</v>
      </c>
      <c r="C1" s="766"/>
      <c r="D1" s="766"/>
      <c r="E1" s="766"/>
      <c r="F1" s="766"/>
      <c r="G1" s="766"/>
    </row>
    <row r="2" spans="2:18" s="15" customFormat="1" ht="13.2">
      <c r="B2" s="17"/>
      <c r="C2" s="17"/>
      <c r="D2" s="17"/>
      <c r="E2" s="17"/>
      <c r="F2" s="17"/>
      <c r="G2" s="17"/>
    </row>
    <row r="3" spans="2:18" s="15" customFormat="1" ht="13.8" customHeight="1">
      <c r="B3" s="782" t="s">
        <v>728</v>
      </c>
      <c r="C3" s="782"/>
      <c r="D3" s="782"/>
      <c r="E3" s="782"/>
      <c r="F3" s="782"/>
      <c r="G3" s="782"/>
    </row>
    <row r="4" spans="2:18" s="15" customFormat="1" ht="12.75" customHeight="1">
      <c r="B4" s="783" t="s">
        <v>87</v>
      </c>
      <c r="C4" s="783"/>
      <c r="D4" s="783"/>
      <c r="E4" s="783"/>
      <c r="F4" s="783"/>
      <c r="G4" s="783"/>
      <c r="H4" s="23"/>
    </row>
    <row r="5" spans="2:18" s="14" customFormat="1" ht="30" customHeight="1">
      <c r="B5" s="174" t="s">
        <v>88</v>
      </c>
      <c r="C5" s="103" t="s">
        <v>89</v>
      </c>
      <c r="D5" s="103" t="s">
        <v>90</v>
      </c>
      <c r="E5" s="103" t="s">
        <v>91</v>
      </c>
      <c r="F5" s="103" t="s">
        <v>92</v>
      </c>
      <c r="G5" s="103" t="s">
        <v>93</v>
      </c>
      <c r="H5" s="22"/>
      <c r="I5" s="15"/>
      <c r="J5" s="22"/>
      <c r="K5" s="22"/>
      <c r="L5" s="22"/>
      <c r="M5" s="22"/>
      <c r="N5" s="22"/>
      <c r="O5" s="22"/>
      <c r="P5" s="22"/>
      <c r="Q5" s="22"/>
      <c r="R5" s="22"/>
    </row>
    <row r="6" spans="2:18" s="14" customFormat="1" ht="15.75" customHeight="1">
      <c r="B6" s="674">
        <v>44682</v>
      </c>
      <c r="C6" s="32">
        <v>279.72000000000003</v>
      </c>
      <c r="D6" s="32">
        <v>774.83</v>
      </c>
      <c r="E6" s="32">
        <v>787.52</v>
      </c>
      <c r="F6" s="32">
        <v>204.89</v>
      </c>
      <c r="G6" s="32">
        <v>267.02</v>
      </c>
      <c r="H6" s="22"/>
      <c r="I6" s="26"/>
      <c r="J6" s="22"/>
      <c r="K6" s="75"/>
      <c r="L6" s="75"/>
      <c r="M6" s="75"/>
      <c r="N6" s="75"/>
      <c r="O6" s="778"/>
      <c r="P6" s="779"/>
      <c r="Q6" s="22"/>
      <c r="R6" s="22"/>
    </row>
    <row r="7" spans="2:18" s="14" customFormat="1" ht="15.75" customHeight="1">
      <c r="B7" s="674">
        <v>44713</v>
      </c>
      <c r="C7" s="730">
        <v>279.39999999999998</v>
      </c>
      <c r="D7" s="730">
        <v>773.43</v>
      </c>
      <c r="E7" s="730">
        <v>785.99</v>
      </c>
      <c r="F7" s="730">
        <v>204.59</v>
      </c>
      <c r="G7" s="730">
        <v>266.85000000000002</v>
      </c>
      <c r="H7" s="22"/>
      <c r="I7" s="26"/>
      <c r="J7" s="22"/>
      <c r="K7" s="22"/>
      <c r="L7" s="22"/>
      <c r="M7" s="22"/>
      <c r="N7" s="22"/>
      <c r="O7" s="22"/>
      <c r="P7" s="22"/>
      <c r="Q7" s="22"/>
      <c r="R7" s="22"/>
    </row>
    <row r="8" spans="2:18" s="14" customFormat="1" ht="15.75" customHeight="1">
      <c r="B8" s="674">
        <v>44743</v>
      </c>
      <c r="C8" s="336"/>
      <c r="D8" s="336"/>
      <c r="E8" s="336"/>
      <c r="F8" s="336"/>
      <c r="G8" s="336"/>
      <c r="H8" s="22"/>
      <c r="I8" s="22"/>
      <c r="J8" s="22"/>
      <c r="K8" s="22"/>
      <c r="L8" s="22"/>
      <c r="M8" s="22"/>
      <c r="N8" s="22"/>
      <c r="O8" s="22"/>
      <c r="P8" s="22"/>
      <c r="Q8" s="22"/>
      <c r="R8" s="22"/>
    </row>
    <row r="9" spans="2:18" s="14" customFormat="1" ht="15.75" customHeight="1">
      <c r="B9" s="674">
        <v>44774</v>
      </c>
      <c r="C9" s="336"/>
      <c r="D9" s="336"/>
      <c r="E9" s="336"/>
      <c r="F9" s="336"/>
      <c r="G9" s="336"/>
      <c r="H9" s="97"/>
      <c r="I9" s="94"/>
      <c r="J9" s="22"/>
      <c r="K9" s="26"/>
      <c r="L9" s="26"/>
      <c r="M9" s="22"/>
      <c r="N9" s="22"/>
      <c r="O9" s="22" t="s">
        <v>690</v>
      </c>
      <c r="P9" s="22"/>
      <c r="Q9" s="22"/>
      <c r="R9" s="22"/>
    </row>
    <row r="10" spans="2:18" s="14" customFormat="1" ht="15.75" customHeight="1">
      <c r="B10" s="674">
        <v>44805</v>
      </c>
      <c r="C10" s="336"/>
      <c r="D10" s="336"/>
      <c r="E10" s="336"/>
      <c r="F10" s="336"/>
      <c r="G10" s="336"/>
      <c r="H10" s="293"/>
      <c r="I10" s="26"/>
      <c r="J10" s="513"/>
      <c r="K10" s="22"/>
      <c r="L10" s="22"/>
      <c r="M10" s="22"/>
      <c r="N10" s="22"/>
      <c r="O10" s="22"/>
      <c r="P10" s="22"/>
      <c r="Q10" s="22"/>
      <c r="R10" s="22"/>
    </row>
    <row r="11" spans="2:18" s="14" customFormat="1" ht="15.75" customHeight="1">
      <c r="B11" s="674">
        <v>44835</v>
      </c>
      <c r="C11" s="336"/>
      <c r="D11" s="416"/>
      <c r="E11" s="416"/>
      <c r="F11" s="416"/>
      <c r="G11" s="416"/>
      <c r="H11" s="248"/>
      <c r="I11" s="26"/>
      <c r="J11" s="513"/>
      <c r="K11" s="22"/>
      <c r="L11" s="22"/>
      <c r="M11" s="22"/>
      <c r="N11" s="22"/>
      <c r="O11" s="22"/>
      <c r="P11" s="22"/>
      <c r="Q11" s="22"/>
      <c r="R11" s="22"/>
    </row>
    <row r="12" spans="2:18" s="14" customFormat="1" ht="15.75" customHeight="1">
      <c r="B12" s="674">
        <v>44866</v>
      </c>
      <c r="C12" s="416"/>
      <c r="D12" s="416"/>
      <c r="E12" s="416"/>
      <c r="F12" s="416"/>
      <c r="G12" s="416"/>
      <c r="H12" s="248"/>
      <c r="I12" s="26"/>
      <c r="J12" s="22"/>
      <c r="K12" s="22"/>
      <c r="L12" s="22"/>
      <c r="M12" s="22"/>
      <c r="N12" s="22"/>
      <c r="O12" s="22"/>
      <c r="P12" s="22"/>
      <c r="Q12" s="22"/>
      <c r="R12" s="22"/>
    </row>
    <row r="13" spans="2:18" s="14" customFormat="1" ht="15.75" customHeight="1">
      <c r="B13" s="674">
        <v>44896</v>
      </c>
      <c r="C13" s="416"/>
      <c r="D13" s="416"/>
      <c r="E13" s="416"/>
      <c r="F13" s="416"/>
      <c r="G13" s="416"/>
      <c r="H13" s="248"/>
      <c r="I13" s="514"/>
      <c r="J13" s="515"/>
      <c r="K13" s="515"/>
      <c r="L13" s="515"/>
      <c r="M13" s="515"/>
      <c r="N13" s="516"/>
      <c r="O13" s="516"/>
      <c r="P13" s="516"/>
      <c r="Q13" s="516"/>
      <c r="R13" s="516"/>
    </row>
    <row r="14" spans="2:18" s="14" customFormat="1" ht="15.75" customHeight="1">
      <c r="B14" s="674">
        <v>44927</v>
      </c>
      <c r="C14" s="416"/>
      <c r="D14" s="416"/>
      <c r="E14" s="416"/>
      <c r="F14" s="416"/>
      <c r="G14" s="416"/>
      <c r="H14" s="248"/>
      <c r="I14" s="514"/>
      <c r="J14" s="515"/>
      <c r="K14" s="515"/>
      <c r="L14" s="515"/>
      <c r="M14" s="515"/>
      <c r="N14" s="517"/>
      <c r="O14" s="22"/>
      <c r="P14" s="22"/>
      <c r="Q14" s="97"/>
      <c r="R14" s="22"/>
    </row>
    <row r="15" spans="2:18" s="14" customFormat="1" ht="15.75" customHeight="1">
      <c r="B15" s="674">
        <v>44958</v>
      </c>
      <c r="C15" s="336"/>
      <c r="D15" s="336"/>
      <c r="E15" s="336"/>
      <c r="F15" s="336"/>
      <c r="G15" s="336"/>
      <c r="H15" s="95"/>
      <c r="I15" s="26"/>
      <c r="J15" s="22"/>
      <c r="K15" s="22"/>
      <c r="L15" s="22"/>
      <c r="M15" s="22"/>
      <c r="N15" s="403"/>
      <c r="O15" s="22"/>
      <c r="P15" s="22"/>
      <c r="Q15" s="22"/>
      <c r="R15" s="22"/>
    </row>
    <row r="16" spans="2:18" s="14" customFormat="1" ht="15.75" customHeight="1">
      <c r="B16" s="674">
        <v>44986</v>
      </c>
      <c r="C16" s="336"/>
      <c r="D16" s="336"/>
      <c r="E16" s="336"/>
      <c r="F16" s="336"/>
      <c r="G16" s="336"/>
      <c r="H16" s="513"/>
      <c r="I16" s="26"/>
      <c r="J16" s="95"/>
      <c r="K16" s="513"/>
      <c r="L16" s="22"/>
      <c r="M16" s="22"/>
      <c r="N16" s="22"/>
      <c r="O16" s="22"/>
      <c r="P16" s="22"/>
      <c r="Q16" s="22"/>
      <c r="R16" s="22"/>
    </row>
    <row r="17" spans="2:16" s="14" customFormat="1" ht="15.75" customHeight="1">
      <c r="B17" s="674">
        <v>45017</v>
      </c>
      <c r="C17" s="336"/>
      <c r="D17" s="336"/>
      <c r="E17" s="336"/>
      <c r="F17" s="336"/>
      <c r="G17" s="336"/>
      <c r="H17" s="517"/>
      <c r="I17" s="71"/>
      <c r="J17" s="22"/>
      <c r="K17" s="22"/>
      <c r="L17" s="22"/>
      <c r="M17" s="22"/>
      <c r="N17" s="22"/>
      <c r="O17" s="22"/>
      <c r="P17" s="22"/>
    </row>
    <row r="18" spans="2:16" s="14" customFormat="1" ht="21" customHeight="1">
      <c r="B18" s="784" t="s">
        <v>94</v>
      </c>
      <c r="C18" s="784"/>
      <c r="D18" s="784"/>
      <c r="E18" s="784"/>
      <c r="F18" s="784"/>
      <c r="G18" s="784"/>
      <c r="H18" s="518"/>
      <c r="I18" s="22"/>
      <c r="J18" s="41"/>
      <c r="K18" s="22"/>
      <c r="L18" s="22"/>
      <c r="M18" s="22"/>
      <c r="N18" s="22"/>
      <c r="O18" s="22"/>
      <c r="P18" s="22"/>
    </row>
    <row r="19" spans="2:16" s="14" customFormat="1" ht="25.5" customHeight="1">
      <c r="B19" s="784"/>
      <c r="C19" s="784"/>
      <c r="D19" s="784"/>
      <c r="E19" s="784"/>
      <c r="F19" s="784"/>
      <c r="G19" s="784"/>
      <c r="H19" s="513"/>
      <c r="I19" s="71"/>
      <c r="J19" s="22"/>
      <c r="K19" s="22"/>
      <c r="L19" s="22"/>
      <c r="M19" s="22"/>
      <c r="N19" s="22"/>
      <c r="O19" s="22"/>
      <c r="P19" s="22"/>
    </row>
    <row r="21" spans="2:16" ht="16.5" customHeight="1">
      <c r="J21" s="41"/>
      <c r="K21" s="22"/>
      <c r="L21" s="22"/>
      <c r="M21" s="22"/>
      <c r="N21" s="22"/>
      <c r="O21" s="22"/>
    </row>
    <row r="22" spans="2:16" ht="13.2">
      <c r="J22" s="41"/>
      <c r="K22" s="22"/>
      <c r="L22" s="22"/>
      <c r="M22" s="22"/>
      <c r="N22" s="22"/>
      <c r="O22" s="22"/>
    </row>
    <row r="23" spans="2:16" ht="15" customHeight="1">
      <c r="H23" s="4"/>
      <c r="I23" s="90"/>
      <c r="J23" s="41"/>
      <c r="K23" s="22"/>
      <c r="L23" s="22"/>
      <c r="M23" s="22"/>
      <c r="N23" s="22"/>
      <c r="O23" s="22"/>
    </row>
    <row r="24" spans="2:16" ht="10.050000000000001" customHeight="1">
      <c r="H24" s="4"/>
      <c r="J24" s="41"/>
      <c r="K24" s="22"/>
      <c r="L24" s="22"/>
      <c r="M24" s="22"/>
      <c r="N24" s="22"/>
      <c r="O24" s="22"/>
    </row>
    <row r="25" spans="2:16" ht="15" customHeight="1">
      <c r="H25" s="90"/>
      <c r="J25" s="41"/>
      <c r="K25" s="22"/>
      <c r="L25" s="22"/>
      <c r="M25" s="22"/>
      <c r="N25" s="22"/>
      <c r="O25" s="22"/>
    </row>
    <row r="26" spans="2:16" ht="15" customHeight="1">
      <c r="H26" s="4"/>
      <c r="J26" s="41"/>
      <c r="K26" s="22"/>
      <c r="L26" s="22"/>
      <c r="M26" s="22"/>
      <c r="N26" s="22"/>
      <c r="O26" s="22"/>
    </row>
    <row r="27" spans="2:16" ht="15" customHeight="1">
      <c r="H27" s="4"/>
      <c r="J27" s="41"/>
      <c r="K27" s="22"/>
      <c r="L27" s="22"/>
      <c r="M27" s="22"/>
      <c r="N27" s="22"/>
      <c r="O27" s="22"/>
    </row>
    <row r="28" spans="2:16" ht="15" customHeight="1">
      <c r="H28" s="5"/>
      <c r="J28" s="41"/>
      <c r="K28" s="22"/>
      <c r="L28" s="26"/>
      <c r="M28" s="22"/>
      <c r="N28" s="22"/>
      <c r="O28" s="22"/>
    </row>
    <row r="29" spans="2:16" ht="15" customHeight="1">
      <c r="H29" s="5"/>
      <c r="J29" s="41"/>
      <c r="K29" s="22"/>
      <c r="L29" s="22"/>
      <c r="M29" s="22"/>
      <c r="N29" s="22"/>
      <c r="O29" s="22"/>
    </row>
    <row r="30" spans="2:16" ht="15" customHeight="1">
      <c r="H30" s="5"/>
      <c r="J30" s="41"/>
      <c r="K30" s="22"/>
      <c r="L30" s="26"/>
      <c r="M30" s="26"/>
      <c r="N30" s="26"/>
      <c r="O30" s="22"/>
    </row>
    <row r="31" spans="2:16" ht="15" customHeight="1">
      <c r="H31" s="5"/>
      <c r="J31" s="41"/>
      <c r="K31" s="22"/>
      <c r="L31" s="26"/>
      <c r="M31" s="26"/>
      <c r="N31" s="22"/>
      <c r="O31" s="22"/>
      <c r="P31" s="9"/>
    </row>
    <row r="32" spans="2:16" ht="15" customHeight="1">
      <c r="H32" s="5"/>
      <c r="N32" s="9"/>
    </row>
    <row r="33" spans="2:11" ht="15" customHeight="1">
      <c r="H33" s="5"/>
    </row>
    <row r="34" spans="2:11" ht="15" customHeight="1">
      <c r="H34" s="5"/>
    </row>
    <row r="35" spans="2:11" ht="15" customHeight="1">
      <c r="H35" s="5"/>
      <c r="K35" s="12"/>
    </row>
    <row r="36" spans="2:11" ht="13.8" customHeight="1">
      <c r="B36" s="1" t="s">
        <v>95</v>
      </c>
      <c r="H36" s="5"/>
    </row>
    <row r="37" spans="2:11">
      <c r="B37" s="6"/>
      <c r="C37" s="4"/>
      <c r="D37" s="4"/>
      <c r="E37" s="4"/>
      <c r="F37" s="4"/>
      <c r="G37" s="4"/>
    </row>
    <row r="38" spans="2:11" ht="14.1" customHeight="1">
      <c r="B38" s="781"/>
      <c r="C38" s="781"/>
      <c r="D38" s="781"/>
      <c r="E38" s="781"/>
      <c r="F38" s="781"/>
      <c r="G38" s="781"/>
    </row>
    <row r="40" spans="2:11" ht="15.6" customHeight="1">
      <c r="B40" s="780"/>
      <c r="C40" s="780"/>
      <c r="D40" s="780"/>
      <c r="E40" s="780"/>
      <c r="F40" s="780"/>
      <c r="G40" s="780"/>
    </row>
    <row r="41" spans="2:11" ht="17.399999999999999">
      <c r="B41"/>
    </row>
    <row r="42" spans="2:11" ht="17.399999999999999">
      <c r="B42"/>
    </row>
    <row r="43" spans="2:11" ht="17.399999999999999">
      <c r="B43"/>
    </row>
    <row r="44" spans="2:11" ht="17.399999999999999">
      <c r="B44"/>
    </row>
    <row r="45" spans="2:11" ht="17.399999999999999">
      <c r="B45"/>
    </row>
    <row r="46" spans="2:11" ht="17.399999999999999">
      <c r="B46"/>
    </row>
    <row r="47" spans="2:11" ht="17.399999999999999">
      <c r="B47"/>
    </row>
    <row r="48" spans="2:11" ht="17.399999999999999">
      <c r="B48"/>
    </row>
    <row r="49" spans="2:9" ht="17.399999999999999">
      <c r="B49"/>
    </row>
    <row r="50" spans="2:9" ht="17.399999999999999">
      <c r="B50"/>
    </row>
    <row r="51" spans="2:9" ht="17.399999999999999">
      <c r="B51"/>
    </row>
    <row r="52" spans="2:9" ht="17.399999999999999">
      <c r="B52"/>
    </row>
    <row r="53" spans="2:9" ht="17.399999999999999">
      <c r="B53"/>
      <c r="I53"/>
    </row>
    <row r="54" spans="2:9" ht="30" customHeight="1">
      <c r="B54" s="97"/>
      <c r="I54" s="97"/>
    </row>
    <row r="55" spans="2:9" ht="17.399999999999999">
      <c r="B55"/>
    </row>
    <row r="56" spans="2:9" ht="17.399999999999999">
      <c r="B56"/>
    </row>
    <row r="57" spans="2:9" ht="17.399999999999999">
      <c r="B57"/>
    </row>
    <row r="58" spans="2:9" ht="17.399999999999999">
      <c r="B58"/>
    </row>
    <row r="59" spans="2:9" ht="17.399999999999999">
      <c r="B59"/>
    </row>
    <row r="60" spans="2:9" ht="17.399999999999999">
      <c r="B60"/>
    </row>
    <row r="61" spans="2:9" ht="17.399999999999999">
      <c r="B61"/>
    </row>
    <row r="62" spans="2:9" ht="17.399999999999999">
      <c r="B62"/>
    </row>
    <row r="63" spans="2:9" ht="17.399999999999999">
      <c r="B63"/>
    </row>
    <row r="64" spans="2:9" ht="17.399999999999999">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Y40"/>
  <sheetViews>
    <sheetView zoomScaleNormal="100" workbookViewId="0">
      <selection activeCell="B22" sqref="B22:J22"/>
    </sheetView>
  </sheetViews>
  <sheetFormatPr baseColWidth="10" defaultColWidth="10.921875" defaultRowHeight="11.4"/>
  <cols>
    <col min="1" max="1" width="0.765625" style="640" customWidth="1"/>
    <col min="2" max="2" width="12.84375" style="640" customWidth="1"/>
    <col min="3" max="10" width="6.23046875" style="640" customWidth="1"/>
    <col min="11" max="17" width="10.921875" style="373" customWidth="1"/>
    <col min="18" max="25" width="10.921875" style="373"/>
    <col min="26" max="16384" width="10.921875" style="640"/>
  </cols>
  <sheetData>
    <row r="1" spans="2:25" s="637" customFormat="1" ht="13.2">
      <c r="B1" s="766" t="s">
        <v>199</v>
      </c>
      <c r="C1" s="766"/>
      <c r="D1" s="766"/>
      <c r="E1" s="766"/>
      <c r="F1" s="766"/>
      <c r="G1" s="766"/>
      <c r="H1" s="766"/>
      <c r="I1" s="766"/>
      <c r="J1" s="766"/>
      <c r="K1" s="308"/>
      <c r="L1" s="308"/>
      <c r="M1" s="308"/>
      <c r="N1" s="308"/>
      <c r="O1" s="308"/>
      <c r="P1" s="308"/>
      <c r="Q1" s="308"/>
      <c r="R1" s="308"/>
      <c r="S1" s="308"/>
      <c r="T1" s="308"/>
      <c r="U1" s="308"/>
      <c r="V1" s="308"/>
      <c r="W1" s="308"/>
      <c r="X1" s="308"/>
      <c r="Y1" s="308"/>
    </row>
    <row r="2" spans="2:25" s="637" customFormat="1" ht="17.399999999999999">
      <c r="B2" s="712"/>
      <c r="C2" s="712"/>
      <c r="D2" s="712"/>
      <c r="E2" s="712"/>
      <c r="F2" s="712"/>
      <c r="G2" s="712"/>
      <c r="H2" s="712"/>
      <c r="I2" s="23"/>
      <c r="J2" s="23"/>
      <c r="K2" s="692"/>
      <c r="L2" s="625"/>
      <c r="M2" s="625"/>
      <c r="N2" s="625"/>
      <c r="O2" s="693"/>
      <c r="P2" s="308"/>
      <c r="Q2" s="308"/>
      <c r="R2" s="308"/>
      <c r="S2" s="308"/>
      <c r="T2" s="308"/>
      <c r="U2" s="308"/>
      <c r="V2" s="308"/>
      <c r="W2" s="308"/>
      <c r="X2" s="308"/>
      <c r="Y2" s="308"/>
    </row>
    <row r="3" spans="2:25" s="637" customFormat="1" ht="13.2">
      <c r="B3" s="766" t="s">
        <v>427</v>
      </c>
      <c r="C3" s="766"/>
      <c r="D3" s="766"/>
      <c r="E3" s="766"/>
      <c r="F3" s="766"/>
      <c r="G3" s="766"/>
      <c r="H3" s="766"/>
      <c r="I3" s="766"/>
      <c r="J3" s="766"/>
      <c r="K3" s="308"/>
      <c r="L3" s="308"/>
      <c r="M3" s="308"/>
      <c r="N3" s="308"/>
      <c r="O3" s="308"/>
      <c r="P3" s="308"/>
      <c r="Q3" s="308"/>
      <c r="R3" s="308"/>
      <c r="S3" s="308"/>
      <c r="T3" s="308"/>
      <c r="U3" s="308"/>
      <c r="V3" s="308"/>
      <c r="W3" s="308"/>
      <c r="X3" s="308"/>
      <c r="Y3" s="308"/>
    </row>
    <row r="4" spans="2:25" s="637" customFormat="1" ht="13.2">
      <c r="B4" s="941" t="s">
        <v>657</v>
      </c>
      <c r="C4" s="941"/>
      <c r="D4" s="941"/>
      <c r="E4" s="941"/>
      <c r="F4" s="941"/>
      <c r="G4" s="941"/>
      <c r="H4" s="941"/>
      <c r="I4" s="941"/>
      <c r="J4" s="941"/>
      <c r="K4" s="308"/>
      <c r="L4" s="308"/>
      <c r="M4" s="308"/>
      <c r="N4" s="308"/>
      <c r="O4" s="308"/>
      <c r="P4" s="308"/>
      <c r="Q4" s="308"/>
      <c r="R4" s="308"/>
      <c r="S4" s="308"/>
      <c r="T4" s="308"/>
      <c r="U4" s="308"/>
      <c r="V4" s="308"/>
      <c r="W4" s="308"/>
      <c r="X4" s="308"/>
      <c r="Y4" s="308"/>
    </row>
    <row r="5" spans="2:25" s="637" customFormat="1" ht="13.2">
      <c r="B5" s="941" t="s">
        <v>421</v>
      </c>
      <c r="C5" s="941"/>
      <c r="D5" s="941"/>
      <c r="E5" s="941"/>
      <c r="F5" s="941"/>
      <c r="G5" s="941"/>
      <c r="H5" s="941"/>
      <c r="I5" s="941"/>
      <c r="J5" s="941"/>
      <c r="K5" s="308"/>
      <c r="L5" s="308"/>
      <c r="M5" s="308"/>
      <c r="N5" s="308"/>
      <c r="O5" s="308"/>
      <c r="P5" s="308"/>
      <c r="Q5" s="308"/>
      <c r="R5" s="308"/>
      <c r="S5" s="308"/>
      <c r="T5" s="308"/>
      <c r="U5" s="308"/>
      <c r="V5" s="308"/>
      <c r="W5" s="308"/>
      <c r="X5" s="308"/>
      <c r="Y5" s="308"/>
    </row>
    <row r="6" spans="2:25" s="638" customFormat="1" ht="15.75" customHeight="1">
      <c r="B6" s="938" t="s">
        <v>428</v>
      </c>
      <c r="C6" s="937" t="s">
        <v>112</v>
      </c>
      <c r="D6" s="937"/>
      <c r="E6" s="937" t="s">
        <v>119</v>
      </c>
      <c r="F6" s="937"/>
      <c r="G6" s="937" t="s">
        <v>429</v>
      </c>
      <c r="H6" s="937"/>
      <c r="I6" s="938" t="s">
        <v>198</v>
      </c>
      <c r="J6" s="938"/>
      <c r="K6" s="300"/>
      <c r="L6" s="300"/>
      <c r="M6" s="300"/>
      <c r="N6" s="300"/>
      <c r="O6" s="300"/>
      <c r="P6" s="300"/>
      <c r="Q6" s="300"/>
      <c r="R6" s="300"/>
      <c r="S6" s="300"/>
      <c r="T6" s="300"/>
      <c r="U6" s="300"/>
      <c r="V6" s="300"/>
      <c r="W6" s="300"/>
      <c r="X6" s="300"/>
      <c r="Y6" s="300"/>
    </row>
    <row r="7" spans="2:25" s="638" customFormat="1" ht="15.75" customHeight="1">
      <c r="B7" s="938"/>
      <c r="C7" s="414">
        <v>2021</v>
      </c>
      <c r="D7" s="414">
        <v>2022</v>
      </c>
      <c r="E7" s="414">
        <v>2021</v>
      </c>
      <c r="F7" s="414">
        <v>2022</v>
      </c>
      <c r="G7" s="414">
        <v>2021</v>
      </c>
      <c r="H7" s="414">
        <v>2022</v>
      </c>
      <c r="I7" s="414">
        <v>2021</v>
      </c>
      <c r="J7" s="414">
        <v>2022</v>
      </c>
      <c r="K7" s="300"/>
      <c r="L7" s="300"/>
      <c r="M7" s="300"/>
      <c r="N7" s="300"/>
      <c r="O7" s="300"/>
      <c r="P7" s="300"/>
      <c r="Q7" s="300"/>
      <c r="R7" s="300"/>
      <c r="S7" s="300"/>
      <c r="T7" s="300"/>
      <c r="U7" s="300"/>
      <c r="V7" s="300"/>
      <c r="W7" s="300"/>
      <c r="X7" s="300"/>
      <c r="Y7" s="300"/>
    </row>
    <row r="8" spans="2:25" s="638" customFormat="1" ht="15.75" customHeight="1">
      <c r="B8" s="641" t="s">
        <v>203</v>
      </c>
      <c r="C8" s="642">
        <v>51019.17</v>
      </c>
      <c r="D8" s="642">
        <v>166462.09</v>
      </c>
      <c r="E8" s="642">
        <v>20.8</v>
      </c>
      <c r="F8" s="642">
        <v>82.841170000000005</v>
      </c>
      <c r="G8" s="642">
        <v>118254.86</v>
      </c>
      <c r="H8" s="642">
        <v>0</v>
      </c>
      <c r="I8" s="642">
        <v>169319.18</v>
      </c>
      <c r="J8" s="642">
        <v>166933.17012999998</v>
      </c>
      <c r="K8" s="300"/>
      <c r="L8" s="300"/>
      <c r="M8" s="300"/>
      <c r="N8" s="300"/>
      <c r="O8" s="300"/>
      <c r="P8" s="300"/>
      <c r="Q8" s="300"/>
      <c r="R8" s="300"/>
      <c r="S8" s="300"/>
      <c r="T8" s="300"/>
      <c r="U8" s="300"/>
      <c r="V8" s="300"/>
      <c r="W8" s="300"/>
      <c r="X8" s="300"/>
      <c r="Y8" s="300"/>
    </row>
    <row r="9" spans="2:25" s="638" customFormat="1" ht="15.75" customHeight="1">
      <c r="B9" s="641" t="s">
        <v>204</v>
      </c>
      <c r="C9" s="642">
        <v>59130.37</v>
      </c>
      <c r="D9" s="642">
        <v>151536.58625999998</v>
      </c>
      <c r="E9" s="642">
        <v>120126.537</v>
      </c>
      <c r="F9" s="642">
        <v>62.430039999999998</v>
      </c>
      <c r="G9" s="642">
        <v>49219.49</v>
      </c>
      <c r="H9" s="642">
        <v>0</v>
      </c>
      <c r="I9" s="642">
        <v>228790.80032999997</v>
      </c>
      <c r="J9" s="642">
        <v>152294.36619</v>
      </c>
      <c r="K9" s="300"/>
      <c r="L9" s="300"/>
      <c r="M9" s="300"/>
      <c r="N9" s="300"/>
      <c r="O9" s="300"/>
      <c r="P9" s="300"/>
      <c r="Q9" s="300"/>
      <c r="R9" s="300"/>
      <c r="S9" s="300"/>
      <c r="T9" s="300"/>
      <c r="U9" s="300"/>
      <c r="V9" s="300"/>
      <c r="W9" s="300"/>
      <c r="X9" s="300"/>
      <c r="Y9" s="300"/>
    </row>
    <row r="10" spans="2:25" s="638" customFormat="1" ht="15.75" customHeight="1">
      <c r="B10" s="641" t="s">
        <v>205</v>
      </c>
      <c r="C10" s="642">
        <v>57169.987000000001</v>
      </c>
      <c r="D10" s="642">
        <v>133513.89000000001</v>
      </c>
      <c r="E10" s="642">
        <v>105132.518</v>
      </c>
      <c r="F10" s="642">
        <v>2.2199999999999998E-3</v>
      </c>
      <c r="G10" s="642">
        <v>7584.2340000000004</v>
      </c>
      <c r="H10" s="642">
        <v>0</v>
      </c>
      <c r="I10" s="642">
        <v>169998.05799999999</v>
      </c>
      <c r="J10" s="642">
        <v>134324.87856000001</v>
      </c>
      <c r="K10" s="300" t="s">
        <v>690</v>
      </c>
      <c r="L10" s="300"/>
      <c r="M10" s="300" t="s">
        <v>112</v>
      </c>
      <c r="N10" s="300" t="s">
        <v>430</v>
      </c>
      <c r="O10" s="300" t="s">
        <v>429</v>
      </c>
      <c r="P10" s="300" t="s">
        <v>200</v>
      </c>
      <c r="Q10" s="300"/>
      <c r="R10" s="300"/>
      <c r="S10" s="300"/>
      <c r="T10" s="300"/>
      <c r="U10" s="300"/>
      <c r="V10" s="300"/>
      <c r="W10" s="300"/>
      <c r="X10" s="300"/>
      <c r="Y10" s="300"/>
    </row>
    <row r="11" spans="2:25" s="638" customFormat="1" ht="15.75" customHeight="1">
      <c r="B11" s="641" t="s">
        <v>206</v>
      </c>
      <c r="C11" s="642">
        <v>123896.69899999999</v>
      </c>
      <c r="D11" s="642">
        <v>108940.674</v>
      </c>
      <c r="E11" s="642">
        <v>1000</v>
      </c>
      <c r="F11" s="642">
        <v>4.0000000000000001E-3</v>
      </c>
      <c r="G11" s="642">
        <v>0</v>
      </c>
      <c r="H11" s="642">
        <v>0</v>
      </c>
      <c r="I11" s="642">
        <v>124958.82113000001</v>
      </c>
      <c r="J11" s="642">
        <v>109000.40353999998</v>
      </c>
      <c r="K11" s="300"/>
      <c r="L11" s="300"/>
      <c r="M11" s="694">
        <f>D21</f>
        <v>0.99699248844046839</v>
      </c>
      <c r="N11" s="695">
        <f>F21</f>
        <v>2.5379468071025629E-4</v>
      </c>
      <c r="O11" s="695">
        <f>H21</f>
        <v>0</v>
      </c>
      <c r="P11" s="695">
        <f>100%-M11-N11-O11</f>
        <v>2.7537168788213497E-3</v>
      </c>
      <c r="Q11" s="300"/>
      <c r="R11" s="300"/>
      <c r="S11" s="300"/>
      <c r="T11" s="300"/>
      <c r="U11" s="300"/>
      <c r="V11" s="300"/>
      <c r="W11" s="300"/>
      <c r="X11" s="300"/>
      <c r="Y11" s="300"/>
    </row>
    <row r="12" spans="2:25" s="638" customFormat="1" ht="15.75" customHeight="1">
      <c r="B12" s="641" t="s">
        <v>207</v>
      </c>
      <c r="C12" s="642">
        <v>135667.22500000001</v>
      </c>
      <c r="D12" s="642">
        <v>256144.83687999999</v>
      </c>
      <c r="E12" s="642">
        <v>84.369</v>
      </c>
      <c r="F12" s="642">
        <v>62.595999999999997</v>
      </c>
      <c r="G12" s="642">
        <v>0</v>
      </c>
      <c r="H12" s="642">
        <v>0</v>
      </c>
      <c r="I12" s="642">
        <v>137570.77900000001</v>
      </c>
      <c r="J12" s="642">
        <v>256508.59538999994</v>
      </c>
      <c r="K12" s="300">
        <f>SUM(J8:J11)/SUM(I8:I11)-1</f>
        <v>-0.18831378135969379</v>
      </c>
      <c r="L12" s="300"/>
      <c r="M12" s="300" t="s">
        <v>690</v>
      </c>
      <c r="N12" s="300"/>
      <c r="O12" s="300"/>
      <c r="P12" s="300"/>
      <c r="Q12" s="300"/>
      <c r="R12" s="300"/>
      <c r="S12" s="300"/>
      <c r="T12" s="300"/>
      <c r="U12" s="300"/>
      <c r="V12" s="300"/>
      <c r="W12" s="300"/>
      <c r="X12" s="300"/>
      <c r="Y12" s="300"/>
    </row>
    <row r="13" spans="2:25" s="638" customFormat="1" ht="15.75" customHeight="1">
      <c r="B13" s="641" t="s">
        <v>208</v>
      </c>
      <c r="C13" s="642">
        <v>154370.228</v>
      </c>
      <c r="D13" s="642"/>
      <c r="E13" s="642">
        <v>0</v>
      </c>
      <c r="F13" s="642"/>
      <c r="G13" s="642">
        <v>0</v>
      </c>
      <c r="H13" s="642"/>
      <c r="I13" s="642">
        <v>157439.008</v>
      </c>
      <c r="J13" s="642"/>
      <c r="K13" s="300"/>
      <c r="L13" s="300"/>
      <c r="M13" s="300"/>
      <c r="N13" s="300"/>
      <c r="O13" s="300"/>
      <c r="P13" s="300"/>
      <c r="Q13" s="300"/>
      <c r="R13" s="300"/>
      <c r="S13" s="300"/>
      <c r="T13" s="300"/>
      <c r="U13" s="300"/>
      <c r="V13" s="300"/>
      <c r="W13" s="300"/>
      <c r="X13" s="300"/>
      <c r="Y13" s="300"/>
    </row>
    <row r="14" spans="2:25" s="638" customFormat="1" ht="15.75" customHeight="1">
      <c r="B14" s="641" t="s">
        <v>209</v>
      </c>
      <c r="C14" s="642">
        <v>167630.196</v>
      </c>
      <c r="D14" s="642"/>
      <c r="E14" s="642">
        <v>42.185000000000002</v>
      </c>
      <c r="F14" s="642"/>
      <c r="G14" s="642">
        <v>0</v>
      </c>
      <c r="H14" s="642"/>
      <c r="I14" s="642">
        <v>169547.18582999997</v>
      </c>
      <c r="J14" s="642"/>
      <c r="K14" s="300"/>
      <c r="L14" s="300"/>
      <c r="M14" s="300"/>
      <c r="N14" s="300"/>
      <c r="O14" s="300"/>
      <c r="P14" s="300"/>
      <c r="Q14" s="300"/>
      <c r="R14" s="300"/>
      <c r="S14" s="300"/>
      <c r="T14" s="300"/>
      <c r="U14" s="300"/>
      <c r="V14" s="300"/>
      <c r="W14" s="300"/>
      <c r="X14" s="300"/>
      <c r="Y14" s="300"/>
    </row>
    <row r="15" spans="2:25" s="638" customFormat="1" ht="15.75" customHeight="1">
      <c r="B15" s="641" t="s">
        <v>210</v>
      </c>
      <c r="C15" s="642">
        <v>175239.367</v>
      </c>
      <c r="D15" s="642"/>
      <c r="E15" s="642">
        <v>41.731000000000002</v>
      </c>
      <c r="F15" s="642"/>
      <c r="G15" s="642">
        <v>0</v>
      </c>
      <c r="H15" s="642"/>
      <c r="I15" s="642">
        <v>176857.652</v>
      </c>
      <c r="J15" s="642"/>
      <c r="K15" s="300"/>
      <c r="L15" s="300"/>
      <c r="M15" s="300"/>
      <c r="N15" s="300"/>
      <c r="O15" s="300"/>
      <c r="P15" s="300"/>
      <c r="Q15" s="300"/>
      <c r="R15" s="300"/>
      <c r="S15" s="300"/>
      <c r="T15" s="300"/>
      <c r="U15" s="300"/>
      <c r="V15" s="300"/>
      <c r="W15" s="300"/>
      <c r="X15" s="300"/>
      <c r="Y15" s="300"/>
    </row>
    <row r="16" spans="2:25" s="638" customFormat="1" ht="15.75" customHeight="1">
      <c r="B16" s="641" t="s">
        <v>211</v>
      </c>
      <c r="C16" s="642">
        <v>243003.389</v>
      </c>
      <c r="D16" s="642"/>
      <c r="E16" s="642">
        <v>0</v>
      </c>
      <c r="F16" s="642"/>
      <c r="G16" s="642">
        <v>28</v>
      </c>
      <c r="H16" s="642"/>
      <c r="I16" s="642">
        <v>245239.02699000001</v>
      </c>
      <c r="J16" s="642"/>
      <c r="K16" s="300"/>
      <c r="L16" s="300"/>
      <c r="M16" s="300"/>
      <c r="N16" s="300"/>
      <c r="O16" s="300"/>
      <c r="P16" s="300"/>
      <c r="Q16" s="300"/>
      <c r="R16" s="300"/>
      <c r="S16" s="300"/>
      <c r="T16" s="300"/>
      <c r="U16" s="300"/>
      <c r="V16" s="300"/>
      <c r="W16" s="300"/>
      <c r="X16" s="300"/>
      <c r="Y16" s="300"/>
    </row>
    <row r="17" spans="2:25" s="638" customFormat="1" ht="15.75" customHeight="1">
      <c r="B17" s="641" t="s">
        <v>212</v>
      </c>
      <c r="C17" s="642">
        <v>282329.10600000003</v>
      </c>
      <c r="D17" s="642"/>
      <c r="E17" s="642">
        <v>0</v>
      </c>
      <c r="F17" s="642"/>
      <c r="G17" s="642">
        <v>0</v>
      </c>
      <c r="H17" s="642"/>
      <c r="I17" s="642">
        <v>285503.50107</v>
      </c>
      <c r="J17" s="642"/>
      <c r="K17" s="300"/>
      <c r="L17" s="300"/>
      <c r="M17" s="300"/>
      <c r="N17" s="300"/>
      <c r="O17" s="300"/>
      <c r="P17" s="300"/>
      <c r="Q17" s="300"/>
      <c r="R17" s="300"/>
      <c r="S17" s="300"/>
      <c r="T17" s="300"/>
      <c r="U17" s="300"/>
      <c r="V17" s="300"/>
      <c r="W17" s="300"/>
      <c r="X17" s="300"/>
      <c r="Y17" s="300"/>
    </row>
    <row r="18" spans="2:25" s="638" customFormat="1" ht="15.75" customHeight="1">
      <c r="B18" s="641" t="s">
        <v>196</v>
      </c>
      <c r="C18" s="642">
        <v>249068.67</v>
      </c>
      <c r="D18" s="642"/>
      <c r="E18" s="642">
        <v>40.823999999999998</v>
      </c>
      <c r="F18" s="642"/>
      <c r="G18" s="642">
        <v>0</v>
      </c>
      <c r="H18" s="642"/>
      <c r="I18" s="642">
        <v>251377.48130000001</v>
      </c>
      <c r="J18" s="642"/>
      <c r="K18" s="300"/>
      <c r="L18" s="696"/>
      <c r="M18" s="696"/>
      <c r="N18" s="696"/>
      <c r="O18" s="696"/>
      <c r="P18" s="300"/>
      <c r="Q18" s="300"/>
      <c r="R18" s="300"/>
      <c r="S18" s="300"/>
      <c r="T18" s="300"/>
      <c r="U18" s="300"/>
      <c r="V18" s="300"/>
      <c r="W18" s="300"/>
      <c r="X18" s="300"/>
      <c r="Y18" s="300"/>
    </row>
    <row r="19" spans="2:25" s="638" customFormat="1" ht="15.75" customHeight="1">
      <c r="B19" s="641" t="s">
        <v>197</v>
      </c>
      <c r="C19" s="642">
        <v>222700.34599999999</v>
      </c>
      <c r="D19" s="642"/>
      <c r="E19" s="642">
        <v>62.43</v>
      </c>
      <c r="F19" s="642"/>
      <c r="G19" s="642">
        <v>56</v>
      </c>
      <c r="H19" s="642"/>
      <c r="I19" s="642">
        <v>224585.245</v>
      </c>
      <c r="J19" s="643"/>
      <c r="K19" s="300"/>
      <c r="L19" s="300"/>
      <c r="M19" s="300"/>
      <c r="N19" s="300"/>
      <c r="O19" s="300"/>
      <c r="P19" s="300"/>
      <c r="Q19" s="300"/>
      <c r="R19" s="300"/>
      <c r="S19" s="300"/>
      <c r="T19" s="300"/>
      <c r="U19" s="300"/>
      <c r="V19" s="300"/>
      <c r="W19" s="300"/>
      <c r="X19" s="300"/>
      <c r="Y19" s="300"/>
    </row>
    <row r="20" spans="2:25" s="638" customFormat="1" ht="15.75" customHeight="1">
      <c r="B20" s="641" t="s">
        <v>198</v>
      </c>
      <c r="C20" s="642">
        <f>SUM(C8:C19)</f>
        <v>1921224.753</v>
      </c>
      <c r="D20" s="642">
        <f t="shared" ref="D20:I20" si="0">SUM(D8:D19)</f>
        <v>816598.07713999995</v>
      </c>
      <c r="E20" s="642">
        <f t="shared" si="0"/>
        <v>226551.39399999997</v>
      </c>
      <c r="F20" s="642">
        <f t="shared" si="0"/>
        <v>207.87342999999998</v>
      </c>
      <c r="G20" s="642">
        <f t="shared" si="0"/>
        <v>175142.584</v>
      </c>
      <c r="H20" s="642">
        <f t="shared" si="0"/>
        <v>0</v>
      </c>
      <c r="I20" s="642">
        <f t="shared" si="0"/>
        <v>2341186.7386499997</v>
      </c>
      <c r="J20" s="642">
        <f>SUM(J8:J19)</f>
        <v>819061.41380999982</v>
      </c>
      <c r="K20" s="697"/>
      <c r="L20" s="300"/>
      <c r="M20" s="300"/>
      <c r="N20" s="300"/>
      <c r="O20" s="300"/>
      <c r="P20" s="300"/>
      <c r="Q20" s="300"/>
      <c r="R20" s="300"/>
      <c r="S20" s="300"/>
      <c r="T20" s="300"/>
      <c r="U20" s="300"/>
      <c r="V20" s="300"/>
      <c r="W20" s="300"/>
      <c r="X20" s="300"/>
      <c r="Y20" s="300"/>
    </row>
    <row r="21" spans="2:25" s="638" customFormat="1" ht="15.75" customHeight="1">
      <c r="B21" s="644" t="s">
        <v>431</v>
      </c>
      <c r="C21" s="645">
        <f>C20/$I20</f>
        <v>0.82062003909514591</v>
      </c>
      <c r="D21" s="646">
        <f>D20/J20</f>
        <v>0.99699248844046839</v>
      </c>
      <c r="E21" s="646">
        <f>E20/$I20</f>
        <v>9.676775895742365E-2</v>
      </c>
      <c r="F21" s="646">
        <f>F20/J20</f>
        <v>2.5379468071025629E-4</v>
      </c>
      <c r="G21" s="645">
        <f>G20/I20</f>
        <v>7.4809318329298505E-2</v>
      </c>
      <c r="H21" s="645">
        <f>H20/J20</f>
        <v>0</v>
      </c>
      <c r="I21" s="647">
        <f>+I20/I20</f>
        <v>1</v>
      </c>
      <c r="J21" s="647">
        <f>J20/J20</f>
        <v>1</v>
      </c>
      <c r="K21" s="300"/>
      <c r="L21" s="300"/>
      <c r="M21" s="300"/>
      <c r="N21" s="300"/>
      <c r="O21" s="300"/>
      <c r="P21" s="300"/>
      <c r="Q21" s="300"/>
      <c r="R21" s="300"/>
      <c r="S21" s="300"/>
      <c r="T21" s="300"/>
      <c r="U21" s="300"/>
      <c r="V21" s="300"/>
      <c r="W21" s="300"/>
      <c r="X21" s="300"/>
      <c r="Y21" s="300"/>
    </row>
    <row r="22" spans="2:25" s="638" customFormat="1" ht="28.5" customHeight="1">
      <c r="B22" s="940" t="s">
        <v>432</v>
      </c>
      <c r="C22" s="940"/>
      <c r="D22" s="940"/>
      <c r="E22" s="940"/>
      <c r="F22" s="940"/>
      <c r="G22" s="940"/>
      <c r="H22" s="940"/>
      <c r="I22" s="940"/>
      <c r="J22" s="940"/>
      <c r="K22" s="300"/>
      <c r="L22" s="300"/>
      <c r="M22" s="300"/>
      <c r="N22" s="300"/>
      <c r="O22" s="300"/>
      <c r="P22" s="300"/>
      <c r="Q22" s="300"/>
      <c r="R22" s="300"/>
      <c r="S22" s="300"/>
      <c r="T22" s="300"/>
      <c r="U22" s="300"/>
      <c r="V22" s="300"/>
      <c r="W22" s="300"/>
      <c r="X22" s="300"/>
      <c r="Y22" s="300"/>
    </row>
    <row r="23" spans="2:25" ht="15" customHeight="1">
      <c r="B23" s="639"/>
      <c r="C23" s="639"/>
      <c r="D23" s="639"/>
      <c r="E23" s="639"/>
      <c r="F23" s="639"/>
      <c r="G23" s="639"/>
      <c r="H23" s="639"/>
      <c r="I23" s="639"/>
      <c r="J23" s="639"/>
    </row>
    <row r="24" spans="2:25" ht="15" customHeight="1"/>
    <row r="25" spans="2:25" ht="15" customHeight="1"/>
    <row r="26" spans="2:25" ht="15" customHeight="1"/>
    <row r="27" spans="2:25" ht="15" customHeight="1"/>
    <row r="28" spans="2:25" ht="57" customHeight="1">
      <c r="L28" s="698"/>
    </row>
    <row r="29" spans="2:25" ht="15" customHeight="1"/>
    <row r="30" spans="2:25" ht="15" customHeight="1"/>
    <row r="31" spans="2:25" ht="15" customHeight="1"/>
    <row r="32" spans="2:25" ht="15" customHeight="1"/>
    <row r="33" spans="2:10" ht="15" customHeight="1"/>
    <row r="34" spans="2:10" ht="15" customHeight="1"/>
    <row r="35" spans="2:10" ht="15" customHeight="1">
      <c r="D35" s="640" t="s">
        <v>433</v>
      </c>
    </row>
    <row r="36" spans="2:10" ht="15" customHeight="1"/>
    <row r="37" spans="2:10" ht="15" customHeight="1"/>
    <row r="38" spans="2:10" ht="15" customHeight="1"/>
    <row r="40" spans="2:10">
      <c r="B40" s="939" t="s">
        <v>432</v>
      </c>
      <c r="C40" s="939"/>
      <c r="D40" s="939"/>
      <c r="E40" s="939"/>
      <c r="F40" s="939"/>
      <c r="G40" s="939"/>
      <c r="H40" s="939"/>
      <c r="I40" s="939"/>
      <c r="J40" s="939"/>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C20:J20 K12" formulaRange="1"/>
    <ignoredError sqref="E21" formula="1" formulaRange="1"/>
    <ignoredError sqref="D21"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6"/>
  <sheetViews>
    <sheetView zoomScaleNormal="100" workbookViewId="0">
      <selection activeCell="I11" sqref="I11"/>
    </sheetView>
  </sheetViews>
  <sheetFormatPr baseColWidth="10" defaultColWidth="10.921875" defaultRowHeight="11.4"/>
  <cols>
    <col min="1" max="1" width="4.3828125" style="1" customWidth="1"/>
    <col min="2" max="6" width="10.69140625" style="1" customWidth="1"/>
    <col min="7" max="16384" width="10.921875" style="1"/>
  </cols>
  <sheetData>
    <row r="1" spans="2:17" s="22" customFormat="1" ht="12.75" customHeight="1">
      <c r="B1" s="789" t="s">
        <v>215</v>
      </c>
      <c r="C1" s="789"/>
      <c r="D1" s="789"/>
      <c r="E1" s="789"/>
      <c r="F1" s="789"/>
    </row>
    <row r="2" spans="2:17" s="22" customFormat="1" ht="13.2">
      <c r="B2" s="39"/>
      <c r="C2" s="39"/>
      <c r="D2" s="39"/>
      <c r="E2" s="39"/>
      <c r="F2" s="39"/>
    </row>
    <row r="3" spans="2:17" s="22" customFormat="1" ht="13.2">
      <c r="B3" s="788" t="s">
        <v>434</v>
      </c>
      <c r="C3" s="788"/>
      <c r="D3" s="788"/>
      <c r="E3" s="788"/>
      <c r="F3" s="788"/>
    </row>
    <row r="4" spans="2:17" s="22" customFormat="1" ht="13.2">
      <c r="B4" s="942" t="s">
        <v>665</v>
      </c>
      <c r="C4" s="942"/>
      <c r="D4" s="942"/>
      <c r="E4" s="942"/>
      <c r="F4" s="942"/>
    </row>
    <row r="5" spans="2:17" s="22" customFormat="1" ht="15" customHeight="1">
      <c r="B5" s="788" t="s">
        <v>421</v>
      </c>
      <c r="C5" s="788"/>
      <c r="D5" s="788"/>
      <c r="E5" s="788"/>
      <c r="F5" s="788"/>
    </row>
    <row r="6" spans="2:17" s="22" customFormat="1" ht="60" customHeight="1">
      <c r="B6" s="159" t="s">
        <v>435</v>
      </c>
      <c r="C6" s="117" t="s">
        <v>436</v>
      </c>
      <c r="D6" s="117">
        <v>11042300</v>
      </c>
      <c r="E6" s="569" t="s">
        <v>437</v>
      </c>
      <c r="F6" s="117" t="s">
        <v>438</v>
      </c>
    </row>
    <row r="7" spans="2:17" s="22" customFormat="1" ht="39.75" customHeight="1">
      <c r="B7" s="159" t="s">
        <v>182</v>
      </c>
      <c r="C7" s="117" t="s">
        <v>439</v>
      </c>
      <c r="D7" s="117" t="s">
        <v>440</v>
      </c>
      <c r="E7" s="117" t="s">
        <v>441</v>
      </c>
      <c r="F7" s="117" t="s">
        <v>442</v>
      </c>
    </row>
    <row r="8" spans="2:17" s="22" customFormat="1" ht="15.75" customHeight="1">
      <c r="B8" s="368" t="s">
        <v>443</v>
      </c>
      <c r="C8" s="160">
        <v>1590526.189</v>
      </c>
      <c r="D8" s="160">
        <v>6718.7069999999994</v>
      </c>
      <c r="E8" s="160">
        <v>53655.113000000005</v>
      </c>
      <c r="F8" s="160">
        <v>104092</v>
      </c>
      <c r="L8" s="22" t="s">
        <v>690</v>
      </c>
      <c r="M8" s="95"/>
      <c r="N8" s="95"/>
      <c r="O8" s="95"/>
      <c r="P8" s="95"/>
      <c r="Q8" s="95"/>
    </row>
    <row r="9" spans="2:17" s="22" customFormat="1" ht="15.75" customHeight="1">
      <c r="B9" s="369" t="s">
        <v>444</v>
      </c>
      <c r="C9" s="160">
        <v>1918486.1880699999</v>
      </c>
      <c r="D9" s="160">
        <v>5892.6107100000008</v>
      </c>
      <c r="E9" s="160">
        <v>49561.083280000006</v>
      </c>
      <c r="F9" s="160">
        <v>107022.41454</v>
      </c>
      <c r="M9" s="95"/>
      <c r="N9" s="95"/>
      <c r="O9" s="95"/>
      <c r="P9" s="95"/>
      <c r="Q9" s="95"/>
    </row>
    <row r="10" spans="2:17" s="22" customFormat="1" ht="15.75" customHeight="1">
      <c r="B10" s="369" t="s">
        <v>445</v>
      </c>
      <c r="C10" s="160">
        <v>2366708</v>
      </c>
      <c r="D10" s="160">
        <v>9269.3809999999994</v>
      </c>
      <c r="E10" s="160">
        <v>30978.243129999999</v>
      </c>
      <c r="F10" s="160">
        <v>41359.577440000001</v>
      </c>
      <c r="H10" s="95"/>
    </row>
    <row r="11" spans="2:17" s="22" customFormat="1" ht="15.75" customHeight="1">
      <c r="B11" s="369" t="s">
        <v>446</v>
      </c>
      <c r="C11" s="160">
        <v>2788006.5392800001</v>
      </c>
      <c r="D11" s="160">
        <v>38067.715980000001</v>
      </c>
      <c r="E11" s="160">
        <v>14745.50964</v>
      </c>
      <c r="F11" s="160">
        <v>42658.128199999999</v>
      </c>
      <c r="H11" s="95"/>
    </row>
    <row r="12" spans="2:17" s="22" customFormat="1" ht="15.75" customHeight="1">
      <c r="B12" s="369" t="s">
        <v>655</v>
      </c>
      <c r="C12" s="160">
        <v>2341186.7386499997</v>
      </c>
      <c r="D12" s="160">
        <v>150229.49423000001</v>
      </c>
      <c r="E12" s="160">
        <v>24343.472229999999</v>
      </c>
      <c r="F12" s="160">
        <v>56254.025810000006</v>
      </c>
      <c r="H12" s="95" t="s">
        <v>697</v>
      </c>
    </row>
    <row r="13" spans="2:17" s="22" customFormat="1" ht="15.75" customHeight="1">
      <c r="B13" s="369" t="s">
        <v>664</v>
      </c>
      <c r="C13" s="160">
        <v>819061.41380999982</v>
      </c>
      <c r="D13" s="160">
        <v>76184.645489999995</v>
      </c>
      <c r="E13" s="160">
        <v>2717.4094599999999</v>
      </c>
      <c r="F13" s="160">
        <v>21367.288250000001</v>
      </c>
      <c r="H13" s="95"/>
    </row>
    <row r="14" spans="2:17" ht="24" customHeight="1">
      <c r="B14" s="791" t="s">
        <v>654</v>
      </c>
      <c r="C14" s="791"/>
      <c r="D14" s="791"/>
      <c r="E14" s="791"/>
      <c r="F14" s="791"/>
    </row>
    <row r="15" spans="2:17" s="21" customFormat="1" ht="19.05" customHeight="1">
      <c r="C15" s="146"/>
      <c r="D15" s="146"/>
      <c r="E15" s="146"/>
      <c r="F15" s="146"/>
    </row>
    <row r="16" spans="2:17" s="21" customFormat="1" ht="12" customHeight="1">
      <c r="C16" s="116"/>
      <c r="D16" s="116"/>
      <c r="E16" s="116"/>
    </row>
    <row r="17" spans="2:6" s="21" customFormat="1" ht="12" customHeight="1">
      <c r="C17" s="116"/>
      <c r="D17" s="116"/>
      <c r="E17" s="116"/>
    </row>
    <row r="32" spans="2:6">
      <c r="B32" s="29"/>
      <c r="C32" s="29"/>
      <c r="D32" s="29"/>
      <c r="E32" s="29"/>
      <c r="F32" s="29"/>
    </row>
    <row r="33" spans="2:6">
      <c r="B33" s="29"/>
      <c r="C33" s="29"/>
      <c r="D33" s="29"/>
      <c r="E33" s="29"/>
      <c r="F33" s="29"/>
    </row>
    <row r="34" spans="2:6">
      <c r="B34" s="29"/>
      <c r="C34" s="29"/>
      <c r="D34" s="29"/>
      <c r="E34" s="29"/>
      <c r="F34" s="29"/>
    </row>
    <row r="35" spans="2:6" ht="16.5" customHeight="1">
      <c r="B35" s="49"/>
      <c r="C35" s="29"/>
      <c r="D35" s="29"/>
      <c r="E35" s="29"/>
      <c r="F35" s="29"/>
    </row>
    <row r="36" spans="2:6">
      <c r="B36" s="29"/>
      <c r="C36" s="29"/>
      <c r="D36" s="29"/>
      <c r="E36" s="29"/>
      <c r="F36" s="29"/>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7"/>
  <sheetViews>
    <sheetView topLeftCell="A7" zoomScaleNormal="100" workbookViewId="0">
      <selection activeCell="I9" sqref="I9"/>
    </sheetView>
  </sheetViews>
  <sheetFormatPr baseColWidth="10" defaultColWidth="10.921875" defaultRowHeight="11.4"/>
  <cols>
    <col min="1" max="1" width="1" style="1" customWidth="1"/>
    <col min="2" max="2" width="1.765625" style="1" customWidth="1"/>
    <col min="3" max="7" width="11.765625" style="1" customWidth="1"/>
    <col min="8" max="8" width="2.15234375" style="1" customWidth="1"/>
    <col min="9" max="16384" width="10.921875" style="1"/>
  </cols>
  <sheetData>
    <row r="1" spans="3:27" s="39" customFormat="1" ht="18" customHeight="1">
      <c r="C1" s="789" t="s">
        <v>219</v>
      </c>
      <c r="D1" s="789"/>
      <c r="E1" s="789"/>
      <c r="F1" s="789"/>
      <c r="G1" s="789"/>
      <c r="H1" s="100"/>
    </row>
    <row r="2" spans="3:27" s="39" customFormat="1" ht="13.2"/>
    <row r="3" spans="3:27" s="39" customFormat="1" ht="30" customHeight="1">
      <c r="C3" s="789" t="s">
        <v>447</v>
      </c>
      <c r="D3" s="789"/>
      <c r="E3" s="789"/>
      <c r="F3" s="789"/>
      <c r="G3" s="789"/>
      <c r="H3" s="31"/>
    </row>
    <row r="4" spans="3:27" s="39" customFormat="1" ht="18" customHeight="1">
      <c r="C4" s="942" t="s">
        <v>665</v>
      </c>
      <c r="D4" s="942"/>
      <c r="E4" s="942"/>
      <c r="F4" s="942"/>
      <c r="G4" s="942"/>
      <c r="H4" s="161"/>
    </row>
    <row r="5" spans="3:27" s="39" customFormat="1" ht="17.25" customHeight="1">
      <c r="C5" s="942" t="s">
        <v>448</v>
      </c>
      <c r="D5" s="942"/>
      <c r="E5" s="942"/>
      <c r="F5" s="942"/>
      <c r="G5" s="942"/>
      <c r="H5" s="161"/>
    </row>
    <row r="6" spans="3:27" s="22" customFormat="1" ht="44.25" customHeight="1">
      <c r="C6" s="103" t="str">
        <f>'38'!B6</f>
        <v>Código aduanas</v>
      </c>
      <c r="D6" s="103" t="str">
        <f>'38'!C6</f>
        <v>10059000 10059020 10059090</v>
      </c>
      <c r="E6" s="103">
        <f>'38'!D6</f>
        <v>11042300</v>
      </c>
      <c r="F6" s="103" t="str">
        <f>'38'!E6</f>
        <v>10070090 10079010 10079090</v>
      </c>
      <c r="G6" s="103" t="str">
        <f>'38'!F6</f>
        <v>23099060 23099080</v>
      </c>
      <c r="H6" s="100"/>
    </row>
    <row r="7" spans="3:27" s="22" customFormat="1" ht="37.5" customHeight="1">
      <c r="C7" s="128" t="s">
        <v>182</v>
      </c>
      <c r="D7" s="103" t="str">
        <f>'38'!C7</f>
        <v>Maíz grano</v>
      </c>
      <c r="E7" s="103" t="str">
        <f>'38'!D7</f>
        <v>Maíz partido</v>
      </c>
      <c r="F7" s="103" t="str">
        <f>'38'!E7</f>
        <v>Sorgo</v>
      </c>
      <c r="G7" s="103" t="str">
        <f>'38'!F7</f>
        <v>Preparaciones que contienen maíz</v>
      </c>
      <c r="H7" s="100"/>
    </row>
    <row r="8" spans="3:27" s="22" customFormat="1" ht="15.75" customHeight="1">
      <c r="C8" s="570">
        <v>2017</v>
      </c>
      <c r="D8" s="67">
        <v>186</v>
      </c>
      <c r="E8" s="67">
        <v>287</v>
      </c>
      <c r="F8" s="67">
        <v>178</v>
      </c>
      <c r="G8" s="67">
        <v>351</v>
      </c>
      <c r="H8" s="162"/>
      <c r="K8" s="95"/>
      <c r="N8" s="95"/>
      <c r="O8" s="95"/>
      <c r="P8" s="95"/>
      <c r="Q8" s="95"/>
      <c r="R8" s="95"/>
      <c r="S8" s="95"/>
      <c r="T8" s="95"/>
      <c r="U8" s="95"/>
      <c r="V8" s="95"/>
      <c r="W8" s="95"/>
      <c r="X8" s="95"/>
      <c r="Y8" s="95"/>
      <c r="Z8" s="95"/>
      <c r="AA8" s="95"/>
    </row>
    <row r="9" spans="3:27" s="22" customFormat="1" ht="15.75" customHeight="1">
      <c r="C9" s="570" t="s">
        <v>444</v>
      </c>
      <c r="D9" s="67">
        <v>199.70353882694357</v>
      </c>
      <c r="E9" s="67">
        <v>342.94811407654373</v>
      </c>
      <c r="F9" s="67">
        <v>169.25566820801745</v>
      </c>
      <c r="G9" s="67">
        <v>399.55360741689088</v>
      </c>
      <c r="H9" s="162"/>
      <c r="K9" s="95"/>
      <c r="L9" s="95"/>
      <c r="N9" s="95"/>
      <c r="O9" s="95"/>
      <c r="P9" s="95"/>
      <c r="Q9" s="95"/>
      <c r="R9" s="95"/>
      <c r="S9" s="95"/>
      <c r="T9" s="95"/>
      <c r="U9" s="95"/>
      <c r="V9" s="95"/>
      <c r="W9" s="95"/>
      <c r="X9" s="95"/>
      <c r="Y9" s="95"/>
      <c r="Z9" s="95"/>
      <c r="AA9" s="95"/>
    </row>
    <row r="10" spans="3:27" s="22" customFormat="1" ht="15.75" customHeight="1">
      <c r="C10" s="370" t="s">
        <v>449</v>
      </c>
      <c r="D10" s="67">
        <v>186.92843269842436</v>
      </c>
      <c r="E10" s="67">
        <v>345.8535247035349</v>
      </c>
      <c r="F10" s="67">
        <v>207.776432</v>
      </c>
      <c r="G10" s="67">
        <v>393.02788645411334</v>
      </c>
      <c r="H10" s="162"/>
      <c r="I10" s="22" t="s">
        <v>690</v>
      </c>
      <c r="L10" s="95"/>
    </row>
    <row r="11" spans="3:27" s="22" customFormat="1" ht="15.75" customHeight="1">
      <c r="C11" s="370" t="s">
        <v>446</v>
      </c>
      <c r="D11" s="371">
        <v>201.97715188307643</v>
      </c>
      <c r="E11" s="371">
        <v>257.31901991061619</v>
      </c>
      <c r="F11" s="374">
        <v>200.62101157614845</v>
      </c>
      <c r="G11" s="371">
        <v>382.46888508762504</v>
      </c>
      <c r="H11" s="162"/>
      <c r="L11" s="95"/>
    </row>
    <row r="12" spans="3:27" s="22" customFormat="1" ht="15.75" customHeight="1">
      <c r="C12" s="370" t="s">
        <v>655</v>
      </c>
      <c r="D12" s="371">
        <v>293.54630539626538</v>
      </c>
      <c r="E12" s="371">
        <v>264.49502859820183</v>
      </c>
      <c r="F12" s="374">
        <v>268.66382933764186</v>
      </c>
      <c r="G12" s="371">
        <v>470.49695920919117</v>
      </c>
      <c r="H12" s="162"/>
      <c r="L12" s="95"/>
    </row>
    <row r="13" spans="3:27" s="22" customFormat="1" ht="15.75" customHeight="1">
      <c r="C13" s="370" t="s">
        <v>669</v>
      </c>
      <c r="D13" s="371">
        <v>342.63834208784601</v>
      </c>
      <c r="E13" s="371">
        <v>291.90407791226306</v>
      </c>
      <c r="F13" s="371">
        <v>425.24382593753063</v>
      </c>
      <c r="G13" s="371">
        <v>542.54374866273804</v>
      </c>
      <c r="H13" s="162"/>
      <c r="I13" s="22" t="s">
        <v>690</v>
      </c>
      <c r="L13" s="95"/>
    </row>
    <row r="14" spans="3:27" ht="38.25" customHeight="1">
      <c r="C14" s="791" t="s">
        <v>684</v>
      </c>
      <c r="D14" s="791"/>
      <c r="E14" s="791"/>
      <c r="F14" s="791"/>
      <c r="G14" s="791"/>
      <c r="H14" s="163"/>
      <c r="I14" s="299"/>
    </row>
    <row r="15" spans="3:27" ht="19.5" customHeight="1"/>
    <row r="36" spans="3:7" ht="7.5" customHeight="1"/>
    <row r="37" spans="3:7" ht="17.25" customHeight="1">
      <c r="C37" s="846" t="s">
        <v>450</v>
      </c>
      <c r="D37" s="943"/>
      <c r="E37" s="943"/>
      <c r="F37" s="943"/>
      <c r="G37" s="943"/>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topLeftCell="A15" zoomScaleNormal="100" workbookViewId="0">
      <selection activeCell="H28" sqref="H28"/>
    </sheetView>
  </sheetViews>
  <sheetFormatPr baseColWidth="10" defaultColWidth="10.921875" defaultRowHeight="12" customHeight="1"/>
  <cols>
    <col min="1" max="1" width="0.765625" style="1" customWidth="1"/>
    <col min="2" max="7" width="8.84375" style="1" customWidth="1"/>
    <col min="8" max="16384" width="10.921875" style="1"/>
  </cols>
  <sheetData>
    <row r="1" spans="2:13" s="15" customFormat="1" ht="13.2">
      <c r="B1" s="766" t="s">
        <v>226</v>
      </c>
      <c r="C1" s="766"/>
      <c r="D1" s="766"/>
      <c r="E1" s="766"/>
      <c r="F1" s="766"/>
      <c r="G1" s="766"/>
    </row>
    <row r="2" spans="2:13" s="15" customFormat="1" ht="13.2"/>
    <row r="3" spans="2:13" s="15" customFormat="1" ht="13.2">
      <c r="B3" s="766" t="s">
        <v>451</v>
      </c>
      <c r="C3" s="766"/>
      <c r="D3" s="766"/>
      <c r="E3" s="766"/>
      <c r="F3" s="766"/>
      <c r="G3" s="766"/>
    </row>
    <row r="4" spans="2:13" s="15" customFormat="1" ht="13.2">
      <c r="B4" s="766" t="s">
        <v>666</v>
      </c>
      <c r="C4" s="766"/>
      <c r="D4" s="766"/>
      <c r="E4" s="766"/>
      <c r="F4" s="766"/>
      <c r="G4" s="766"/>
    </row>
    <row r="5" spans="2:13" s="15" customFormat="1" ht="13.2">
      <c r="B5" s="783" t="s">
        <v>452</v>
      </c>
      <c r="C5" s="783"/>
      <c r="D5" s="783"/>
      <c r="E5" s="783"/>
      <c r="F5" s="783"/>
      <c r="G5" s="783"/>
    </row>
    <row r="6" spans="2:13" s="22" customFormat="1" ht="15.75" customHeight="1">
      <c r="B6" s="136"/>
      <c r="C6" s="128">
        <v>2018</v>
      </c>
      <c r="D6" s="128">
        <v>2019</v>
      </c>
      <c r="E6" s="212">
        <v>2020</v>
      </c>
      <c r="F6" s="212">
        <v>2021</v>
      </c>
      <c r="G6" s="591">
        <v>2022</v>
      </c>
      <c r="H6" s="1"/>
      <c r="I6" s="571"/>
    </row>
    <row r="7" spans="2:13" s="22" customFormat="1" ht="15.75" customHeight="1">
      <c r="B7" s="53" t="s">
        <v>203</v>
      </c>
      <c r="C7" s="448">
        <v>12520.689655172413</v>
      </c>
      <c r="D7" s="448">
        <v>16500</v>
      </c>
      <c r="E7" s="448">
        <v>14667</v>
      </c>
      <c r="F7" s="448"/>
      <c r="G7" s="448"/>
      <c r="H7" s="224"/>
      <c r="I7" s="385"/>
      <c r="J7" s="224"/>
      <c r="K7" s="224"/>
      <c r="L7" s="224"/>
      <c r="M7" s="224"/>
    </row>
    <row r="8" spans="2:13" s="22" customFormat="1" ht="15.75" customHeight="1">
      <c r="B8" s="53" t="s">
        <v>204</v>
      </c>
      <c r="C8" s="448">
        <v>12833.333333333334</v>
      </c>
      <c r="D8" s="448"/>
      <c r="E8" s="448">
        <v>14667</v>
      </c>
      <c r="F8" s="448"/>
      <c r="G8" s="448"/>
      <c r="H8" s="224"/>
      <c r="I8" s="386"/>
      <c r="J8" s="224"/>
      <c r="K8" s="224"/>
      <c r="L8" s="224"/>
      <c r="M8" s="224"/>
    </row>
    <row r="9" spans="2:13" s="22" customFormat="1" ht="15.75" customHeight="1">
      <c r="B9" s="53" t="s">
        <v>205</v>
      </c>
      <c r="C9" s="448">
        <v>12913</v>
      </c>
      <c r="D9" s="448">
        <v>13061.904761904761</v>
      </c>
      <c r="E9" s="448">
        <v>15658.064516129034</v>
      </c>
      <c r="F9" s="448">
        <v>20766.666666666668</v>
      </c>
      <c r="G9" s="448">
        <v>30508.333333333332</v>
      </c>
      <c r="H9" s="224"/>
      <c r="I9" s="224"/>
      <c r="J9" s="224"/>
      <c r="K9" s="224"/>
      <c r="L9" s="224"/>
      <c r="M9" s="224"/>
    </row>
    <row r="10" spans="2:13" s="22" customFormat="1" ht="15.75" customHeight="1">
      <c r="B10" s="572" t="s">
        <v>206</v>
      </c>
      <c r="C10" s="448">
        <v>12711</v>
      </c>
      <c r="D10" s="448">
        <v>12764.516129032258</v>
      </c>
      <c r="E10" s="448">
        <v>16630</v>
      </c>
      <c r="F10" s="448">
        <v>20484.313725490196</v>
      </c>
      <c r="G10" s="448">
        <v>30635.616438356163</v>
      </c>
      <c r="H10" s="224"/>
      <c r="I10" s="224"/>
      <c r="J10" s="224" t="s">
        <v>690</v>
      </c>
      <c r="K10" s="224"/>
      <c r="L10" s="224"/>
      <c r="M10" s="224"/>
    </row>
    <row r="11" spans="2:13" s="22" customFormat="1" ht="15.75" customHeight="1">
      <c r="B11" s="53" t="s">
        <v>207</v>
      </c>
      <c r="C11" s="448">
        <v>13074</v>
      </c>
      <c r="D11" s="448">
        <v>12740</v>
      </c>
      <c r="E11" s="448">
        <v>16008</v>
      </c>
      <c r="F11" s="448">
        <v>20700</v>
      </c>
      <c r="G11" s="133">
        <v>30819.512195121952</v>
      </c>
      <c r="H11" s="224"/>
      <c r="I11" s="224"/>
      <c r="J11" s="224"/>
      <c r="K11" s="224"/>
      <c r="L11" s="224"/>
      <c r="M11" s="224"/>
    </row>
    <row r="12" spans="2:13" s="22" customFormat="1" ht="15.75" customHeight="1">
      <c r="B12" s="53" t="s">
        <v>208</v>
      </c>
      <c r="C12" s="448">
        <v>13359.259259259257</v>
      </c>
      <c r="D12" s="448">
        <v>13095.283018867925</v>
      </c>
      <c r="E12" s="448">
        <v>15900</v>
      </c>
      <c r="F12" s="448">
        <v>21105</v>
      </c>
      <c r="G12" s="448"/>
      <c r="H12" s="224"/>
      <c r="I12" s="224"/>
      <c r="J12" s="224"/>
      <c r="K12" s="224"/>
      <c r="L12" s="224"/>
      <c r="M12" s="224"/>
    </row>
    <row r="13" spans="2:13" s="22" customFormat="1" ht="15.75" customHeight="1">
      <c r="B13" s="53" t="s">
        <v>209</v>
      </c>
      <c r="C13" s="448">
        <v>13311</v>
      </c>
      <c r="D13" s="448">
        <v>14412.765957446809</v>
      </c>
      <c r="E13" s="448">
        <v>15500</v>
      </c>
      <c r="F13" s="448">
        <v>22454.545454545456</v>
      </c>
      <c r="G13" s="573"/>
      <c r="H13" s="224"/>
      <c r="I13" s="224"/>
      <c r="J13" s="224"/>
      <c r="K13" s="224"/>
      <c r="L13" s="224"/>
      <c r="M13" s="224"/>
    </row>
    <row r="14" spans="2:13" s="22" customFormat="1" ht="15.75" customHeight="1">
      <c r="B14" s="53" t="s">
        <v>210</v>
      </c>
      <c r="C14" s="448">
        <v>13489</v>
      </c>
      <c r="D14" s="448">
        <v>14592.307692307691</v>
      </c>
      <c r="E14" s="448">
        <v>15500</v>
      </c>
      <c r="F14" s="448">
        <v>23875</v>
      </c>
      <c r="G14" s="573"/>
      <c r="H14" s="224"/>
      <c r="I14" s="224"/>
      <c r="J14" s="224"/>
      <c r="K14" s="224"/>
      <c r="L14" s="224"/>
      <c r="M14" s="224"/>
    </row>
    <row r="15" spans="2:13" s="22" customFormat="1" ht="15.75" customHeight="1">
      <c r="B15" s="53" t="s">
        <v>211</v>
      </c>
      <c r="C15" s="574">
        <v>13654</v>
      </c>
      <c r="D15" s="574">
        <v>15066.666666666666</v>
      </c>
      <c r="E15" s="448">
        <v>16475</v>
      </c>
      <c r="F15" s="448">
        <v>23722.222222222223</v>
      </c>
      <c r="G15" s="573"/>
      <c r="H15" s="224"/>
      <c r="I15" s="224"/>
      <c r="J15" s="224"/>
      <c r="K15" s="224"/>
      <c r="L15" s="224"/>
      <c r="M15" s="224"/>
    </row>
    <row r="16" spans="2:13" s="22" customFormat="1" ht="15.75" customHeight="1">
      <c r="B16" s="53" t="s">
        <v>212</v>
      </c>
      <c r="C16" s="448">
        <v>13760</v>
      </c>
      <c r="D16" s="448">
        <v>14657.142857142855</v>
      </c>
      <c r="E16" s="448">
        <v>18000</v>
      </c>
      <c r="F16" s="448">
        <v>24605.263157894737</v>
      </c>
      <c r="G16" s="573"/>
      <c r="H16" s="224"/>
      <c r="I16" s="224"/>
      <c r="J16" s="224"/>
      <c r="K16" s="224"/>
      <c r="L16" s="224"/>
      <c r="M16" s="224"/>
    </row>
    <row r="17" spans="2:13" s="22" customFormat="1" ht="15.75" customHeight="1">
      <c r="B17" s="53" t="s">
        <v>196</v>
      </c>
      <c r="C17" s="448">
        <v>14340</v>
      </c>
      <c r="D17" s="448">
        <v>15112.5</v>
      </c>
      <c r="E17" s="448">
        <v>19000</v>
      </c>
      <c r="F17" s="448">
        <v>27000</v>
      </c>
      <c r="G17" s="573"/>
      <c r="H17" s="224"/>
      <c r="I17" s="224"/>
      <c r="J17" s="224"/>
      <c r="K17" s="224"/>
      <c r="L17" s="224"/>
      <c r="M17" s="224"/>
    </row>
    <row r="18" spans="2:13" s="22" customFormat="1" ht="15.75" customHeight="1">
      <c r="B18" s="53" t="s">
        <v>197</v>
      </c>
      <c r="C18" s="448">
        <v>15260</v>
      </c>
      <c r="D18" s="448">
        <v>15688.888888888889</v>
      </c>
      <c r="E18" s="448"/>
      <c r="F18" s="448"/>
      <c r="G18" s="52"/>
      <c r="H18" s="224"/>
      <c r="I18" s="224"/>
      <c r="J18" s="224"/>
      <c r="K18" s="224"/>
      <c r="L18" s="224"/>
      <c r="M18" s="224"/>
    </row>
    <row r="19" spans="2:13" s="22" customFormat="1" ht="52.5" customHeight="1">
      <c r="B19" s="833" t="s">
        <v>453</v>
      </c>
      <c r="C19" s="834"/>
      <c r="D19" s="834"/>
      <c r="E19" s="834"/>
      <c r="F19" s="834"/>
      <c r="G19" s="835"/>
      <c r="I19" s="571"/>
    </row>
    <row r="20" spans="2:13" s="22" customFormat="1" ht="13.2">
      <c r="B20" s="49"/>
      <c r="C20" s="39"/>
      <c r="D20" s="39"/>
      <c r="E20" s="39"/>
      <c r="F20" s="39"/>
      <c r="G20" s="39"/>
      <c r="I20" s="571"/>
    </row>
    <row r="21" spans="2:13" s="22" customFormat="1" ht="13.2">
      <c r="B21" s="49"/>
      <c r="C21" s="39"/>
      <c r="D21" s="39"/>
      <c r="E21" s="39"/>
      <c r="F21" s="39"/>
      <c r="G21" s="39"/>
      <c r="I21" s="571"/>
    </row>
    <row r="22" spans="2:13" ht="13.2">
      <c r="I22" s="571"/>
      <c r="J22" s="22"/>
    </row>
    <row r="23" spans="2:13" ht="13.2">
      <c r="I23" s="571"/>
      <c r="J23" s="22"/>
    </row>
    <row r="24" spans="2:13" ht="13.2">
      <c r="I24" s="571"/>
      <c r="J24" s="22"/>
    </row>
    <row r="25" spans="2:13" ht="12" customHeight="1">
      <c r="I25" s="571"/>
      <c r="J25" s="22"/>
    </row>
    <row r="26" spans="2:13" ht="12" customHeight="1">
      <c r="I26" s="571"/>
      <c r="J26" s="22"/>
    </row>
    <row r="27" spans="2:13" ht="12" customHeight="1">
      <c r="I27" s="571"/>
      <c r="J27" s="22"/>
    </row>
    <row r="28" spans="2:13" ht="12" customHeight="1">
      <c r="I28" s="571"/>
      <c r="J28" s="22"/>
    </row>
    <row r="29" spans="2:13" ht="12" customHeight="1">
      <c r="I29" s="571"/>
      <c r="J29" s="22"/>
    </row>
    <row r="30" spans="2:13" ht="12" customHeight="1">
      <c r="I30" s="571"/>
      <c r="J30" s="22"/>
    </row>
    <row r="31" spans="2:13" ht="12" customHeight="1">
      <c r="I31" s="571"/>
      <c r="J31" s="22"/>
    </row>
    <row r="32" spans="2:13" ht="12" customHeight="1">
      <c r="I32" s="571"/>
      <c r="J32" s="22"/>
    </row>
    <row r="33" spans="2:10" ht="12" customHeight="1">
      <c r="I33" s="571"/>
      <c r="J33" s="22"/>
    </row>
    <row r="34" spans="2:10" ht="12" customHeight="1">
      <c r="I34" s="571"/>
      <c r="J34" s="22"/>
    </row>
    <row r="35" spans="2:10" ht="12" customHeight="1">
      <c r="I35" s="571"/>
      <c r="J35" s="22"/>
    </row>
    <row r="36" spans="2:10" ht="12" customHeight="1">
      <c r="I36" s="571"/>
      <c r="J36" s="22"/>
    </row>
    <row r="37" spans="2:10" ht="12" customHeight="1">
      <c r="I37" s="571"/>
      <c r="J37" s="22"/>
    </row>
    <row r="38" spans="2:10" ht="12" customHeight="1">
      <c r="I38" s="571"/>
      <c r="J38" s="22"/>
    </row>
    <row r="39" spans="2:10" ht="12" customHeight="1">
      <c r="I39" s="571"/>
      <c r="J39" s="22"/>
    </row>
    <row r="40" spans="2:10" ht="12" customHeight="1">
      <c r="I40" s="571"/>
      <c r="J40" s="22"/>
    </row>
    <row r="41" spans="2:10" ht="12" customHeight="1">
      <c r="I41" s="571"/>
      <c r="J41" s="22"/>
    </row>
    <row r="42" spans="2:10" ht="3" customHeight="1">
      <c r="I42" s="571"/>
      <c r="J42" s="22"/>
    </row>
    <row r="43" spans="2:10" ht="19.05" customHeight="1">
      <c r="B43" s="846" t="s">
        <v>454</v>
      </c>
      <c r="C43" s="846"/>
      <c r="D43" s="846"/>
      <c r="E43" s="846"/>
      <c r="F43" s="846"/>
      <c r="G43" s="846"/>
      <c r="I43" s="571"/>
      <c r="J43" s="22"/>
    </row>
    <row r="44" spans="2:10" ht="12" customHeight="1">
      <c r="I44" s="571"/>
      <c r="J44" s="22"/>
    </row>
    <row r="45" spans="2:10" ht="12" customHeight="1">
      <c r="I45" s="571"/>
      <c r="J45" s="22"/>
    </row>
    <row r="46" spans="2:10" ht="12" customHeight="1">
      <c r="I46" s="571"/>
      <c r="J46" s="22"/>
    </row>
    <row r="47" spans="2:10" ht="12" customHeight="1">
      <c r="I47" s="571"/>
      <c r="J47" s="22"/>
    </row>
    <row r="48" spans="2:10" ht="12" customHeight="1">
      <c r="I48" s="571"/>
      <c r="J48" s="22"/>
    </row>
    <row r="49" spans="9:10" ht="12" customHeight="1">
      <c r="I49" s="571"/>
      <c r="J49" s="22"/>
    </row>
    <row r="50" spans="9:10" ht="12" customHeight="1">
      <c r="I50" s="571"/>
      <c r="J50" s="22"/>
    </row>
    <row r="51" spans="9:10" ht="12" customHeight="1">
      <c r="I51" s="571"/>
      <c r="J51" s="22"/>
    </row>
    <row r="52" spans="9:10" ht="12" customHeight="1">
      <c r="I52" s="571"/>
      <c r="J52" s="22"/>
    </row>
    <row r="53" spans="9:10" ht="12" customHeight="1">
      <c r="I53" s="571"/>
      <c r="J53" s="22"/>
    </row>
    <row r="54" spans="9:10" ht="12" customHeight="1">
      <c r="I54" s="571"/>
      <c r="J54" s="22"/>
    </row>
    <row r="55" spans="9:10" ht="12" customHeight="1">
      <c r="I55" s="571"/>
      <c r="J55" s="22"/>
    </row>
    <row r="56" spans="9:10" ht="12" customHeight="1">
      <c r="I56" s="571"/>
      <c r="J56" s="22"/>
    </row>
    <row r="57" spans="9:10" ht="12" customHeight="1">
      <c r="I57" s="571"/>
      <c r="J57" s="22"/>
    </row>
    <row r="58" spans="9:10" ht="12" customHeight="1">
      <c r="I58" s="571"/>
      <c r="J58" s="22"/>
    </row>
    <row r="59" spans="9:10" ht="12" customHeight="1">
      <c r="I59" s="571"/>
      <c r="J59" s="22"/>
    </row>
    <row r="60" spans="9:10" ht="12" customHeight="1">
      <c r="I60" s="571"/>
      <c r="J60" s="22"/>
    </row>
    <row r="61" spans="9:10" ht="12" customHeight="1">
      <c r="I61" s="571"/>
      <c r="J61" s="22"/>
    </row>
    <row r="62" spans="9:10" ht="12" customHeight="1">
      <c r="I62" s="571"/>
      <c r="J62" s="22"/>
    </row>
    <row r="63" spans="9:10" ht="12" customHeight="1">
      <c r="I63" s="571"/>
      <c r="J63" s="22"/>
    </row>
    <row r="64" spans="9:10" ht="12" customHeight="1">
      <c r="I64" s="164"/>
      <c r="J64" s="22"/>
    </row>
    <row r="65" spans="9:10" ht="12" customHeight="1">
      <c r="I65" s="164"/>
      <c r="J65" s="22"/>
    </row>
    <row r="66" spans="9:10" ht="12" customHeight="1">
      <c r="I66" s="164"/>
      <c r="J66" s="22"/>
    </row>
    <row r="67" spans="9:10" ht="12" customHeight="1">
      <c r="I67" s="164"/>
      <c r="J67" s="22"/>
    </row>
    <row r="68" spans="9:10" ht="12" customHeight="1">
      <c r="I68" s="164"/>
      <c r="J68" s="22"/>
    </row>
    <row r="69" spans="9:10" ht="12" customHeight="1">
      <c r="I69" s="164"/>
      <c r="J69" s="22"/>
    </row>
    <row r="70" spans="9:10" ht="12" customHeight="1">
      <c r="I70" s="164"/>
      <c r="J70" s="22"/>
    </row>
    <row r="71" spans="9:10" ht="12" customHeight="1">
      <c r="I71" s="164"/>
      <c r="J71" s="22"/>
    </row>
    <row r="72" spans="9:10" ht="12" customHeight="1">
      <c r="I72" s="164"/>
      <c r="J72" s="22"/>
    </row>
    <row r="73" spans="9:10" ht="12" customHeight="1">
      <c r="I73" s="164"/>
      <c r="J73" s="22"/>
    </row>
    <row r="74" spans="9:10" ht="12" customHeight="1">
      <c r="I74" s="164"/>
      <c r="J74" s="22"/>
    </row>
    <row r="75" spans="9:10" ht="12" customHeight="1">
      <c r="I75" s="164"/>
      <c r="J75" s="22"/>
    </row>
    <row r="76" spans="9:10" ht="12" customHeight="1">
      <c r="I76" s="164"/>
      <c r="J76" s="22"/>
    </row>
    <row r="77" spans="9:10" ht="12" customHeight="1">
      <c r="I77" s="164"/>
      <c r="J77" s="22"/>
    </row>
    <row r="78" spans="9:10" ht="12" customHeight="1">
      <c r="I78" s="164"/>
      <c r="J78" s="22"/>
    </row>
    <row r="79" spans="9:10" ht="12" customHeight="1">
      <c r="I79" s="164"/>
      <c r="J79" s="22"/>
    </row>
    <row r="80" spans="9:10" ht="12" customHeight="1">
      <c r="I80" s="164"/>
      <c r="J80" s="2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O21"/>
  <sheetViews>
    <sheetView zoomScaleNormal="100" workbookViewId="0">
      <selection activeCell="P17" sqref="P17"/>
    </sheetView>
  </sheetViews>
  <sheetFormatPr baseColWidth="10" defaultColWidth="10.921875" defaultRowHeight="17.399999999999999"/>
  <cols>
    <col min="1" max="1" width="1.765625" customWidth="1"/>
    <col min="2" max="2" width="7" customWidth="1"/>
    <col min="3" max="14" width="4.69140625" customWidth="1"/>
    <col min="15" max="15" width="0.921875" customWidth="1"/>
  </cols>
  <sheetData>
    <row r="1" spans="2:15">
      <c r="B1" s="766" t="s">
        <v>235</v>
      </c>
      <c r="C1" s="766"/>
      <c r="D1" s="766"/>
      <c r="E1" s="766"/>
      <c r="F1" s="766"/>
      <c r="G1" s="766"/>
      <c r="H1" s="766"/>
      <c r="I1" s="766"/>
      <c r="J1" s="766"/>
      <c r="K1" s="766"/>
      <c r="L1" s="766"/>
      <c r="M1" s="766"/>
      <c r="N1" s="766"/>
    </row>
    <row r="2" spans="2:15">
      <c r="B2" s="17"/>
      <c r="C2" s="17"/>
      <c r="D2" s="17"/>
      <c r="E2" s="17"/>
      <c r="F2" s="17"/>
      <c r="G2" s="17"/>
      <c r="H2" s="17"/>
      <c r="I2" s="17"/>
      <c r="J2" s="17"/>
      <c r="K2" s="17"/>
      <c r="L2" s="17"/>
      <c r="M2" s="17"/>
      <c r="N2" s="17"/>
    </row>
    <row r="3" spans="2:15">
      <c r="B3" s="766" t="s">
        <v>455</v>
      </c>
      <c r="C3" s="766"/>
      <c r="D3" s="766"/>
      <c r="E3" s="766"/>
      <c r="F3" s="766"/>
      <c r="G3" s="766"/>
      <c r="H3" s="766"/>
      <c r="I3" s="766"/>
      <c r="J3" s="766"/>
      <c r="K3" s="766"/>
      <c r="L3" s="766"/>
      <c r="M3" s="766"/>
      <c r="N3" s="766"/>
    </row>
    <row r="4" spans="2:15">
      <c r="B4" s="766" t="s">
        <v>456</v>
      </c>
      <c r="C4" s="766"/>
      <c r="D4" s="766"/>
      <c r="E4" s="766"/>
      <c r="F4" s="766"/>
      <c r="G4" s="766"/>
      <c r="H4" s="766"/>
      <c r="I4" s="766"/>
      <c r="J4" s="766"/>
      <c r="K4" s="766"/>
      <c r="L4" s="766"/>
      <c r="M4" s="766"/>
      <c r="N4" s="766"/>
    </row>
    <row r="5" spans="2:15" ht="41.25" customHeight="1">
      <c r="B5" s="944" t="s">
        <v>428</v>
      </c>
      <c r="C5" s="865" t="s">
        <v>457</v>
      </c>
      <c r="D5" s="865"/>
      <c r="E5" s="865" t="s">
        <v>458</v>
      </c>
      <c r="F5" s="865"/>
      <c r="G5" s="865" t="s">
        <v>246</v>
      </c>
      <c r="H5" s="865"/>
      <c r="I5" s="865" t="s">
        <v>459</v>
      </c>
      <c r="J5" s="865"/>
      <c r="K5" s="865" t="s">
        <v>248</v>
      </c>
      <c r="L5" s="865"/>
      <c r="M5" s="866" t="s">
        <v>157</v>
      </c>
      <c r="N5" s="866"/>
    </row>
    <row r="6" spans="2:15" ht="15.75" customHeight="1">
      <c r="B6" s="944"/>
      <c r="C6" s="313">
        <v>2021</v>
      </c>
      <c r="D6" s="313">
        <v>2022</v>
      </c>
      <c r="E6" s="313">
        <v>2021</v>
      </c>
      <c r="F6" s="313">
        <v>2022</v>
      </c>
      <c r="G6" s="313">
        <v>2021</v>
      </c>
      <c r="H6" s="313">
        <v>2022</v>
      </c>
      <c r="I6" s="313">
        <v>2021</v>
      </c>
      <c r="J6" s="313">
        <v>2022</v>
      </c>
      <c r="K6" s="313">
        <v>2021</v>
      </c>
      <c r="L6" s="313">
        <v>2022</v>
      </c>
      <c r="M6" s="313">
        <v>2021</v>
      </c>
      <c r="N6" s="313">
        <v>2022</v>
      </c>
    </row>
    <row r="7" spans="2:15" ht="15.75" customHeight="1">
      <c r="B7" s="53" t="s">
        <v>203</v>
      </c>
      <c r="C7" s="448" t="s">
        <v>460</v>
      </c>
      <c r="D7" s="448"/>
      <c r="E7" s="448" t="s">
        <v>460</v>
      </c>
      <c r="F7" s="448"/>
      <c r="G7" s="448" t="s">
        <v>460</v>
      </c>
      <c r="H7" s="448"/>
      <c r="I7" s="448" t="s">
        <v>460</v>
      </c>
      <c r="J7" s="448"/>
      <c r="K7" s="448" t="s">
        <v>460</v>
      </c>
      <c r="L7" s="448"/>
      <c r="M7" s="448"/>
      <c r="N7" s="448"/>
    </row>
    <row r="8" spans="2:15" ht="15.75" customHeight="1">
      <c r="B8" s="53" t="s">
        <v>204</v>
      </c>
      <c r="C8" s="448" t="s">
        <v>460</v>
      </c>
      <c r="D8" s="448"/>
      <c r="E8" s="448" t="s">
        <v>460</v>
      </c>
      <c r="F8" s="448"/>
      <c r="G8" s="448" t="s">
        <v>460</v>
      </c>
      <c r="H8" s="448"/>
      <c r="I8" s="448" t="s">
        <v>460</v>
      </c>
      <c r="J8" s="448"/>
      <c r="K8" s="448" t="s">
        <v>460</v>
      </c>
      <c r="L8" s="448"/>
      <c r="M8" s="448"/>
      <c r="N8" s="448"/>
    </row>
    <row r="9" spans="2:15" ht="15.75" customHeight="1">
      <c r="B9" s="53" t="s">
        <v>205</v>
      </c>
      <c r="C9" s="448" t="s">
        <v>460</v>
      </c>
      <c r="D9" s="448" t="s">
        <v>460</v>
      </c>
      <c r="E9" s="448">
        <v>216.5</v>
      </c>
      <c r="F9" s="448">
        <v>308.125</v>
      </c>
      <c r="G9" s="448" t="s">
        <v>460</v>
      </c>
      <c r="H9" s="448">
        <v>298</v>
      </c>
      <c r="I9" s="448" t="s">
        <v>460</v>
      </c>
      <c r="J9" s="448" t="s">
        <v>460</v>
      </c>
      <c r="K9" s="448">
        <v>190</v>
      </c>
      <c r="L9" s="448" t="s">
        <v>460</v>
      </c>
      <c r="M9" s="448">
        <v>207.66666666666669</v>
      </c>
      <c r="N9" s="448">
        <v>305.08333333333331</v>
      </c>
      <c r="O9" s="242"/>
    </row>
    <row r="10" spans="2:15" ht="15.75" customHeight="1">
      <c r="B10" s="53" t="s">
        <v>206</v>
      </c>
      <c r="C10" s="448">
        <v>210</v>
      </c>
      <c r="D10" s="448">
        <v>307.57142857142861</v>
      </c>
      <c r="E10" s="448">
        <v>210.5625</v>
      </c>
      <c r="F10" s="448">
        <v>307.25</v>
      </c>
      <c r="G10" s="448">
        <v>200.83333333333331</v>
      </c>
      <c r="H10" s="448">
        <v>305.22222222222223</v>
      </c>
      <c r="I10" s="448">
        <v>198.66666666666669</v>
      </c>
      <c r="J10" s="448">
        <v>303.5</v>
      </c>
      <c r="K10" s="448">
        <v>195.71428571428572</v>
      </c>
      <c r="L10" s="448">
        <v>305.75</v>
      </c>
      <c r="M10" s="448">
        <v>204.84313725490196</v>
      </c>
      <c r="N10" s="448">
        <v>306.35616438356163</v>
      </c>
    </row>
    <row r="11" spans="2:15" ht="15.75" customHeight="1">
      <c r="B11" s="53" t="s">
        <v>207</v>
      </c>
      <c r="C11" s="746">
        <v>210.8</v>
      </c>
      <c r="D11" s="746">
        <v>309.10000000000002</v>
      </c>
      <c r="E11" s="746">
        <v>210.63157894736844</v>
      </c>
      <c r="F11" s="746">
        <v>308.75</v>
      </c>
      <c r="G11" s="746">
        <v>205.7</v>
      </c>
      <c r="H11" s="746">
        <v>306</v>
      </c>
      <c r="I11" s="746">
        <v>205.05555555555554</v>
      </c>
      <c r="J11" s="746">
        <v>308.39999999999998</v>
      </c>
      <c r="K11" s="746">
        <v>204.35714285714286</v>
      </c>
      <c r="L11" s="746">
        <v>308.81818181818181</v>
      </c>
      <c r="M11" s="746">
        <v>207</v>
      </c>
      <c r="N11" s="746">
        <v>308.19512195121951</v>
      </c>
    </row>
    <row r="12" spans="2:15" ht="15.75" customHeight="1">
      <c r="B12" s="53" t="s">
        <v>208</v>
      </c>
      <c r="C12" s="448">
        <v>211.6</v>
      </c>
      <c r="D12" s="448"/>
      <c r="E12" s="448">
        <v>220.42857142857142</v>
      </c>
      <c r="F12" s="448"/>
      <c r="G12" s="448">
        <v>206.88888888888891</v>
      </c>
      <c r="H12" s="448"/>
      <c r="I12" s="448">
        <v>209.38461538461539</v>
      </c>
      <c r="J12" s="448"/>
      <c r="K12" s="448">
        <v>207.45454545454544</v>
      </c>
      <c r="L12" s="448"/>
      <c r="M12" s="448">
        <v>211.05</v>
      </c>
      <c r="N12" s="448"/>
    </row>
    <row r="13" spans="2:15" ht="15.75" customHeight="1">
      <c r="B13" s="53" t="s">
        <v>209</v>
      </c>
      <c r="C13" s="448" t="s">
        <v>460</v>
      </c>
      <c r="D13" s="448"/>
      <c r="E13" s="448">
        <v>245</v>
      </c>
      <c r="F13" s="448"/>
      <c r="G13" s="448">
        <v>206</v>
      </c>
      <c r="H13" s="448"/>
      <c r="I13" s="448">
        <v>218</v>
      </c>
      <c r="J13" s="448"/>
      <c r="K13" s="448">
        <v>205.33333333333331</v>
      </c>
      <c r="L13" s="448"/>
      <c r="M13" s="448">
        <v>224.54545454545456</v>
      </c>
      <c r="N13" s="448"/>
    </row>
    <row r="14" spans="2:15" ht="15.75" customHeight="1">
      <c r="B14" s="53" t="s">
        <v>210</v>
      </c>
      <c r="C14" s="448" t="s">
        <v>460</v>
      </c>
      <c r="D14" s="448"/>
      <c r="E14" s="448">
        <v>245</v>
      </c>
      <c r="F14" s="448"/>
      <c r="G14" s="448" t="s">
        <v>460</v>
      </c>
      <c r="H14" s="448"/>
      <c r="I14" s="448">
        <v>235</v>
      </c>
      <c r="J14" s="448"/>
      <c r="K14" s="448">
        <v>220</v>
      </c>
      <c r="L14" s="448"/>
      <c r="M14" s="448">
        <v>238.75</v>
      </c>
      <c r="N14" s="448"/>
    </row>
    <row r="15" spans="2:15" ht="15.75" customHeight="1">
      <c r="B15" s="53" t="s">
        <v>211</v>
      </c>
      <c r="C15" s="448" t="s">
        <v>460</v>
      </c>
      <c r="D15" s="448"/>
      <c r="E15" s="448">
        <v>245</v>
      </c>
      <c r="F15" s="448"/>
      <c r="G15" s="448" t="s">
        <v>460</v>
      </c>
      <c r="H15" s="448"/>
      <c r="I15" s="448">
        <v>235</v>
      </c>
      <c r="J15" s="448"/>
      <c r="K15" s="448">
        <v>221.66666666666669</v>
      </c>
      <c r="L15" s="448"/>
      <c r="M15" s="448">
        <v>237.22222222222223</v>
      </c>
      <c r="N15" s="448"/>
    </row>
    <row r="16" spans="2:15" ht="15.75" customHeight="1">
      <c r="B16" s="53" t="s">
        <v>212</v>
      </c>
      <c r="C16" s="448" t="s">
        <v>460</v>
      </c>
      <c r="D16" s="448"/>
      <c r="E16" s="448">
        <v>250</v>
      </c>
      <c r="F16" s="448"/>
      <c r="G16" s="448">
        <v>248.75</v>
      </c>
      <c r="H16" s="448"/>
      <c r="I16" s="448">
        <v>250</v>
      </c>
      <c r="J16" s="448"/>
      <c r="K16" s="448">
        <v>225</v>
      </c>
      <c r="L16" s="448"/>
      <c r="M16" s="448">
        <v>246.05263157894737</v>
      </c>
      <c r="N16" s="448"/>
    </row>
    <row r="17" spans="2:14" ht="15.75" customHeight="1">
      <c r="B17" s="53" t="s">
        <v>196</v>
      </c>
      <c r="C17" s="448" t="s">
        <v>460</v>
      </c>
      <c r="D17" s="448"/>
      <c r="E17" s="448" t="s">
        <v>460</v>
      </c>
      <c r="F17" s="448"/>
      <c r="G17" s="448" t="s">
        <v>460</v>
      </c>
      <c r="H17" s="448"/>
      <c r="I17" s="448">
        <v>280</v>
      </c>
      <c r="J17" s="448"/>
      <c r="K17" s="448">
        <v>250</v>
      </c>
      <c r="L17" s="448"/>
      <c r="M17" s="448">
        <v>270</v>
      </c>
      <c r="N17" s="448"/>
    </row>
    <row r="18" spans="2:14" ht="15.75" customHeight="1">
      <c r="B18" s="53" t="s">
        <v>197</v>
      </c>
      <c r="C18" s="448" t="s">
        <v>460</v>
      </c>
      <c r="D18" s="448"/>
      <c r="E18" s="448" t="s">
        <v>460</v>
      </c>
      <c r="F18" s="448"/>
      <c r="G18" s="448" t="s">
        <v>460</v>
      </c>
      <c r="H18" s="448"/>
      <c r="I18" s="448" t="s">
        <v>460</v>
      </c>
      <c r="J18" s="448"/>
      <c r="K18" s="448" t="s">
        <v>460</v>
      </c>
      <c r="L18" s="448"/>
      <c r="M18" s="448" t="s">
        <v>460</v>
      </c>
      <c r="N18" s="448"/>
    </row>
    <row r="19" spans="2:14" ht="51.6" customHeight="1">
      <c r="B19" s="854" t="s">
        <v>461</v>
      </c>
      <c r="C19" s="854"/>
      <c r="D19" s="854"/>
      <c r="E19" s="854"/>
      <c r="F19" s="854"/>
      <c r="G19" s="854"/>
      <c r="H19" s="854"/>
      <c r="I19" s="854"/>
      <c r="J19" s="854"/>
      <c r="K19" s="854"/>
      <c r="L19" s="854"/>
      <c r="M19" s="854"/>
      <c r="N19" s="854"/>
    </row>
    <row r="20" spans="2:14">
      <c r="B20" s="1"/>
      <c r="C20" s="165"/>
      <c r="D20" s="165"/>
      <c r="E20" s="165"/>
      <c r="F20" s="165"/>
      <c r="G20" s="165"/>
      <c r="H20" s="165"/>
      <c r="I20" s="165"/>
      <c r="J20" s="165"/>
      <c r="K20" s="165"/>
      <c r="L20" s="165"/>
      <c r="M20" s="165"/>
      <c r="N20" s="165"/>
    </row>
    <row r="21" spans="2:14">
      <c r="C21" s="1"/>
      <c r="D21" s="166"/>
      <c r="E21" s="1"/>
      <c r="F21" s="166"/>
      <c r="G21" s="1"/>
      <c r="H21" s="166"/>
      <c r="I21" s="166"/>
      <c r="J21" s="166"/>
      <c r="K21" s="1"/>
      <c r="L21" s="166"/>
      <c r="M21" s="1"/>
      <c r="N21" s="166"/>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N136"/>
  <sheetViews>
    <sheetView zoomScale="80" zoomScaleNormal="80" zoomScaleSheetLayoutView="75" workbookViewId="0">
      <selection activeCell="I34" sqref="I34"/>
    </sheetView>
  </sheetViews>
  <sheetFormatPr baseColWidth="10" defaultColWidth="10.921875" defaultRowHeight="11.4"/>
  <cols>
    <col min="1" max="1" width="0.3828125" style="1" customWidth="1"/>
    <col min="2" max="2" width="10" style="4" customWidth="1"/>
    <col min="3" max="7" width="11.15234375" style="1" customWidth="1"/>
    <col min="8" max="16384" width="10.921875" style="1"/>
  </cols>
  <sheetData>
    <row r="1" spans="2:12" s="18" customFormat="1" ht="13.2">
      <c r="B1" s="766" t="s">
        <v>238</v>
      </c>
      <c r="C1" s="766"/>
      <c r="D1" s="766"/>
      <c r="E1" s="766"/>
      <c r="F1" s="766"/>
      <c r="G1" s="766"/>
    </row>
    <row r="2" spans="2:12" s="18" customFormat="1" ht="13.2">
      <c r="B2" s="17"/>
      <c r="C2" s="15"/>
      <c r="D2" s="15"/>
      <c r="E2" s="15"/>
      <c r="F2" s="15"/>
      <c r="G2" s="15"/>
    </row>
    <row r="3" spans="2:12" s="18" customFormat="1" ht="13.2">
      <c r="B3" s="766" t="s">
        <v>52</v>
      </c>
      <c r="C3" s="766"/>
      <c r="D3" s="766"/>
      <c r="E3" s="766"/>
      <c r="F3" s="766"/>
      <c r="G3" s="766"/>
    </row>
    <row r="4" spans="2:12" s="18" customFormat="1" ht="13.2">
      <c r="B4" s="766" t="s">
        <v>462</v>
      </c>
      <c r="C4" s="766"/>
      <c r="D4" s="766"/>
      <c r="E4" s="766"/>
      <c r="F4" s="766"/>
      <c r="G4" s="766"/>
    </row>
    <row r="5" spans="2:12" s="18" customFormat="1" ht="52.8">
      <c r="B5" s="537" t="s">
        <v>201</v>
      </c>
      <c r="C5" s="400" t="s">
        <v>463</v>
      </c>
      <c r="D5" s="400" t="s">
        <v>464</v>
      </c>
      <c r="E5" s="400" t="s">
        <v>465</v>
      </c>
      <c r="F5" s="400" t="s">
        <v>466</v>
      </c>
      <c r="G5" s="400" t="s">
        <v>467</v>
      </c>
    </row>
    <row r="6" spans="2:12" ht="15.75" customHeight="1">
      <c r="B6" s="575">
        <v>44197</v>
      </c>
      <c r="C6" s="133">
        <v>184869.58</v>
      </c>
      <c r="D6" s="133">
        <v>177879.99039999998</v>
      </c>
      <c r="E6" s="133"/>
      <c r="F6" s="133">
        <v>211783.83736774194</v>
      </c>
      <c r="G6" s="133">
        <v>204608.6494516129</v>
      </c>
      <c r="H6" s="5"/>
      <c r="I6" s="5"/>
      <c r="J6" s="5"/>
      <c r="K6" s="5"/>
      <c r="L6" s="5"/>
    </row>
    <row r="7" spans="2:12" ht="15.75" customHeight="1">
      <c r="B7" s="575">
        <v>44228</v>
      </c>
      <c r="C7" s="133">
        <v>179089.39290000001</v>
      </c>
      <c r="D7" s="133">
        <v>182803.71109999999</v>
      </c>
      <c r="E7" s="133"/>
      <c r="F7" s="133">
        <v>207290.11847500002</v>
      </c>
      <c r="G7" s="133">
        <v>210700.34007499999</v>
      </c>
      <c r="H7" s="5"/>
      <c r="I7" s="5"/>
      <c r="J7" s="5"/>
      <c r="K7" s="5"/>
      <c r="L7" s="5"/>
    </row>
    <row r="8" spans="2:12" ht="15.75" customHeight="1">
      <c r="B8" s="575">
        <v>44256</v>
      </c>
      <c r="C8" s="133">
        <v>171009.28909999999</v>
      </c>
      <c r="D8" s="133">
        <v>182130.01380000002</v>
      </c>
      <c r="E8" s="133">
        <v>207666.66666666669</v>
      </c>
      <c r="F8" s="133">
        <v>200314.10971612902</v>
      </c>
      <c r="G8" s="133">
        <v>219557.6423870968</v>
      </c>
      <c r="H8" s="5"/>
      <c r="I8" s="5"/>
      <c r="J8" s="5"/>
      <c r="K8" s="5"/>
      <c r="L8" s="5"/>
    </row>
    <row r="9" spans="2:12" ht="15.75" customHeight="1">
      <c r="B9" s="575">
        <v>44287</v>
      </c>
      <c r="C9" s="133">
        <v>181563.52499999999</v>
      </c>
      <c r="D9" s="133">
        <v>195253.34399999998</v>
      </c>
      <c r="E9" s="133">
        <v>204843.13725490196</v>
      </c>
      <c r="F9" s="133">
        <v>214592.74980000002</v>
      </c>
      <c r="G9" s="133">
        <v>223486.54144</v>
      </c>
      <c r="H9" s="5"/>
      <c r="I9" s="5"/>
      <c r="J9" s="5"/>
      <c r="K9" s="5"/>
      <c r="L9" s="5"/>
    </row>
    <row r="10" spans="2:12" ht="15.75" customHeight="1">
      <c r="B10" s="575">
        <v>44317</v>
      </c>
      <c r="C10" s="133">
        <v>192388.54860000001</v>
      </c>
      <c r="D10" s="133">
        <v>222666.7212</v>
      </c>
      <c r="E10" s="133">
        <v>207000</v>
      </c>
      <c r="F10" s="133">
        <v>229326.1886774193</v>
      </c>
      <c r="G10" s="133">
        <v>253766.05066451611</v>
      </c>
      <c r="H10" s="5"/>
      <c r="I10" s="5"/>
      <c r="J10" s="5"/>
      <c r="K10" s="5"/>
      <c r="L10" s="5"/>
    </row>
    <row r="11" spans="2:12" ht="15.75" customHeight="1">
      <c r="B11" s="575">
        <v>44348</v>
      </c>
      <c r="C11" s="133">
        <v>180596.0478</v>
      </c>
      <c r="D11" s="133">
        <v>220533.9516</v>
      </c>
      <c r="E11" s="133">
        <v>211050</v>
      </c>
      <c r="F11" s="133">
        <v>221365.48629333329</v>
      </c>
      <c r="G11" s="133">
        <v>261293.41720666667</v>
      </c>
      <c r="H11" s="5"/>
      <c r="I11" s="5"/>
      <c r="J11" s="5"/>
      <c r="K11" s="5"/>
      <c r="L11" s="5"/>
    </row>
    <row r="12" spans="2:12" ht="15.75" customHeight="1">
      <c r="B12" s="575">
        <v>44378</v>
      </c>
      <c r="C12" s="133">
        <v>177929.32400000002</v>
      </c>
      <c r="D12" s="133">
        <v>212749.74000000002</v>
      </c>
      <c r="E12" s="133">
        <v>224545.45454545456</v>
      </c>
      <c r="F12" s="133">
        <v>218950.94433548389</v>
      </c>
      <c r="G12" s="133">
        <v>253709.40120645161</v>
      </c>
      <c r="H12" s="5"/>
      <c r="I12" s="5"/>
      <c r="J12" s="5"/>
      <c r="K12" s="5"/>
      <c r="L12" s="5"/>
    </row>
    <row r="13" spans="2:12" ht="15.75" customHeight="1">
      <c r="B13" s="575">
        <v>44409</v>
      </c>
      <c r="C13" s="133">
        <v>185521.557</v>
      </c>
      <c r="D13" s="133">
        <v>204455.82940000002</v>
      </c>
      <c r="E13" s="133">
        <v>238750</v>
      </c>
      <c r="F13" s="133">
        <v>229297.24854838711</v>
      </c>
      <c r="G13" s="133">
        <v>260123.74867419357</v>
      </c>
      <c r="H13" s="5"/>
      <c r="I13" s="5"/>
      <c r="J13" s="5"/>
      <c r="K13" s="5"/>
      <c r="L13" s="5"/>
    </row>
    <row r="14" spans="2:12" ht="15.75" customHeight="1">
      <c r="B14" s="575">
        <v>44440</v>
      </c>
      <c r="C14" s="133">
        <v>188502.19650000002</v>
      </c>
      <c r="D14" s="133">
        <v>219102.948</v>
      </c>
      <c r="E14" s="133">
        <v>237222.22222222222</v>
      </c>
      <c r="F14" s="133">
        <v>240269.99028666667</v>
      </c>
      <c r="G14" s="133">
        <v>273469.78865666664</v>
      </c>
      <c r="H14" s="5"/>
      <c r="I14" s="5"/>
      <c r="J14" s="5"/>
      <c r="K14" s="5"/>
      <c r="L14" s="5"/>
    </row>
    <row r="15" spans="2:12" ht="15.75" customHeight="1">
      <c r="B15" s="575">
        <v>44470</v>
      </c>
      <c r="C15" s="133">
        <v>195199.30009999999</v>
      </c>
      <c r="D15" s="133">
        <v>212974.7886</v>
      </c>
      <c r="E15" s="133">
        <v>246052.63157894736</v>
      </c>
      <c r="F15" s="133">
        <v>254696.19292580648</v>
      </c>
      <c r="G15" s="133">
        <v>270655.19530322577</v>
      </c>
      <c r="H15" s="5"/>
      <c r="I15" s="5"/>
      <c r="J15" s="5"/>
      <c r="K15" s="5"/>
      <c r="L15" s="5"/>
    </row>
    <row r="16" spans="2:12" ht="15.75" customHeight="1">
      <c r="B16" s="575">
        <v>44501</v>
      </c>
      <c r="C16" s="133">
        <v>204373.93</v>
      </c>
      <c r="D16" s="133">
        <v>217262.08320000002</v>
      </c>
      <c r="E16" s="133">
        <v>270000</v>
      </c>
      <c r="F16" s="133">
        <v>257811.95759666667</v>
      </c>
      <c r="G16" s="133">
        <v>268216.5852733333</v>
      </c>
      <c r="H16" s="5"/>
      <c r="I16" s="5"/>
      <c r="J16" s="5"/>
      <c r="K16" s="5"/>
      <c r="L16" s="5"/>
    </row>
    <row r="17" spans="2:14" ht="15.75" customHeight="1">
      <c r="B17" s="575">
        <v>44531</v>
      </c>
      <c r="C17" s="133">
        <v>220601.37600000002</v>
      </c>
      <c r="D17" s="133">
        <v>232463.58239999998</v>
      </c>
      <c r="E17" s="133"/>
      <c r="F17" s="133">
        <v>278468.04696774192</v>
      </c>
      <c r="G17" s="133">
        <v>309285.57103225804</v>
      </c>
      <c r="H17" s="5"/>
      <c r="I17" s="5"/>
      <c r="J17" s="5"/>
      <c r="K17" s="5"/>
      <c r="L17" s="5"/>
    </row>
    <row r="18" spans="2:14" ht="15.75" customHeight="1">
      <c r="B18" s="575">
        <v>44562</v>
      </c>
      <c r="C18" s="133">
        <v>223951.0815</v>
      </c>
      <c r="D18" s="133">
        <v>233388.21550000002</v>
      </c>
      <c r="E18" s="133"/>
      <c r="F18" s="133">
        <v>281692.06228064513</v>
      </c>
      <c r="G18" s="133">
        <v>340306.0012483871</v>
      </c>
      <c r="H18" s="5"/>
      <c r="I18" s="5"/>
      <c r="J18" s="5"/>
      <c r="K18" s="5"/>
      <c r="L18" s="5"/>
    </row>
    <row r="19" spans="2:14" ht="15.75" customHeight="1">
      <c r="B19" s="575">
        <v>44593</v>
      </c>
      <c r="C19" s="133">
        <v>231798.5747</v>
      </c>
      <c r="D19" s="133">
        <v>243073.34260000003</v>
      </c>
      <c r="E19" s="133"/>
      <c r="F19" s="133">
        <v>289365.90606785711</v>
      </c>
      <c r="G19" s="133">
        <v>307708.69703571423</v>
      </c>
      <c r="H19" s="5"/>
      <c r="I19" s="5"/>
      <c r="J19" s="5"/>
      <c r="K19" s="5"/>
      <c r="L19" s="5"/>
    </row>
    <row r="20" spans="2:14" ht="15.75" customHeight="1">
      <c r="B20" s="575">
        <v>44621</v>
      </c>
      <c r="C20" s="133">
        <v>268487.88050000003</v>
      </c>
      <c r="D20" s="133">
        <v>287860.24609999999</v>
      </c>
      <c r="E20" s="133">
        <v>305083.33333333331</v>
      </c>
      <c r="F20" s="133">
        <v>325961.54034516128</v>
      </c>
      <c r="G20" s="133">
        <v>351935.53192903224</v>
      </c>
      <c r="H20" s="5"/>
      <c r="I20" s="5"/>
      <c r="J20" s="5"/>
      <c r="K20" s="5"/>
      <c r="L20" s="5"/>
    </row>
    <row r="21" spans="2:14" ht="15.75" customHeight="1">
      <c r="B21" s="575">
        <v>44652</v>
      </c>
      <c r="C21" s="133">
        <v>257577.92</v>
      </c>
      <c r="D21" s="133">
        <v>290109.35920000001</v>
      </c>
      <c r="E21" s="133">
        <v>306181.81818181818</v>
      </c>
      <c r="F21" s="133">
        <v>313187.45085741091</v>
      </c>
      <c r="G21" s="133">
        <v>353409.80923928082</v>
      </c>
      <c r="H21" s="5"/>
      <c r="I21" s="5"/>
      <c r="J21" s="5"/>
      <c r="K21" s="5"/>
      <c r="L21" s="5"/>
    </row>
    <row r="22" spans="2:14" ht="15.75" customHeight="1">
      <c r="B22" s="575">
        <v>44682</v>
      </c>
      <c r="C22" s="133">
        <v>267303.033</v>
      </c>
      <c r="D22" s="133">
        <v>298815.402</v>
      </c>
      <c r="E22" s="133">
        <v>308195.12195121951</v>
      </c>
      <c r="F22" s="133">
        <v>328317.9417258529</v>
      </c>
      <c r="G22" s="133">
        <v>368536.53333264327</v>
      </c>
      <c r="H22" s="5"/>
      <c r="I22" s="5"/>
      <c r="J22" s="5"/>
      <c r="K22" s="5"/>
      <c r="L22" s="5"/>
    </row>
    <row r="23" spans="2:14" ht="15" customHeight="1">
      <c r="B23" s="945" t="s">
        <v>468</v>
      </c>
      <c r="C23" s="946"/>
      <c r="D23" s="946"/>
      <c r="E23" s="946"/>
      <c r="F23" s="946"/>
      <c r="G23" s="947"/>
    </row>
    <row r="24" spans="2:14" ht="15" customHeight="1">
      <c r="B24" s="1"/>
      <c r="C24" s="167"/>
      <c r="D24" s="11"/>
      <c r="F24" s="167"/>
      <c r="G24" s="11"/>
    </row>
    <row r="25" spans="2:14" ht="12" customHeight="1">
      <c r="C25" s="168"/>
      <c r="D25" s="168"/>
      <c r="E25" s="168"/>
      <c r="F25" s="168"/>
      <c r="G25" s="168"/>
    </row>
    <row r="26" spans="2:14" ht="15" customHeight="1">
      <c r="I26" s="167"/>
      <c r="J26" s="167"/>
      <c r="K26" s="167"/>
      <c r="L26" s="167"/>
      <c r="M26" s="167"/>
      <c r="N26" s="167"/>
    </row>
    <row r="27" spans="2:14" ht="15" customHeight="1">
      <c r="I27" s="167"/>
      <c r="J27" s="167"/>
      <c r="K27" s="167"/>
      <c r="L27" s="167"/>
      <c r="M27" s="167"/>
      <c r="N27" s="167"/>
    </row>
    <row r="28" spans="2:14" ht="15" customHeight="1">
      <c r="I28" s="167"/>
      <c r="J28" s="167"/>
      <c r="K28" s="167"/>
      <c r="L28" s="167"/>
      <c r="M28" s="167"/>
      <c r="N28" s="167"/>
    </row>
    <row r="29" spans="2:14" ht="15" customHeight="1">
      <c r="I29" s="167"/>
      <c r="J29" s="167"/>
      <c r="K29" s="167"/>
      <c r="L29" s="167"/>
      <c r="M29" s="167"/>
      <c r="N29" s="167"/>
    </row>
    <row r="30" spans="2:14" ht="15" customHeight="1">
      <c r="I30" s="167"/>
      <c r="J30" s="167"/>
      <c r="K30" s="167"/>
      <c r="L30" s="167"/>
      <c r="M30" s="167"/>
      <c r="N30" s="167"/>
    </row>
    <row r="31" spans="2:14" ht="15" customHeight="1">
      <c r="I31" s="167"/>
      <c r="J31" s="167"/>
      <c r="K31" s="167"/>
      <c r="L31" s="167"/>
      <c r="M31" s="167"/>
      <c r="N31" s="167"/>
    </row>
    <row r="32" spans="2:14" ht="15" customHeight="1">
      <c r="I32" s="167"/>
      <c r="J32" s="167"/>
      <c r="K32" s="167"/>
      <c r="L32" s="167"/>
      <c r="M32" s="167"/>
      <c r="N32" s="167"/>
    </row>
    <row r="33" spans="2:14" ht="15" customHeight="1">
      <c r="I33" s="167"/>
      <c r="J33" s="167"/>
      <c r="K33" s="167"/>
      <c r="L33" s="167"/>
      <c r="M33" s="167"/>
      <c r="N33" s="167"/>
    </row>
    <row r="34" spans="2:14" ht="15" customHeight="1">
      <c r="I34" s="167"/>
      <c r="J34" s="167"/>
      <c r="K34" s="167"/>
      <c r="L34" s="167"/>
      <c r="M34" s="167"/>
      <c r="N34" s="167"/>
    </row>
    <row r="35" spans="2:14" ht="15" customHeight="1">
      <c r="I35" s="167"/>
      <c r="J35" s="167"/>
      <c r="K35" s="167"/>
      <c r="L35" s="167"/>
      <c r="M35" s="167"/>
      <c r="N35" s="167"/>
    </row>
    <row r="36" spans="2:14" ht="13.8" customHeight="1">
      <c r="I36" s="167"/>
      <c r="J36" s="167"/>
      <c r="K36" s="167"/>
      <c r="L36" s="167"/>
      <c r="M36" s="167"/>
      <c r="N36" s="167"/>
    </row>
    <row r="37" spans="2:14" ht="13.8" customHeight="1">
      <c r="I37" s="167"/>
      <c r="J37" s="167"/>
      <c r="K37" s="167"/>
      <c r="L37" s="167"/>
      <c r="M37" s="167"/>
      <c r="N37" s="167"/>
    </row>
    <row r="38" spans="2:14" ht="13.8" customHeight="1">
      <c r="I38" s="167"/>
      <c r="J38" s="167"/>
      <c r="K38" s="167"/>
      <c r="L38" s="167"/>
      <c r="M38" s="167"/>
      <c r="N38" s="167"/>
    </row>
    <row r="39" spans="2:14" ht="13.8" customHeight="1">
      <c r="I39" s="167"/>
      <c r="J39" s="167"/>
      <c r="K39" s="167"/>
      <c r="L39" s="167"/>
      <c r="M39" s="167"/>
      <c r="N39" s="167"/>
    </row>
    <row r="40" spans="2:14" ht="13.8" customHeight="1">
      <c r="I40" s="167"/>
      <c r="J40" s="167"/>
      <c r="K40" s="167"/>
      <c r="L40" s="167"/>
      <c r="M40" s="167"/>
      <c r="N40" s="167"/>
    </row>
    <row r="41" spans="2:14" ht="13.8" customHeight="1">
      <c r="I41" s="167"/>
      <c r="J41" s="167"/>
      <c r="K41" s="167"/>
      <c r="L41" s="167"/>
      <c r="M41" s="167"/>
      <c r="N41" s="167"/>
    </row>
    <row r="42" spans="2:14" ht="15.75" customHeight="1"/>
    <row r="43" spans="2:14" ht="10.050000000000001" customHeight="1"/>
    <row r="44" spans="2:14" ht="13.8" customHeight="1">
      <c r="B44" s="1"/>
    </row>
    <row r="45" spans="2:14" ht="13.8" customHeight="1"/>
    <row r="46" spans="2:14" ht="13.8" customHeight="1"/>
    <row r="47" spans="2:14" ht="13.8" customHeight="1"/>
    <row r="48" spans="2:14" ht="13.8" customHeight="1" thickBot="1"/>
    <row r="49" spans="3:13" ht="13.8" customHeight="1" thickBot="1">
      <c r="C49" s="169"/>
      <c r="D49" s="170"/>
      <c r="E49" s="170"/>
      <c r="F49" s="170"/>
      <c r="G49" s="171"/>
      <c r="H49" s="171"/>
      <c r="I49" s="171"/>
      <c r="J49" s="171"/>
      <c r="K49" s="171"/>
      <c r="L49" s="171"/>
      <c r="M49" s="171"/>
    </row>
    <row r="50" spans="3:13" ht="13.8" customHeight="1" thickBot="1">
      <c r="C50" s="172"/>
      <c r="D50" s="173"/>
      <c r="E50" s="173"/>
      <c r="F50" s="173"/>
      <c r="G50" s="171"/>
    </row>
    <row r="51" spans="3:13" ht="13.8" customHeight="1" thickBot="1">
      <c r="C51" s="172"/>
      <c r="D51" s="173"/>
      <c r="E51" s="173"/>
      <c r="F51" s="173"/>
      <c r="G51" s="171"/>
    </row>
    <row r="52" spans="3:13" ht="13.8" customHeight="1" thickBot="1">
      <c r="C52" s="172"/>
      <c r="D52" s="173"/>
      <c r="E52" s="173"/>
      <c r="F52" s="173"/>
      <c r="G52" s="171"/>
    </row>
    <row r="53" spans="3:13" ht="13.8" customHeight="1" thickBot="1">
      <c r="C53" s="172"/>
      <c r="D53" s="173"/>
      <c r="E53" s="173"/>
      <c r="F53" s="173"/>
      <c r="G53" s="171"/>
    </row>
    <row r="54" spans="3:13" ht="13.8" customHeight="1" thickBot="1">
      <c r="C54" s="172"/>
      <c r="D54" s="173"/>
      <c r="E54" s="173"/>
      <c r="F54" s="173"/>
      <c r="G54" s="171"/>
    </row>
    <row r="55" spans="3:13" ht="13.8" customHeight="1"/>
    <row r="56" spans="3:13" ht="13.8" customHeight="1"/>
    <row r="57" spans="3:13" ht="13.8" customHeight="1"/>
    <row r="58" spans="3:13" ht="13.8" customHeight="1"/>
    <row r="59" spans="3:13" ht="13.8" customHeight="1"/>
    <row r="60" spans="3:13" ht="13.8" customHeight="1"/>
    <row r="61" spans="3:13" ht="13.8" customHeight="1"/>
    <row r="62" spans="3:13" ht="13.8" customHeight="1"/>
    <row r="63" spans="3:13" ht="13.8" customHeight="1"/>
    <row r="64" spans="3:13" ht="13.8" customHeight="1"/>
    <row r="65" ht="13.8" customHeight="1"/>
    <row r="66" ht="13.8" customHeight="1"/>
    <row r="67" ht="13.8" customHeight="1"/>
    <row r="68" ht="13.8" customHeight="1"/>
    <row r="69" ht="13.8" customHeight="1"/>
    <row r="70" ht="13.8" customHeight="1"/>
    <row r="71" ht="13.8" customHeight="1"/>
    <row r="72" ht="13.8" customHeight="1"/>
    <row r="73" ht="13.8" customHeight="1"/>
    <row r="74" ht="13.8" customHeight="1"/>
    <row r="75" ht="13.8" customHeight="1"/>
    <row r="76" ht="13.8" customHeight="1"/>
    <row r="77" ht="13.8" customHeight="1"/>
    <row r="78" ht="13.8" customHeight="1"/>
    <row r="79" ht="13.8" customHeight="1"/>
    <row r="80" ht="13.8" customHeight="1"/>
    <row r="81" ht="13.8" customHeight="1"/>
    <row r="82" ht="13.8" customHeight="1"/>
    <row r="83" ht="13.8" customHeight="1"/>
    <row r="84" ht="13.8" customHeight="1"/>
    <row r="85" ht="13.8" customHeight="1"/>
    <row r="86" ht="13.8" customHeight="1"/>
    <row r="87" ht="13.8" customHeight="1"/>
    <row r="88" ht="13.8" customHeight="1"/>
    <row r="89" ht="13.8" customHeight="1"/>
    <row r="90" ht="13.8" customHeight="1"/>
    <row r="91" ht="13.8" customHeight="1"/>
    <row r="92" ht="13.8" customHeight="1"/>
    <row r="93" ht="13.8" customHeight="1"/>
    <row r="94" ht="13.8" customHeight="1"/>
    <row r="95" ht="13.8" customHeight="1"/>
    <row r="96" ht="13.8" customHeight="1"/>
    <row r="97" ht="13.8" customHeight="1"/>
    <row r="98" ht="13.8" customHeight="1"/>
    <row r="99" ht="13.8" customHeight="1"/>
    <row r="100" ht="13.8" customHeight="1"/>
    <row r="101" ht="13.8" customHeight="1"/>
    <row r="102" ht="13.8" customHeight="1"/>
    <row r="103" ht="13.8" customHeight="1"/>
    <row r="104" ht="13.8" customHeight="1"/>
    <row r="105" ht="13.8" customHeight="1"/>
    <row r="106" ht="13.8" customHeight="1"/>
    <row r="107" ht="13.8" customHeight="1"/>
    <row r="108" ht="13.8" customHeight="1"/>
    <row r="109" ht="13.8" customHeight="1"/>
    <row r="110" ht="13.8" customHeight="1"/>
    <row r="111" ht="13.8" customHeight="1"/>
    <row r="112" ht="13.8" customHeight="1"/>
    <row r="113" ht="13.8" customHeight="1"/>
    <row r="114" ht="13.8" customHeight="1"/>
    <row r="115" ht="13.8" customHeight="1"/>
    <row r="116" ht="13.8" customHeight="1"/>
    <row r="117" ht="13.8" customHeight="1"/>
    <row r="118" ht="13.8" customHeight="1"/>
    <row r="119" ht="13.8" customHeight="1"/>
    <row r="120" ht="13.8" customHeight="1"/>
    <row r="121" ht="13.8" customHeight="1"/>
    <row r="122" ht="13.8" customHeight="1"/>
    <row r="123" ht="13.8" customHeight="1"/>
    <row r="124" ht="13.8" customHeight="1"/>
    <row r="125" ht="13.8" customHeight="1"/>
    <row r="126" ht="13.8" customHeight="1"/>
    <row r="127" ht="13.8" customHeight="1"/>
    <row r="128" ht="13.8" customHeight="1"/>
    <row r="129" ht="13.8" customHeight="1"/>
    <row r="130" ht="13.8" customHeight="1"/>
    <row r="131" ht="13.8" customHeight="1"/>
    <row r="132" ht="13.8" customHeight="1"/>
    <row r="133" ht="13.8" customHeight="1"/>
    <row r="134" ht="13.8" customHeight="1"/>
    <row r="135" ht="13.8" customHeight="1"/>
    <row r="136" ht="13.8" customHeight="1"/>
  </sheetData>
  <mergeCells count="4">
    <mergeCell ref="B1:G1"/>
    <mergeCell ref="B3:G3"/>
    <mergeCell ref="B4:G4"/>
    <mergeCell ref="B23:G23"/>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F1:AJ69"/>
  <sheetViews>
    <sheetView zoomScaleNormal="100" workbookViewId="0">
      <pane ySplit="1" topLeftCell="A2" activePane="bottomLeft" state="frozen"/>
      <selection activeCell="F47" sqref="F47"/>
      <selection pane="bottomLeft" activeCell="O30" sqref="O30"/>
    </sheetView>
  </sheetViews>
  <sheetFormatPr baseColWidth="10" defaultColWidth="10.921875" defaultRowHeight="13.2"/>
  <cols>
    <col min="1" max="1" width="9" style="663" customWidth="1"/>
    <col min="2" max="4" width="10.921875" style="663"/>
    <col min="5" max="5" width="16.15234375" style="663" customWidth="1"/>
    <col min="6" max="6" width="9.921875" style="663" customWidth="1"/>
    <col min="7" max="7" width="14.3828125" style="713" customWidth="1"/>
    <col min="8" max="12" width="6.07421875" style="713" hidden="1" customWidth="1"/>
    <col min="13" max="13" width="8.23046875" style="713" hidden="1" customWidth="1"/>
    <col min="14" max="20" width="8.23046875" style="713" customWidth="1"/>
    <col min="21" max="21" width="7.07421875" style="713" customWidth="1"/>
    <col min="22" max="22" width="8.3828125" style="713" customWidth="1"/>
    <col min="23" max="32" width="10.921875" style="713"/>
    <col min="33" max="16384" width="10.921875" style="663"/>
  </cols>
  <sheetData>
    <row r="1" spans="6:36">
      <c r="H1" s="714">
        <v>44256</v>
      </c>
      <c r="I1" s="714">
        <v>44317</v>
      </c>
      <c r="J1" s="714">
        <v>44378</v>
      </c>
      <c r="K1" s="714">
        <v>44440</v>
      </c>
      <c r="L1" s="714">
        <v>44531</v>
      </c>
      <c r="M1" s="714">
        <v>44621</v>
      </c>
      <c r="N1" s="714">
        <v>44652</v>
      </c>
      <c r="O1" s="714">
        <v>44682</v>
      </c>
      <c r="P1" s="714">
        <v>44713</v>
      </c>
      <c r="Q1" s="714">
        <v>44743</v>
      </c>
      <c r="R1" s="714"/>
      <c r="S1" s="714">
        <v>44805</v>
      </c>
      <c r="T1" s="714">
        <v>44835</v>
      </c>
      <c r="U1" s="714">
        <v>44896</v>
      </c>
      <c r="V1" s="714">
        <v>44986</v>
      </c>
      <c r="W1" s="714">
        <v>45352</v>
      </c>
    </row>
    <row r="2" spans="6:36">
      <c r="F2" s="664"/>
      <c r="G2" s="715">
        <v>44256</v>
      </c>
      <c r="H2" s="716">
        <v>215.53979999999999</v>
      </c>
      <c r="I2" s="716">
        <v>211.89825999999999</v>
      </c>
      <c r="J2" s="716">
        <v>207.46935999999999</v>
      </c>
      <c r="K2" s="716">
        <v>191.23005999999998</v>
      </c>
      <c r="L2" s="716">
        <v>184.53749999999999</v>
      </c>
      <c r="M2" s="716">
        <v>175.08516</v>
      </c>
      <c r="N2" s="716"/>
      <c r="O2" s="716"/>
      <c r="P2" s="716"/>
      <c r="Q2" s="716"/>
      <c r="R2" s="716"/>
      <c r="S2" s="716"/>
      <c r="T2" s="716"/>
    </row>
    <row r="3" spans="6:36">
      <c r="F3" s="664"/>
      <c r="G3" s="715">
        <v>44263</v>
      </c>
      <c r="H3" s="716">
        <v>222.42919999999998</v>
      </c>
      <c r="I3" s="716">
        <v>215.34295999999998</v>
      </c>
      <c r="J3" s="716">
        <v>211.01247999999998</v>
      </c>
      <c r="K3" s="716">
        <v>196.93841999999998</v>
      </c>
      <c r="L3" s="716">
        <v>189.55691999999999</v>
      </c>
      <c r="M3" s="716">
        <v>179.67815999999999</v>
      </c>
      <c r="N3" s="716"/>
      <c r="O3" s="716"/>
      <c r="P3" s="716"/>
      <c r="Q3" s="716"/>
      <c r="R3" s="716"/>
      <c r="S3" s="716"/>
      <c r="T3" s="716"/>
    </row>
    <row r="4" spans="6:36">
      <c r="F4" s="665"/>
      <c r="G4" s="717">
        <v>44270</v>
      </c>
      <c r="H4" s="718"/>
      <c r="I4" s="719">
        <v>216.32715999999999</v>
      </c>
      <c r="J4" s="719">
        <v>211.70141999999998</v>
      </c>
      <c r="K4" s="719">
        <v>196.05264</v>
      </c>
      <c r="L4" s="719">
        <v>188.4743</v>
      </c>
      <c r="M4" s="719">
        <v>178.6677</v>
      </c>
      <c r="N4" s="716"/>
      <c r="O4" s="716"/>
      <c r="P4" s="716"/>
      <c r="Q4" s="716"/>
      <c r="R4" s="716"/>
      <c r="S4" s="716"/>
      <c r="T4" s="716"/>
    </row>
    <row r="5" spans="6:36">
      <c r="F5" s="665"/>
      <c r="G5" s="717">
        <v>44277</v>
      </c>
      <c r="H5" s="718"/>
      <c r="I5" s="719">
        <v>216.13031999999998</v>
      </c>
      <c r="J5" s="719">
        <v>209.24091999999999</v>
      </c>
      <c r="K5" s="719">
        <v>190.63953999999998</v>
      </c>
      <c r="L5" s="719">
        <v>184.24223999999998</v>
      </c>
      <c r="M5" s="719">
        <v>174.90144000000001</v>
      </c>
      <c r="N5" s="719"/>
      <c r="O5" s="719"/>
      <c r="P5" s="719"/>
      <c r="Q5" s="719"/>
      <c r="R5" s="719"/>
      <c r="S5" s="719"/>
      <c r="T5" s="719"/>
      <c r="U5" s="718"/>
      <c r="V5" s="718"/>
      <c r="W5" s="718"/>
      <c r="X5" s="718"/>
      <c r="Y5" s="718"/>
      <c r="Z5" s="718"/>
      <c r="AA5" s="718"/>
      <c r="AB5" s="718"/>
      <c r="AC5" s="718"/>
      <c r="AD5" s="718"/>
      <c r="AE5" s="718"/>
      <c r="AF5" s="718"/>
      <c r="AG5" s="666"/>
      <c r="AH5" s="666"/>
      <c r="AI5" s="666"/>
      <c r="AJ5" s="666"/>
    </row>
    <row r="6" spans="6:36">
      <c r="F6" s="665"/>
      <c r="G6" s="717">
        <v>44284</v>
      </c>
      <c r="H6" s="718"/>
      <c r="I6" s="719">
        <v>215.24453999999997</v>
      </c>
      <c r="J6" s="719">
        <v>209.14249999999998</v>
      </c>
      <c r="K6" s="719">
        <v>188.57271999999998</v>
      </c>
      <c r="L6" s="719">
        <v>181.58489999999998</v>
      </c>
      <c r="M6" s="719">
        <v>172.42122000000001</v>
      </c>
      <c r="N6" s="719"/>
      <c r="O6" s="719"/>
      <c r="P6" s="719"/>
      <c r="Q6" s="719"/>
      <c r="R6" s="719"/>
      <c r="S6" s="719"/>
      <c r="T6" s="719"/>
      <c r="U6" s="718"/>
      <c r="V6" s="718"/>
      <c r="W6" s="718"/>
      <c r="X6" s="718"/>
      <c r="Y6" s="718"/>
      <c r="Z6" s="718"/>
      <c r="AA6" s="718"/>
      <c r="AB6" s="718"/>
      <c r="AC6" s="718"/>
      <c r="AD6" s="718"/>
      <c r="AE6" s="718"/>
      <c r="AF6" s="718"/>
      <c r="AG6" s="666"/>
      <c r="AH6" s="666"/>
      <c r="AI6" s="666"/>
      <c r="AJ6" s="666"/>
    </row>
    <row r="7" spans="6:36">
      <c r="F7" s="666"/>
      <c r="G7" s="717">
        <v>44291</v>
      </c>
      <c r="H7" s="718"/>
      <c r="I7" s="719">
        <v>217.80345999999997</v>
      </c>
      <c r="J7" s="719">
        <v>212.29193999999998</v>
      </c>
      <c r="K7" s="719">
        <v>197.82419999999999</v>
      </c>
      <c r="L7" s="719">
        <v>192.31268</v>
      </c>
      <c r="M7" s="719">
        <v>182.25023999999999</v>
      </c>
      <c r="N7" s="719"/>
      <c r="O7" s="719"/>
      <c r="P7" s="719"/>
      <c r="Q7" s="719"/>
      <c r="R7" s="719"/>
      <c r="S7" s="719"/>
      <c r="T7" s="719"/>
      <c r="U7" s="718"/>
      <c r="V7" s="718"/>
      <c r="W7" s="718"/>
      <c r="X7" s="718"/>
      <c r="Y7" s="718"/>
      <c r="Z7" s="718"/>
      <c r="AA7" s="718"/>
      <c r="AB7" s="718"/>
      <c r="AC7" s="718"/>
      <c r="AD7" s="718"/>
      <c r="AE7" s="718"/>
      <c r="AF7" s="718"/>
      <c r="AG7" s="666"/>
      <c r="AH7" s="666"/>
      <c r="AI7" s="666"/>
      <c r="AJ7" s="666"/>
    </row>
    <row r="8" spans="6:36">
      <c r="F8" s="665"/>
      <c r="G8" s="717">
        <v>44298</v>
      </c>
      <c r="H8" s="718"/>
      <c r="I8" s="719">
        <v>224.00391999999999</v>
      </c>
      <c r="J8" s="719">
        <v>218.88607999999999</v>
      </c>
      <c r="K8" s="719">
        <v>199.89102</v>
      </c>
      <c r="L8" s="719">
        <v>195.46212</v>
      </c>
      <c r="M8" s="719">
        <v>184.91417999999999</v>
      </c>
      <c r="N8" s="719"/>
      <c r="O8" s="719"/>
      <c r="P8" s="719"/>
      <c r="Q8" s="719"/>
      <c r="R8" s="719"/>
      <c r="S8" s="719"/>
      <c r="T8" s="719"/>
      <c r="U8" s="718"/>
      <c r="V8" s="718"/>
      <c r="W8" s="718"/>
      <c r="X8" s="718"/>
      <c r="Y8" s="718"/>
      <c r="Z8" s="718"/>
      <c r="AA8" s="718"/>
      <c r="AB8" s="718"/>
      <c r="AC8" s="718"/>
      <c r="AD8" s="718"/>
      <c r="AE8" s="718"/>
      <c r="AF8" s="718"/>
      <c r="AG8" s="666"/>
      <c r="AH8" s="666"/>
      <c r="AI8" s="666"/>
      <c r="AJ8" s="666"/>
    </row>
    <row r="9" spans="6:36">
      <c r="F9" s="665"/>
      <c r="G9" s="717">
        <v>44305</v>
      </c>
      <c r="H9" s="718"/>
      <c r="I9" s="719">
        <v>233.05855999999997</v>
      </c>
      <c r="J9" s="719">
        <v>228.53124</v>
      </c>
      <c r="K9" s="719">
        <v>211.60299999999998</v>
      </c>
      <c r="L9" s="719">
        <v>204.81201999999999</v>
      </c>
      <c r="M9" s="719">
        <v>193.64087999999998</v>
      </c>
      <c r="N9" s="719"/>
      <c r="O9" s="719"/>
      <c r="P9" s="719"/>
      <c r="Q9" s="719"/>
      <c r="R9" s="719"/>
      <c r="S9" s="719"/>
      <c r="T9" s="719"/>
      <c r="U9" s="718"/>
      <c r="V9" s="718"/>
      <c r="W9" s="718"/>
      <c r="X9" s="718"/>
      <c r="Y9" s="718"/>
      <c r="Z9" s="718"/>
      <c r="AA9" s="718"/>
      <c r="AB9" s="718"/>
      <c r="AC9" s="718"/>
      <c r="AD9" s="718"/>
      <c r="AE9" s="718"/>
      <c r="AF9" s="718"/>
      <c r="AG9" s="666"/>
      <c r="AH9" s="666"/>
      <c r="AI9" s="666"/>
      <c r="AJ9" s="666"/>
    </row>
    <row r="10" spans="6:36">
      <c r="F10" s="665"/>
      <c r="G10" s="717">
        <v>44312</v>
      </c>
      <c r="H10" s="718"/>
      <c r="I10" s="719">
        <v>267.89923999999996</v>
      </c>
      <c r="J10" s="719">
        <v>258.84459999999996</v>
      </c>
      <c r="K10" s="719">
        <v>233.45223999999999</v>
      </c>
      <c r="L10" s="719">
        <v>223.70865999999998</v>
      </c>
      <c r="M10" s="719">
        <v>210.35939999999999</v>
      </c>
      <c r="N10" s="719"/>
      <c r="O10" s="719"/>
      <c r="P10" s="719"/>
      <c r="Q10" s="719"/>
      <c r="R10" s="719"/>
      <c r="S10" s="719"/>
      <c r="T10" s="719"/>
      <c r="U10" s="718"/>
      <c r="V10" s="718"/>
      <c r="W10" s="718"/>
      <c r="X10" s="718"/>
      <c r="Y10" s="718"/>
      <c r="Z10" s="718"/>
      <c r="AA10" s="718"/>
      <c r="AB10" s="718"/>
      <c r="AC10" s="718"/>
      <c r="AD10" s="718"/>
      <c r="AE10" s="718"/>
      <c r="AF10" s="718"/>
      <c r="AG10" s="666"/>
      <c r="AH10" s="666"/>
      <c r="AI10" s="666"/>
      <c r="AJ10" s="666"/>
    </row>
    <row r="11" spans="6:36">
      <c r="F11" s="667"/>
      <c r="G11" s="717">
        <v>44319</v>
      </c>
      <c r="H11" s="718"/>
      <c r="I11" s="719">
        <v>288.27217999999999</v>
      </c>
      <c r="J11" s="719">
        <v>267.50556</v>
      </c>
      <c r="K11" s="719">
        <v>232.96014</v>
      </c>
      <c r="L11" s="719">
        <v>221.64183999999997</v>
      </c>
      <c r="M11" s="719">
        <v>208.70591999999999</v>
      </c>
      <c r="N11" s="719"/>
      <c r="O11" s="719"/>
      <c r="P11" s="719"/>
      <c r="Q11" s="719">
        <v>570</v>
      </c>
      <c r="R11" s="719"/>
      <c r="S11" s="719"/>
      <c r="T11" s="719"/>
      <c r="U11" s="718"/>
      <c r="V11" s="718"/>
      <c r="W11" s="718"/>
      <c r="X11" s="718"/>
      <c r="Y11" s="718"/>
      <c r="Z11" s="718"/>
      <c r="AA11" s="718"/>
      <c r="AB11" s="718"/>
      <c r="AC11" s="718"/>
      <c r="AD11" s="718"/>
      <c r="AE11" s="718"/>
      <c r="AF11" s="718"/>
      <c r="AG11" s="666"/>
      <c r="AH11" s="666"/>
      <c r="AI11" s="666"/>
      <c r="AJ11" s="666"/>
    </row>
    <row r="12" spans="6:36">
      <c r="F12" s="665"/>
      <c r="G12" s="717">
        <v>44326</v>
      </c>
      <c r="H12" s="718"/>
      <c r="I12" s="719">
        <v>294.47263999999996</v>
      </c>
      <c r="J12" s="719">
        <v>280.20173999999997</v>
      </c>
      <c r="K12" s="719">
        <v>247.62472</v>
      </c>
      <c r="L12" s="719">
        <v>239.84953999999999</v>
      </c>
      <c r="M12" s="719">
        <v>225.60816</v>
      </c>
      <c r="N12" s="719"/>
      <c r="O12" s="719"/>
      <c r="P12" s="719"/>
      <c r="Q12" s="719">
        <v>611.75</v>
      </c>
      <c r="R12" s="719"/>
      <c r="S12" s="719"/>
      <c r="T12" s="719"/>
      <c r="U12" s="718"/>
      <c r="V12" s="718"/>
      <c r="W12" s="718"/>
      <c r="X12" s="718"/>
      <c r="Y12" s="718"/>
      <c r="Z12" s="718"/>
      <c r="AA12" s="718"/>
      <c r="AB12" s="718"/>
      <c r="AC12" s="718"/>
      <c r="AD12" s="718"/>
      <c r="AE12" s="718"/>
      <c r="AF12" s="718"/>
      <c r="AG12" s="666"/>
      <c r="AH12" s="666"/>
      <c r="AI12" s="666"/>
      <c r="AJ12" s="666"/>
    </row>
    <row r="13" spans="6:36">
      <c r="F13" s="665"/>
      <c r="G13" s="717">
        <v>44333</v>
      </c>
      <c r="H13" s="718"/>
      <c r="I13" s="718"/>
      <c r="J13" s="719">
        <v>256.87619999999998</v>
      </c>
      <c r="K13" s="719">
        <v>223.01971999999998</v>
      </c>
      <c r="L13" s="719">
        <v>211.50457999999998</v>
      </c>
      <c r="M13" s="719">
        <v>199.42805999999999</v>
      </c>
      <c r="N13" s="719"/>
      <c r="O13" s="719"/>
      <c r="P13" s="719"/>
      <c r="Q13" s="719">
        <v>545.5</v>
      </c>
      <c r="R13" s="719"/>
      <c r="S13" s="719"/>
      <c r="T13" s="719"/>
      <c r="U13" s="718"/>
      <c r="V13" s="718"/>
      <c r="W13" s="718"/>
      <c r="X13" s="718"/>
      <c r="Y13" s="718"/>
      <c r="Z13" s="718"/>
      <c r="AA13" s="718"/>
      <c r="AB13" s="718"/>
      <c r="AC13" s="718"/>
      <c r="AD13" s="718"/>
      <c r="AE13" s="718"/>
      <c r="AF13" s="718"/>
      <c r="AG13" s="666"/>
      <c r="AH13" s="666"/>
      <c r="AI13" s="666"/>
      <c r="AJ13" s="666"/>
    </row>
    <row r="14" spans="6:36">
      <c r="F14" s="665"/>
      <c r="G14" s="717">
        <v>44340</v>
      </c>
      <c r="H14" s="718"/>
      <c r="I14" s="718"/>
      <c r="J14" s="719">
        <v>258.74617999999998</v>
      </c>
      <c r="K14" s="719">
        <v>223.80707999999998</v>
      </c>
      <c r="L14" s="719">
        <v>212.68562</v>
      </c>
      <c r="M14" s="719">
        <v>200.80596</v>
      </c>
      <c r="N14" s="719"/>
      <c r="O14" s="719"/>
      <c r="P14" s="719"/>
      <c r="Q14" s="719">
        <v>548.25</v>
      </c>
      <c r="R14" s="719"/>
      <c r="S14" s="719"/>
      <c r="T14" s="719"/>
      <c r="U14" s="718"/>
      <c r="V14" s="718"/>
      <c r="W14" s="718"/>
      <c r="X14" s="718"/>
      <c r="Y14" s="718"/>
      <c r="Z14" s="718"/>
      <c r="AA14" s="718"/>
      <c r="AB14" s="718"/>
      <c r="AC14" s="718"/>
      <c r="AD14" s="718"/>
      <c r="AE14" s="718"/>
      <c r="AF14" s="718"/>
      <c r="AG14" s="666"/>
      <c r="AH14" s="666"/>
      <c r="AI14" s="666"/>
      <c r="AJ14" s="666"/>
    </row>
    <row r="15" spans="6:36">
      <c r="F15" s="665"/>
      <c r="G15" s="717">
        <v>44348</v>
      </c>
      <c r="H15" s="718"/>
      <c r="I15" s="718"/>
      <c r="J15" s="719">
        <v>271.14709999999997</v>
      </c>
      <c r="K15" s="719">
        <v>236.99535999999998</v>
      </c>
      <c r="L15" s="719">
        <v>227.15335999999999</v>
      </c>
      <c r="M15" s="719">
        <v>214.30938</v>
      </c>
      <c r="N15" s="719"/>
      <c r="O15" s="719"/>
      <c r="P15" s="719"/>
      <c r="Q15" s="719">
        <v>215.22798</v>
      </c>
      <c r="R15" s="719"/>
      <c r="S15" s="719">
        <v>191.16066000000001</v>
      </c>
      <c r="T15" s="719"/>
      <c r="U15" s="718"/>
      <c r="V15" s="718"/>
      <c r="W15" s="718"/>
      <c r="X15" s="718"/>
      <c r="Y15" s="718"/>
      <c r="Z15" s="718"/>
      <c r="AA15" s="718"/>
      <c r="AB15" s="718"/>
      <c r="AC15" s="718"/>
      <c r="AD15" s="718"/>
      <c r="AE15" s="718"/>
      <c r="AF15" s="718"/>
      <c r="AG15" s="666"/>
      <c r="AH15" s="666"/>
      <c r="AI15" s="666"/>
      <c r="AJ15" s="666"/>
    </row>
    <row r="16" spans="6:36">
      <c r="F16" s="665"/>
      <c r="G16" s="717">
        <v>44354</v>
      </c>
      <c r="H16" s="718"/>
      <c r="I16" s="718"/>
      <c r="J16" s="719">
        <v>267.40713999999997</v>
      </c>
      <c r="K16" s="719">
        <v>244.47528</v>
      </c>
      <c r="L16" s="719">
        <v>237.29061999999999</v>
      </c>
      <c r="M16" s="719">
        <v>223.58723999999998</v>
      </c>
      <c r="N16" s="719"/>
      <c r="O16" s="719"/>
      <c r="P16" s="719"/>
      <c r="Q16" s="719">
        <v>224.32211999999998</v>
      </c>
      <c r="R16" s="719"/>
      <c r="S16" s="719">
        <v>197.22342</v>
      </c>
      <c r="T16" s="719"/>
      <c r="U16" s="718"/>
      <c r="V16" s="718"/>
      <c r="W16" s="718"/>
      <c r="X16" s="718"/>
      <c r="Y16" s="718"/>
      <c r="Z16" s="718"/>
      <c r="AA16" s="718"/>
      <c r="AB16" s="718"/>
      <c r="AC16" s="718"/>
      <c r="AD16" s="718"/>
      <c r="AE16" s="718"/>
      <c r="AF16" s="718"/>
      <c r="AG16" s="666"/>
      <c r="AH16" s="666"/>
      <c r="AI16" s="666"/>
      <c r="AJ16" s="666"/>
    </row>
    <row r="17" spans="6:36">
      <c r="F17" s="665"/>
      <c r="G17" s="717">
        <v>44361</v>
      </c>
      <c r="H17" s="718"/>
      <c r="I17" s="718"/>
      <c r="J17" s="719">
        <v>259.53353999999996</v>
      </c>
      <c r="K17" s="719">
        <v>235.61747999999997</v>
      </c>
      <c r="L17" s="719">
        <v>228.82649999999998</v>
      </c>
      <c r="M17" s="719">
        <v>216.05472</v>
      </c>
      <c r="N17" s="719"/>
      <c r="O17" s="719"/>
      <c r="P17" s="719"/>
      <c r="Q17" s="719">
        <v>217.89192</v>
      </c>
      <c r="R17" s="719"/>
      <c r="S17" s="719">
        <v>195.01877999999999</v>
      </c>
      <c r="T17" s="719"/>
      <c r="U17" s="718"/>
      <c r="V17" s="718"/>
      <c r="W17" s="718"/>
      <c r="X17" s="718"/>
      <c r="Y17" s="718"/>
      <c r="Z17" s="718"/>
      <c r="AA17" s="718"/>
      <c r="AB17" s="718"/>
      <c r="AC17" s="718"/>
      <c r="AD17" s="718"/>
      <c r="AE17" s="718"/>
      <c r="AF17" s="718"/>
      <c r="AG17" s="666"/>
      <c r="AH17" s="666"/>
      <c r="AI17" s="666"/>
      <c r="AJ17" s="666"/>
    </row>
    <row r="18" spans="6:36">
      <c r="F18" s="668"/>
      <c r="G18" s="717">
        <v>44368</v>
      </c>
      <c r="H18" s="718"/>
      <c r="I18" s="718"/>
      <c r="J18" s="719">
        <v>259.53353999999996</v>
      </c>
      <c r="K18" s="719">
        <v>224.88969999999998</v>
      </c>
      <c r="L18" s="719">
        <v>219.27975999999998</v>
      </c>
      <c r="M18" s="719">
        <v>207.23615999999998</v>
      </c>
      <c r="N18" s="719"/>
      <c r="O18" s="719"/>
      <c r="P18" s="719"/>
      <c r="Q18" s="719">
        <v>209.07335999999998</v>
      </c>
      <c r="R18" s="719"/>
      <c r="S18" s="719">
        <v>188.22113999999999</v>
      </c>
      <c r="T18" s="719"/>
      <c r="U18" s="718"/>
      <c r="V18" s="718"/>
      <c r="W18" s="718"/>
      <c r="X18" s="718"/>
      <c r="Y18" s="718"/>
      <c r="Z18" s="718"/>
      <c r="AA18" s="718"/>
      <c r="AB18" s="718"/>
      <c r="AC18" s="718"/>
      <c r="AD18" s="718"/>
      <c r="AE18" s="718"/>
      <c r="AF18" s="718"/>
      <c r="AG18" s="666"/>
      <c r="AH18" s="666"/>
      <c r="AI18" s="666"/>
      <c r="AJ18" s="666"/>
    </row>
    <row r="19" spans="6:36">
      <c r="F19" s="668"/>
      <c r="G19" s="717">
        <v>44375</v>
      </c>
      <c r="H19" s="718"/>
      <c r="I19" s="718"/>
      <c r="J19" s="719">
        <v>265.93083999999999</v>
      </c>
      <c r="K19" s="719">
        <v>219.77185999999998</v>
      </c>
      <c r="L19" s="719">
        <v>215.44137999999998</v>
      </c>
      <c r="M19" s="719">
        <v>203.83733999999998</v>
      </c>
      <c r="N19" s="719"/>
      <c r="O19" s="719"/>
      <c r="P19" s="719"/>
      <c r="Q19" s="719">
        <v>205.95012</v>
      </c>
      <c r="R19" s="719"/>
      <c r="S19" s="719">
        <v>185.37348</v>
      </c>
      <c r="T19" s="719"/>
      <c r="U19" s="718"/>
      <c r="V19" s="718"/>
      <c r="W19" s="718"/>
      <c r="X19" s="718"/>
      <c r="Y19" s="718"/>
      <c r="Z19" s="718"/>
      <c r="AA19" s="718"/>
      <c r="AB19" s="718"/>
      <c r="AC19" s="718"/>
      <c r="AD19" s="718"/>
      <c r="AE19" s="718"/>
      <c r="AF19" s="718"/>
      <c r="AG19" s="666"/>
      <c r="AH19" s="666"/>
      <c r="AI19" s="666"/>
      <c r="AJ19" s="666"/>
    </row>
    <row r="20" spans="6:36">
      <c r="F20" s="668"/>
      <c r="G20" s="717">
        <v>44383</v>
      </c>
      <c r="H20" s="718"/>
      <c r="I20" s="718"/>
      <c r="J20" s="719">
        <v>258.25407999999999</v>
      </c>
      <c r="K20" s="719">
        <v>217.31135999999998</v>
      </c>
      <c r="L20" s="719">
        <v>212.48877999999999</v>
      </c>
      <c r="M20" s="719">
        <v>200.7141</v>
      </c>
      <c r="N20" s="719"/>
      <c r="O20" s="719"/>
      <c r="P20" s="719"/>
      <c r="Q20" s="719">
        <v>201.72456</v>
      </c>
      <c r="R20" s="719"/>
      <c r="S20" s="719">
        <v>182.98511999999999</v>
      </c>
      <c r="T20" s="719"/>
      <c r="U20" s="719"/>
      <c r="V20" s="718"/>
      <c r="W20" s="718"/>
      <c r="X20" s="718"/>
      <c r="Y20" s="718"/>
      <c r="Z20" s="718"/>
      <c r="AA20" s="718"/>
      <c r="AB20" s="718"/>
      <c r="AC20" s="718"/>
      <c r="AD20" s="718"/>
      <c r="AE20" s="718"/>
      <c r="AF20" s="718"/>
      <c r="AG20" s="666"/>
      <c r="AH20" s="666"/>
      <c r="AI20" s="666"/>
      <c r="AJ20" s="666"/>
    </row>
    <row r="21" spans="6:36">
      <c r="F21" s="666"/>
      <c r="G21" s="717">
        <v>44389</v>
      </c>
      <c r="H21" s="718"/>
      <c r="I21" s="718"/>
      <c r="J21" s="719">
        <v>263.47033999999996</v>
      </c>
      <c r="K21" s="719">
        <v>214.65401999999997</v>
      </c>
      <c r="L21" s="719">
        <v>209.83143999999999</v>
      </c>
      <c r="M21" s="719">
        <v>198.60131999999999</v>
      </c>
      <c r="N21" s="719"/>
      <c r="O21" s="719"/>
      <c r="P21" s="719"/>
      <c r="Q21" s="719">
        <v>200.89782</v>
      </c>
      <c r="R21" s="719"/>
      <c r="S21" s="719">
        <v>184.6386</v>
      </c>
      <c r="T21" s="719"/>
      <c r="U21" s="719"/>
      <c r="V21" s="718"/>
      <c r="W21" s="718"/>
      <c r="X21" s="718"/>
      <c r="Y21" s="718"/>
      <c r="Z21" s="718"/>
      <c r="AA21" s="718"/>
      <c r="AB21" s="718"/>
      <c r="AC21" s="718"/>
      <c r="AD21" s="718"/>
      <c r="AE21" s="718"/>
      <c r="AF21" s="718"/>
      <c r="AG21" s="666"/>
      <c r="AH21" s="666"/>
      <c r="AI21" s="666"/>
      <c r="AJ21" s="666"/>
    </row>
    <row r="22" spans="6:36">
      <c r="F22" s="666"/>
      <c r="G22" s="717">
        <v>44396</v>
      </c>
      <c r="H22" s="718"/>
      <c r="I22" s="718"/>
      <c r="J22" s="719"/>
      <c r="K22" s="719">
        <v>218.88607999999999</v>
      </c>
      <c r="L22" s="719">
        <v>217.40977999999998</v>
      </c>
      <c r="M22" s="719">
        <v>205.67454000000001</v>
      </c>
      <c r="N22" s="719"/>
      <c r="O22" s="719"/>
      <c r="P22" s="719"/>
      <c r="Q22" s="719">
        <v>207.32801999999998</v>
      </c>
      <c r="R22" s="719"/>
      <c r="S22" s="719">
        <v>188.03742</v>
      </c>
      <c r="T22" s="719"/>
      <c r="U22" s="719"/>
      <c r="V22" s="718"/>
      <c r="W22" s="718"/>
      <c r="X22" s="718"/>
      <c r="Y22" s="718"/>
      <c r="Z22" s="718"/>
      <c r="AA22" s="718"/>
      <c r="AB22" s="718"/>
      <c r="AC22" s="718"/>
      <c r="AD22" s="718"/>
      <c r="AE22" s="718"/>
      <c r="AF22" s="718"/>
      <c r="AG22" s="666"/>
      <c r="AH22" s="666"/>
      <c r="AI22" s="666"/>
      <c r="AJ22" s="666"/>
    </row>
    <row r="23" spans="6:36">
      <c r="F23" s="666"/>
      <c r="G23" s="717">
        <v>44403</v>
      </c>
      <c r="H23" s="718"/>
      <c r="I23" s="718"/>
      <c r="J23" s="719"/>
      <c r="K23" s="719">
        <v>216.42558</v>
      </c>
      <c r="L23" s="719">
        <v>215.24453999999997</v>
      </c>
      <c r="M23" s="719">
        <v>203.74547999999999</v>
      </c>
      <c r="N23" s="719"/>
      <c r="O23" s="719"/>
      <c r="P23" s="719"/>
      <c r="Q23" s="719">
        <v>205.39895999999999</v>
      </c>
      <c r="R23" s="719"/>
      <c r="S23" s="719">
        <v>188.7723</v>
      </c>
      <c r="T23" s="719"/>
      <c r="U23" s="719"/>
      <c r="V23" s="718"/>
      <c r="W23" s="718"/>
      <c r="X23" s="718"/>
      <c r="Y23" s="718"/>
      <c r="Z23" s="718"/>
      <c r="AA23" s="718"/>
      <c r="AB23" s="718"/>
      <c r="AC23" s="718"/>
      <c r="AD23" s="718"/>
      <c r="AE23" s="718"/>
      <c r="AF23" s="718"/>
      <c r="AG23" s="666"/>
      <c r="AH23" s="666"/>
      <c r="AI23" s="666"/>
      <c r="AJ23" s="666"/>
    </row>
    <row r="24" spans="6:36">
      <c r="F24" s="666"/>
      <c r="G24" s="717">
        <v>44410</v>
      </c>
      <c r="H24" s="718"/>
      <c r="I24" s="718"/>
      <c r="J24" s="719"/>
      <c r="K24" s="719">
        <v>219.96869999999998</v>
      </c>
      <c r="L24" s="719">
        <v>220.16553999999999</v>
      </c>
      <c r="M24" s="719">
        <v>208.43034</v>
      </c>
      <c r="N24" s="719"/>
      <c r="O24" s="719"/>
      <c r="P24" s="719"/>
      <c r="Q24" s="719">
        <v>210.17568</v>
      </c>
      <c r="R24" s="719"/>
      <c r="S24" s="719">
        <v>191.89553999999998</v>
      </c>
      <c r="T24" s="719"/>
      <c r="U24" s="719"/>
      <c r="V24" s="718"/>
      <c r="W24" s="718"/>
      <c r="X24" s="718"/>
      <c r="Y24" s="718"/>
      <c r="Z24" s="718"/>
      <c r="AA24" s="718"/>
      <c r="AB24" s="718"/>
      <c r="AC24" s="718"/>
      <c r="AD24" s="718"/>
      <c r="AE24" s="718"/>
      <c r="AF24" s="718"/>
      <c r="AG24" s="666"/>
      <c r="AH24" s="666"/>
      <c r="AI24" s="666"/>
      <c r="AJ24" s="666"/>
    </row>
    <row r="25" spans="6:36">
      <c r="F25" s="665"/>
      <c r="G25" s="717">
        <v>44417</v>
      </c>
      <c r="H25" s="719"/>
      <c r="I25" s="719"/>
      <c r="J25" s="719"/>
      <c r="K25" s="719">
        <v>216.62241999999998</v>
      </c>
      <c r="L25" s="719">
        <v>218.00029999999998</v>
      </c>
      <c r="M25" s="719">
        <v>206.40941999999998</v>
      </c>
      <c r="N25" s="719"/>
      <c r="O25" s="719"/>
      <c r="P25" s="719"/>
      <c r="Q25" s="719">
        <v>208.61405999999999</v>
      </c>
      <c r="R25" s="719"/>
      <c r="S25" s="719">
        <v>196.12109999999998</v>
      </c>
      <c r="T25" s="719"/>
      <c r="U25" s="719">
        <v>190.88507999999999</v>
      </c>
      <c r="V25" s="718"/>
      <c r="W25" s="718"/>
      <c r="X25" s="718"/>
      <c r="Y25" s="718"/>
      <c r="Z25" s="718"/>
      <c r="AA25" s="718"/>
      <c r="AB25" s="718"/>
      <c r="AC25" s="718"/>
      <c r="AD25" s="718"/>
      <c r="AE25" s="718"/>
      <c r="AF25" s="718"/>
      <c r="AG25" s="666"/>
      <c r="AH25" s="666"/>
      <c r="AI25" s="666"/>
      <c r="AJ25" s="666"/>
    </row>
    <row r="26" spans="6:36">
      <c r="F26" s="665"/>
      <c r="G26" s="717">
        <v>44424</v>
      </c>
      <c r="H26" s="719"/>
      <c r="I26" s="719"/>
      <c r="J26" s="719"/>
      <c r="K26" s="719">
        <v>222.33077999999998</v>
      </c>
      <c r="L26" s="719">
        <v>223.90549999999999</v>
      </c>
      <c r="M26" s="719">
        <v>211.7373</v>
      </c>
      <c r="N26" s="719"/>
      <c r="O26" s="719"/>
      <c r="P26" s="719"/>
      <c r="Q26" s="719">
        <v>213.11519999999999</v>
      </c>
      <c r="R26" s="719"/>
      <c r="S26" s="719">
        <v>194.65134</v>
      </c>
      <c r="T26" s="719"/>
      <c r="U26" s="719">
        <v>190.15019999999998</v>
      </c>
      <c r="V26" s="718"/>
      <c r="W26" s="718"/>
      <c r="X26" s="718"/>
      <c r="Y26" s="718"/>
      <c r="Z26" s="718"/>
      <c r="AA26" s="718"/>
      <c r="AB26" s="718"/>
      <c r="AC26" s="718"/>
      <c r="AD26" s="718"/>
      <c r="AE26" s="718"/>
      <c r="AF26" s="718"/>
      <c r="AG26" s="666"/>
      <c r="AH26" s="666"/>
      <c r="AI26" s="666"/>
      <c r="AJ26" s="666"/>
    </row>
    <row r="27" spans="6:36">
      <c r="F27" s="665"/>
      <c r="G27" s="717">
        <v>44431</v>
      </c>
      <c r="H27" s="719"/>
      <c r="I27" s="719"/>
      <c r="J27" s="719"/>
      <c r="K27" s="719">
        <v>211.79983999999999</v>
      </c>
      <c r="L27" s="719">
        <v>210.81563999999997</v>
      </c>
      <c r="M27" s="719">
        <v>199.61177999999998</v>
      </c>
      <c r="N27" s="719"/>
      <c r="O27" s="719"/>
      <c r="P27" s="719"/>
      <c r="Q27" s="719">
        <v>200.7141</v>
      </c>
      <c r="R27" s="719"/>
      <c r="S27" s="719">
        <v>187.39439999999999</v>
      </c>
      <c r="T27" s="719"/>
      <c r="U27" s="719">
        <v>183.90371999999999</v>
      </c>
      <c r="V27" s="718"/>
      <c r="W27" s="718"/>
      <c r="X27" s="718"/>
      <c r="Y27" s="718"/>
      <c r="Z27" s="718"/>
      <c r="AA27" s="718"/>
      <c r="AB27" s="718"/>
      <c r="AC27" s="718"/>
      <c r="AD27" s="718"/>
      <c r="AE27" s="718"/>
      <c r="AF27" s="718"/>
      <c r="AG27" s="666"/>
      <c r="AH27" s="666"/>
      <c r="AI27" s="666"/>
      <c r="AJ27" s="666"/>
    </row>
    <row r="28" spans="6:36">
      <c r="F28" s="665"/>
      <c r="G28" s="717">
        <v>44438</v>
      </c>
      <c r="H28" s="719"/>
      <c r="I28" s="719"/>
      <c r="J28" s="719"/>
      <c r="K28" s="719">
        <v>212.68562</v>
      </c>
      <c r="L28" s="719">
        <v>213.66981999999999</v>
      </c>
      <c r="M28" s="719">
        <v>202.36758</v>
      </c>
      <c r="N28" s="719"/>
      <c r="O28" s="719"/>
      <c r="P28" s="719"/>
      <c r="Q28" s="719">
        <v>204.02106000000001</v>
      </c>
      <c r="R28" s="719"/>
      <c r="S28" s="719">
        <v>191.34438</v>
      </c>
      <c r="T28" s="719"/>
      <c r="U28" s="719">
        <v>187.66997999999998</v>
      </c>
      <c r="V28" s="718"/>
      <c r="W28" s="718"/>
      <c r="X28" s="718"/>
      <c r="Y28" s="718"/>
      <c r="Z28" s="718"/>
      <c r="AA28" s="718"/>
      <c r="AB28" s="718"/>
      <c r="AC28" s="718"/>
      <c r="AD28" s="718"/>
      <c r="AE28" s="718"/>
      <c r="AF28" s="718"/>
      <c r="AG28" s="666"/>
      <c r="AH28" s="666"/>
      <c r="AI28" s="666"/>
      <c r="AJ28" s="666"/>
    </row>
    <row r="29" spans="6:36">
      <c r="F29" s="665"/>
      <c r="G29" s="717">
        <v>44446</v>
      </c>
      <c r="H29" s="719"/>
      <c r="I29" s="719"/>
      <c r="J29" s="719"/>
      <c r="K29" s="719">
        <v>195.16685999999999</v>
      </c>
      <c r="L29" s="719">
        <v>201.07205999999999</v>
      </c>
      <c r="M29" s="719">
        <v>191.25252</v>
      </c>
      <c r="N29" s="719"/>
      <c r="O29" s="719"/>
      <c r="P29" s="719"/>
      <c r="Q29" s="719">
        <v>193.91646</v>
      </c>
      <c r="R29" s="719"/>
      <c r="S29" s="719">
        <v>183.16883999999999</v>
      </c>
      <c r="T29" s="719"/>
      <c r="U29" s="719">
        <v>182.70954</v>
      </c>
      <c r="V29" s="718"/>
      <c r="W29" s="718"/>
      <c r="X29" s="718"/>
      <c r="Y29" s="718"/>
      <c r="Z29" s="718"/>
      <c r="AA29" s="718"/>
      <c r="AB29" s="718"/>
      <c r="AC29" s="718"/>
      <c r="AD29" s="718"/>
      <c r="AE29" s="718"/>
      <c r="AF29" s="718"/>
      <c r="AG29" s="666"/>
      <c r="AH29" s="666"/>
      <c r="AI29" s="666"/>
      <c r="AJ29" s="666"/>
    </row>
    <row r="30" spans="6:36">
      <c r="F30" s="665"/>
      <c r="G30" s="717">
        <v>44452</v>
      </c>
      <c r="H30" s="719"/>
      <c r="I30" s="719"/>
      <c r="J30" s="719"/>
      <c r="K30" s="719"/>
      <c r="L30" s="719">
        <v>202.05625999999998</v>
      </c>
      <c r="M30" s="719">
        <v>191.80367999999999</v>
      </c>
      <c r="N30" s="716"/>
      <c r="O30" s="716"/>
      <c r="P30" s="716"/>
      <c r="Q30" s="716">
        <v>193.45715999999999</v>
      </c>
      <c r="R30" s="716"/>
      <c r="S30" s="716">
        <v>184.08743999999999</v>
      </c>
      <c r="T30" s="716"/>
      <c r="U30" s="716">
        <v>183.16883999999999</v>
      </c>
    </row>
    <row r="31" spans="6:36">
      <c r="F31" s="664"/>
      <c r="G31" s="715">
        <v>44459</v>
      </c>
      <c r="L31" s="716">
        <v>205.40253999999999</v>
      </c>
      <c r="M31" s="716">
        <v>194.65134</v>
      </c>
      <c r="N31" s="716"/>
      <c r="O31" s="716"/>
      <c r="P31" s="716"/>
      <c r="Q31" s="716">
        <v>196.02923999999999</v>
      </c>
      <c r="R31" s="716"/>
      <c r="S31" s="716">
        <v>185.74091999999999</v>
      </c>
      <c r="T31" s="716"/>
      <c r="U31" s="716">
        <v>184.36302000000001</v>
      </c>
    </row>
    <row r="32" spans="6:36">
      <c r="F32" s="664"/>
      <c r="G32" s="715">
        <v>44466</v>
      </c>
      <c r="L32" s="716">
        <v>212.39035999999999</v>
      </c>
      <c r="M32" s="716">
        <v>200.98967999999999</v>
      </c>
      <c r="N32" s="716"/>
      <c r="O32" s="716"/>
      <c r="P32" s="716"/>
      <c r="Q32" s="716">
        <v>202.5513</v>
      </c>
      <c r="R32" s="716"/>
      <c r="S32" s="716">
        <v>192.17112</v>
      </c>
      <c r="T32" s="716"/>
      <c r="U32" s="716">
        <v>190.33392000000001</v>
      </c>
    </row>
    <row r="33" spans="6:22">
      <c r="F33" s="664"/>
      <c r="G33" s="715">
        <v>44473</v>
      </c>
      <c r="L33" s="716">
        <v>212.88245999999998</v>
      </c>
      <c r="M33" s="716">
        <v>202.00013999999999</v>
      </c>
      <c r="N33" s="716"/>
      <c r="O33" s="716"/>
      <c r="P33" s="716"/>
      <c r="Q33" s="716">
        <v>204.11292</v>
      </c>
      <c r="R33" s="716"/>
      <c r="S33" s="716">
        <v>197.95829999999998</v>
      </c>
      <c r="T33" s="716"/>
      <c r="U33" s="716">
        <v>196.30482000000001</v>
      </c>
    </row>
    <row r="34" spans="6:22">
      <c r="F34" s="664"/>
      <c r="G34" s="715">
        <v>44480</v>
      </c>
      <c r="L34" s="716">
        <v>209.83143999999999</v>
      </c>
      <c r="M34" s="716">
        <v>199.24433999999999</v>
      </c>
      <c r="N34" s="716"/>
      <c r="O34" s="716"/>
      <c r="P34" s="716"/>
      <c r="Q34" s="716">
        <v>201.54084</v>
      </c>
      <c r="R34" s="716"/>
      <c r="S34" s="716">
        <v>195.01877999999999</v>
      </c>
      <c r="T34" s="716"/>
      <c r="U34" s="716">
        <v>193.73274000000001</v>
      </c>
    </row>
    <row r="35" spans="6:22">
      <c r="G35" s="715">
        <v>44487</v>
      </c>
      <c r="L35" s="716">
        <v>209.73301999999998</v>
      </c>
      <c r="M35" s="716">
        <v>198.60131999999999</v>
      </c>
      <c r="N35" s="716"/>
      <c r="O35" s="716"/>
      <c r="P35" s="716"/>
      <c r="Q35" s="716">
        <v>199.97922</v>
      </c>
      <c r="R35" s="716"/>
      <c r="S35" s="716">
        <v>195.01877999999999</v>
      </c>
      <c r="T35" s="716"/>
      <c r="U35" s="716">
        <v>193.91646</v>
      </c>
    </row>
    <row r="36" spans="6:22">
      <c r="G36" s="715">
        <v>44494</v>
      </c>
      <c r="L36" s="716">
        <v>211.79983999999999</v>
      </c>
      <c r="M36" s="716">
        <v>200.89782</v>
      </c>
      <c r="N36" s="716"/>
      <c r="O36" s="716"/>
      <c r="P36" s="716"/>
      <c r="Q36" s="716">
        <v>202.5513</v>
      </c>
      <c r="R36" s="716"/>
      <c r="S36" s="716">
        <v>196.76411999999999</v>
      </c>
      <c r="T36" s="716"/>
      <c r="U36" s="716">
        <v>195.93737999999999</v>
      </c>
    </row>
    <row r="37" spans="6:22">
      <c r="G37" s="715">
        <v>44501</v>
      </c>
      <c r="L37" s="716">
        <v>227.94072</v>
      </c>
      <c r="M37" s="716">
        <v>215.68727999999999</v>
      </c>
      <c r="N37" s="716"/>
      <c r="O37" s="716"/>
      <c r="P37" s="716"/>
      <c r="Q37" s="716">
        <v>216.42215999999999</v>
      </c>
      <c r="R37" s="716"/>
      <c r="S37" s="716">
        <v>206.59314000000001</v>
      </c>
      <c r="T37" s="716"/>
      <c r="U37" s="716">
        <v>204.02106000000001</v>
      </c>
    </row>
    <row r="38" spans="6:22">
      <c r="G38" s="715">
        <v>44508</v>
      </c>
      <c r="L38" s="716">
        <v>217.11452</v>
      </c>
      <c r="M38" s="716">
        <v>206.13383999999999</v>
      </c>
      <c r="N38" s="716"/>
      <c r="O38" s="716"/>
      <c r="P38" s="716"/>
      <c r="Q38" s="716">
        <v>208.79777999999999</v>
      </c>
      <c r="R38" s="716"/>
      <c r="S38" s="716">
        <v>200.62224000000001</v>
      </c>
      <c r="T38" s="716"/>
      <c r="U38" s="716">
        <v>197.86643999999998</v>
      </c>
    </row>
    <row r="39" spans="6:22">
      <c r="G39" s="715">
        <v>44515</v>
      </c>
      <c r="L39" s="716">
        <v>226.95651999999998</v>
      </c>
      <c r="M39" s="716">
        <v>214.58496</v>
      </c>
      <c r="N39" s="716"/>
      <c r="O39" s="716"/>
      <c r="P39" s="716"/>
      <c r="Q39" s="716">
        <v>216.51401999999999</v>
      </c>
      <c r="R39" s="716"/>
      <c r="S39" s="716">
        <v>206.685</v>
      </c>
      <c r="T39" s="716"/>
      <c r="U39" s="716">
        <v>202.5513</v>
      </c>
    </row>
    <row r="40" spans="6:22">
      <c r="G40" s="715">
        <v>44522</v>
      </c>
      <c r="L40" s="716">
        <v>227.05493999999999</v>
      </c>
      <c r="M40" s="716">
        <v>214.67681999999999</v>
      </c>
      <c r="N40" s="716"/>
      <c r="O40" s="716"/>
      <c r="P40" s="716"/>
      <c r="Q40" s="716">
        <v>216.60587999999998</v>
      </c>
      <c r="R40" s="716"/>
      <c r="S40" s="716">
        <v>208.43034</v>
      </c>
      <c r="T40" s="716"/>
      <c r="U40" s="716">
        <v>205.30709999999999</v>
      </c>
    </row>
    <row r="41" spans="6:22">
      <c r="G41" s="715">
        <v>44529</v>
      </c>
      <c r="L41" s="716">
        <v>228.72807999999998</v>
      </c>
      <c r="M41" s="716">
        <v>213.94193999999999</v>
      </c>
      <c r="N41" s="716"/>
      <c r="O41" s="716"/>
      <c r="P41" s="716"/>
      <c r="Q41" s="716">
        <v>215.50355999999999</v>
      </c>
      <c r="R41" s="716"/>
      <c r="S41" s="716">
        <v>207.6036</v>
      </c>
      <c r="T41" s="716"/>
      <c r="U41" s="716">
        <v>204.38849999999999</v>
      </c>
    </row>
    <row r="42" spans="6:22">
      <c r="G42" s="715">
        <v>44536</v>
      </c>
      <c r="L42" s="716">
        <v>229.71227999999999</v>
      </c>
      <c r="M42" s="716">
        <v>214.40124</v>
      </c>
      <c r="N42" s="716"/>
      <c r="O42" s="716"/>
      <c r="P42" s="716"/>
      <c r="Q42" s="716">
        <v>215.22798</v>
      </c>
      <c r="R42" s="716"/>
      <c r="S42" s="716">
        <v>206.77686</v>
      </c>
      <c r="T42" s="716"/>
      <c r="U42" s="716">
        <v>203.01059999999998</v>
      </c>
    </row>
    <row r="43" spans="6:22">
      <c r="G43" s="715">
        <v>44543</v>
      </c>
      <c r="M43" s="716">
        <v>214.95239999999998</v>
      </c>
      <c r="N43" s="716"/>
      <c r="O43" s="716">
        <v>215.77913999999998</v>
      </c>
      <c r="P43" s="716"/>
      <c r="Q43" s="716">
        <v>215.68727999999999</v>
      </c>
      <c r="R43" s="716"/>
      <c r="S43" s="716">
        <v>205.12338</v>
      </c>
      <c r="T43" s="716"/>
      <c r="U43" s="716">
        <v>199.33619999999999</v>
      </c>
      <c r="V43" s="716"/>
    </row>
    <row r="44" spans="6:22">
      <c r="G44" s="715">
        <v>44550</v>
      </c>
      <c r="M44" s="716">
        <v>217.15703999999999</v>
      </c>
      <c r="N44" s="716"/>
      <c r="O44" s="716">
        <v>217.52447999999998</v>
      </c>
      <c r="P44" s="716"/>
      <c r="Q44" s="716">
        <v>216.69773999999998</v>
      </c>
      <c r="R44" s="716"/>
      <c r="S44" s="716">
        <v>205.95012</v>
      </c>
      <c r="T44" s="716"/>
      <c r="U44" s="716">
        <v>200.16293999999999</v>
      </c>
      <c r="V44" s="716"/>
    </row>
    <row r="45" spans="6:22">
      <c r="G45" s="715">
        <v>44557</v>
      </c>
      <c r="M45" s="716">
        <v>225.88373999999999</v>
      </c>
      <c r="N45" s="716"/>
      <c r="O45" s="716">
        <v>226.61861999999999</v>
      </c>
      <c r="P45" s="716"/>
      <c r="Q45" s="716">
        <v>226.25118000000001</v>
      </c>
      <c r="R45" s="716"/>
      <c r="S45" s="716">
        <v>212.38031999999998</v>
      </c>
      <c r="T45" s="716"/>
      <c r="U45" s="716">
        <v>204.66407999999998</v>
      </c>
      <c r="V45" s="716"/>
    </row>
    <row r="46" spans="6:22">
      <c r="G46" s="715">
        <v>44564</v>
      </c>
      <c r="M46" s="716">
        <v>216.51401999999999</v>
      </c>
      <c r="N46" s="716"/>
      <c r="O46" s="716">
        <v>217.15703999999999</v>
      </c>
      <c r="P46" s="716"/>
      <c r="Q46" s="716">
        <v>216.69773999999998</v>
      </c>
      <c r="R46" s="716"/>
      <c r="S46" s="716">
        <v>206.50127999999998</v>
      </c>
      <c r="T46" s="716"/>
      <c r="U46" s="716">
        <v>201.17339999999999</v>
      </c>
      <c r="V46" s="716">
        <v>203.83733999999998</v>
      </c>
    </row>
    <row r="47" spans="6:22">
      <c r="G47" s="715">
        <v>44571</v>
      </c>
      <c r="M47" s="716">
        <v>220.37214</v>
      </c>
      <c r="N47" s="716"/>
      <c r="O47" s="716">
        <v>220.92329999999998</v>
      </c>
      <c r="P47" s="716"/>
      <c r="Q47" s="716">
        <v>220.09655999999998</v>
      </c>
      <c r="R47" s="716"/>
      <c r="S47" s="716">
        <v>209.16522000000001</v>
      </c>
      <c r="T47" s="716"/>
      <c r="U47" s="716">
        <v>204.66407999999998</v>
      </c>
      <c r="V47" s="716">
        <v>207.51174</v>
      </c>
    </row>
    <row r="48" spans="6:22">
      <c r="G48" s="715">
        <v>44579</v>
      </c>
      <c r="M48" s="716">
        <v>220.28028</v>
      </c>
      <c r="N48" s="716"/>
      <c r="O48" s="716">
        <v>220.464</v>
      </c>
      <c r="P48" s="716"/>
      <c r="Q48" s="716">
        <v>219.17795999999998</v>
      </c>
      <c r="R48" s="716"/>
      <c r="S48" s="716">
        <v>209.62451999999999</v>
      </c>
      <c r="T48" s="716"/>
      <c r="U48" s="716">
        <v>204.93966</v>
      </c>
      <c r="V48" s="716">
        <v>207.78731999999999</v>
      </c>
    </row>
    <row r="49" spans="7:24">
      <c r="G49" s="715">
        <v>44585</v>
      </c>
      <c r="M49" s="716">
        <v>228.18024</v>
      </c>
      <c r="N49" s="716"/>
      <c r="O49" s="716">
        <v>226.89419999999998</v>
      </c>
      <c r="P49" s="716"/>
      <c r="Q49" s="716">
        <v>224.41397999999998</v>
      </c>
      <c r="R49" s="716"/>
      <c r="S49" s="716">
        <v>213.20705999999998</v>
      </c>
      <c r="T49" s="716"/>
      <c r="U49" s="716">
        <v>208.5222</v>
      </c>
      <c r="V49" s="716">
        <v>211.27799999999999</v>
      </c>
    </row>
    <row r="50" spans="7:24">
      <c r="G50" s="715">
        <v>44592</v>
      </c>
      <c r="M50" s="716">
        <v>230.01743999999999</v>
      </c>
      <c r="N50" s="716"/>
      <c r="O50" s="716">
        <v>229.46627999999998</v>
      </c>
      <c r="P50" s="716"/>
      <c r="Q50" s="716">
        <v>227.53721999999999</v>
      </c>
      <c r="R50" s="716"/>
      <c r="S50" s="716">
        <v>215.13612000000001</v>
      </c>
      <c r="T50" s="716"/>
      <c r="U50" s="716">
        <v>210.72683999999998</v>
      </c>
      <c r="V50" s="716">
        <v>213.48264</v>
      </c>
    </row>
    <row r="51" spans="7:24">
      <c r="G51" s="715">
        <v>44599</v>
      </c>
      <c r="M51" s="716">
        <v>233.41625999999999</v>
      </c>
      <c r="N51" s="716"/>
      <c r="O51" s="716">
        <v>234.15114</v>
      </c>
      <c r="P51" s="716"/>
      <c r="Q51" s="716">
        <v>232.86509999999998</v>
      </c>
      <c r="R51" s="716"/>
      <c r="S51" s="716">
        <v>218.81052</v>
      </c>
      <c r="T51" s="716"/>
      <c r="U51" s="716">
        <v>213.48264</v>
      </c>
      <c r="V51" s="716">
        <v>215.96286000000001</v>
      </c>
    </row>
    <row r="52" spans="7:24">
      <c r="G52" s="715">
        <v>44606</v>
      </c>
      <c r="M52" s="716">
        <v>240.94878</v>
      </c>
      <c r="N52" s="716"/>
      <c r="O52" s="716">
        <v>240.76506000000001</v>
      </c>
      <c r="P52" s="716"/>
      <c r="Q52" s="716">
        <v>239.01972000000001</v>
      </c>
      <c r="R52" s="716"/>
      <c r="S52" s="716">
        <v>224.5977</v>
      </c>
      <c r="T52" s="716"/>
      <c r="U52" s="716">
        <v>219.82097999999999</v>
      </c>
      <c r="V52" s="716">
        <v>222.39305999999999</v>
      </c>
    </row>
    <row r="53" spans="7:24">
      <c r="G53" s="715">
        <v>44614</v>
      </c>
      <c r="M53" s="716">
        <v>247.93013999999999</v>
      </c>
      <c r="N53" s="716"/>
      <c r="O53" s="716">
        <v>247.10339999999999</v>
      </c>
      <c r="P53" s="716"/>
      <c r="Q53" s="716">
        <v>244.43946</v>
      </c>
      <c r="R53" s="716"/>
      <c r="S53" s="716">
        <v>228.18024</v>
      </c>
      <c r="T53" s="716"/>
      <c r="U53" s="716">
        <v>222.57677999999999</v>
      </c>
      <c r="V53" s="716">
        <v>225.14885999999998</v>
      </c>
    </row>
    <row r="54" spans="7:24">
      <c r="G54" s="715">
        <v>44620</v>
      </c>
      <c r="M54" s="716">
        <v>256.2894</v>
      </c>
      <c r="N54" s="716"/>
      <c r="O54" s="716">
        <v>253.80918</v>
      </c>
      <c r="P54" s="716"/>
      <c r="Q54" s="716">
        <v>248.75688</v>
      </c>
      <c r="R54" s="716"/>
      <c r="S54" s="716">
        <v>228.63953999999998</v>
      </c>
      <c r="T54" s="716"/>
      <c r="U54" s="716">
        <v>223.12794</v>
      </c>
      <c r="V54" s="716">
        <v>224.96513999999999</v>
      </c>
    </row>
    <row r="55" spans="7:24">
      <c r="G55" s="715">
        <v>44627</v>
      </c>
      <c r="O55" s="716">
        <v>275.85557999999997</v>
      </c>
      <c r="P55" s="716"/>
      <c r="Q55" s="716">
        <v>267.22073999999998</v>
      </c>
      <c r="R55" s="716"/>
      <c r="S55" s="716">
        <v>247.74642</v>
      </c>
      <c r="T55" s="716"/>
      <c r="U55" s="716">
        <v>236.17205999999999</v>
      </c>
      <c r="V55" s="716">
        <v>234.97788</v>
      </c>
      <c r="W55" s="716">
        <v>214.12565999999998</v>
      </c>
    </row>
    <row r="56" spans="7:24">
      <c r="G56" s="715">
        <v>44634</v>
      </c>
      <c r="O56" s="716">
        <v>274.93698000000001</v>
      </c>
      <c r="P56" s="716"/>
      <c r="Q56" s="716">
        <v>264.00563999999997</v>
      </c>
      <c r="R56" s="716"/>
      <c r="S56" s="716">
        <v>246.46037999999999</v>
      </c>
      <c r="T56" s="716"/>
      <c r="U56" s="716">
        <v>239.75459999999998</v>
      </c>
      <c r="V56" s="716">
        <v>239.01972000000001</v>
      </c>
      <c r="W56" s="716">
        <v>218.35121999999998</v>
      </c>
    </row>
    <row r="57" spans="7:24">
      <c r="G57" s="715">
        <v>44641</v>
      </c>
      <c r="O57" s="716">
        <v>277.87649999999996</v>
      </c>
      <c r="P57" s="716"/>
      <c r="Q57" s="716">
        <v>267.58817999999997</v>
      </c>
      <c r="R57" s="716"/>
      <c r="S57" s="716">
        <v>250.50221999999999</v>
      </c>
      <c r="T57" s="716"/>
      <c r="U57" s="716">
        <v>243.98015999999998</v>
      </c>
      <c r="V57" s="716">
        <v>244.25574</v>
      </c>
      <c r="W57" s="716">
        <v>221.3826</v>
      </c>
    </row>
    <row r="58" spans="7:24">
      <c r="G58" s="715">
        <v>44648</v>
      </c>
      <c r="O58" s="716">
        <v>275.02884</v>
      </c>
      <c r="P58" s="716"/>
      <c r="Q58" s="716">
        <v>268.41492</v>
      </c>
      <c r="R58" s="716"/>
      <c r="S58" s="716">
        <v>250.50221999999999</v>
      </c>
      <c r="T58" s="716"/>
      <c r="U58" s="716">
        <v>244.16388000000001</v>
      </c>
      <c r="V58" s="716">
        <v>244.80689999999998</v>
      </c>
      <c r="W58" s="716">
        <v>225.42444</v>
      </c>
    </row>
    <row r="59" spans="7:24">
      <c r="G59" s="715">
        <v>44655</v>
      </c>
      <c r="O59" s="716">
        <v>275.76371999999998</v>
      </c>
      <c r="P59" s="716"/>
      <c r="Q59" s="716">
        <v>271.63002</v>
      </c>
      <c r="R59" s="716"/>
      <c r="S59" s="716">
        <v>261.43356</v>
      </c>
      <c r="T59" s="716"/>
      <c r="U59" s="716">
        <v>256.84055999999998</v>
      </c>
      <c r="V59" s="716">
        <v>257.57544000000001</v>
      </c>
      <c r="W59" s="716">
        <v>237.36624</v>
      </c>
    </row>
    <row r="60" spans="7:24">
      <c r="G60" s="715">
        <v>44662</v>
      </c>
      <c r="O60" s="716">
        <v>280.90787999999998</v>
      </c>
      <c r="P60" s="716"/>
      <c r="Q60" s="716">
        <v>278.79509999999999</v>
      </c>
      <c r="R60" s="716"/>
      <c r="S60" s="716">
        <v>268.13934</v>
      </c>
      <c r="T60" s="716"/>
      <c r="U60" s="716">
        <v>263.82191999999998</v>
      </c>
      <c r="V60" s="716">
        <v>264.37308000000002</v>
      </c>
      <c r="W60" s="716">
        <v>245.08248</v>
      </c>
    </row>
    <row r="61" spans="7:24">
      <c r="G61" s="715">
        <v>44669</v>
      </c>
      <c r="O61" s="716">
        <v>298.82058000000001</v>
      </c>
      <c r="P61" s="716"/>
      <c r="Q61" s="716">
        <v>296.52407999999997</v>
      </c>
      <c r="R61" s="716"/>
      <c r="S61" s="716">
        <v>281.45904000000002</v>
      </c>
      <c r="T61" s="716"/>
      <c r="U61" s="716">
        <v>275.48813999999999</v>
      </c>
      <c r="V61" s="716">
        <v>276.03929999999997</v>
      </c>
      <c r="W61" s="716">
        <v>254.26847999999998</v>
      </c>
    </row>
    <row r="62" spans="7:24">
      <c r="G62" s="715">
        <v>44676</v>
      </c>
      <c r="O62" s="716">
        <v>294.04386</v>
      </c>
      <c r="P62" s="716"/>
      <c r="Q62" s="716">
        <v>293.21711999999997</v>
      </c>
      <c r="R62" s="716"/>
      <c r="S62" s="716">
        <v>276.13115999999997</v>
      </c>
      <c r="T62" s="716"/>
      <c r="U62" s="716">
        <v>269.70096000000001</v>
      </c>
      <c r="V62" s="716">
        <v>270.98699999999997</v>
      </c>
      <c r="W62" s="716">
        <v>253.34987999999998</v>
      </c>
    </row>
    <row r="63" spans="7:24">
      <c r="G63" s="715">
        <v>44683</v>
      </c>
      <c r="O63" s="716">
        <v>298.73</v>
      </c>
      <c r="P63" s="716">
        <v>0</v>
      </c>
      <c r="Q63" s="716">
        <v>295.24</v>
      </c>
      <c r="R63" s="716"/>
      <c r="S63" s="716">
        <v>278.43</v>
      </c>
      <c r="T63" s="716">
        <v>0</v>
      </c>
      <c r="U63" s="716">
        <v>272.73</v>
      </c>
      <c r="V63" s="716">
        <v>274.11</v>
      </c>
      <c r="W63" s="716">
        <v>253.07</v>
      </c>
      <c r="X63" s="716">
        <v>0</v>
      </c>
    </row>
    <row r="64" spans="7:24">
      <c r="G64" s="715">
        <v>44690</v>
      </c>
      <c r="O64" s="716">
        <v>288.25668000000002</v>
      </c>
      <c r="P64" s="716">
        <v>0</v>
      </c>
      <c r="Q64" s="716">
        <v>283.66368</v>
      </c>
      <c r="R64" s="716"/>
      <c r="S64" s="716">
        <v>267.86376000000001</v>
      </c>
      <c r="T64" s="716">
        <v>0</v>
      </c>
      <c r="U64" s="716">
        <v>261.15798000000001</v>
      </c>
      <c r="V64" s="716">
        <v>262.62774000000002</v>
      </c>
      <c r="W64" s="716">
        <v>241.59180000000001</v>
      </c>
      <c r="X64" s="716">
        <v>0</v>
      </c>
    </row>
    <row r="65" spans="7:24">
      <c r="G65" s="715">
        <v>44697</v>
      </c>
      <c r="O65" s="716">
        <v>0</v>
      </c>
      <c r="P65" s="716">
        <v>0</v>
      </c>
      <c r="Q65" s="716">
        <v>297.44268</v>
      </c>
      <c r="R65" s="716"/>
      <c r="S65" s="716">
        <v>285.86831999999998</v>
      </c>
      <c r="T65" s="716">
        <v>0</v>
      </c>
      <c r="U65" s="716">
        <v>281.27531999999997</v>
      </c>
      <c r="V65" s="716">
        <v>282.19391999999999</v>
      </c>
      <c r="W65" s="716">
        <v>251.78825999999998</v>
      </c>
      <c r="X65" s="716">
        <v>0</v>
      </c>
    </row>
    <row r="66" spans="7:24">
      <c r="G66" s="747">
        <v>44704</v>
      </c>
      <c r="P66" s="716"/>
      <c r="Q66" s="716">
        <v>288.8997</v>
      </c>
      <c r="R66" s="716"/>
      <c r="S66" s="716">
        <v>277.32533999999998</v>
      </c>
      <c r="T66" s="716"/>
      <c r="U66" s="716">
        <v>271.53816</v>
      </c>
      <c r="V66" s="716">
        <v>272.64047999999997</v>
      </c>
      <c r="W66" s="716">
        <v>247.10339999999999</v>
      </c>
      <c r="X66" s="716"/>
    </row>
    <row r="67" spans="7:24">
      <c r="G67" s="747">
        <v>44712</v>
      </c>
      <c r="P67" s="716"/>
      <c r="Q67" s="716">
        <v>276.86604</v>
      </c>
      <c r="R67" s="716"/>
      <c r="S67" s="716">
        <v>266.39400000000001</v>
      </c>
      <c r="T67" s="716"/>
      <c r="U67" s="716">
        <v>261.43356</v>
      </c>
      <c r="V67" s="716">
        <v>263.27076</v>
      </c>
      <c r="W67" s="716">
        <v>241.59180000000001</v>
      </c>
      <c r="X67" s="716"/>
    </row>
    <row r="68" spans="7:24">
      <c r="G68" s="747">
        <v>44718</v>
      </c>
      <c r="P68" s="716"/>
      <c r="Q68" s="716">
        <v>272.82420000000002</v>
      </c>
      <c r="R68" s="716"/>
      <c r="S68" s="716">
        <v>262.44401999999997</v>
      </c>
      <c r="T68" s="716"/>
      <c r="U68" s="716">
        <v>258.1266</v>
      </c>
      <c r="V68" s="716">
        <v>259.87194</v>
      </c>
      <c r="W68" s="716">
        <v>239.38715999999999</v>
      </c>
      <c r="X68" s="716"/>
    </row>
    <row r="69" spans="7:24">
      <c r="G69" s="747">
        <v>44725</v>
      </c>
      <c r="P69" s="716"/>
      <c r="Q69" s="716">
        <v>282.64999999999998</v>
      </c>
      <c r="R69" s="716"/>
      <c r="S69" s="716">
        <v>268.51</v>
      </c>
      <c r="T69" s="716"/>
      <c r="U69" s="716">
        <v>265.11</v>
      </c>
      <c r="V69" s="716">
        <v>266.95</v>
      </c>
      <c r="W69" s="716">
        <v>247.65</v>
      </c>
      <c r="X69" s="716"/>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6" workbookViewId="0">
      <selection activeCell="F47" sqref="F47"/>
    </sheetView>
  </sheetViews>
  <sheetFormatPr baseColWidth="10" defaultColWidth="11.07421875" defaultRowHeight="15" customHeight="1"/>
  <cols>
    <col min="1" max="1" width="4.3828125" style="252" customWidth="1"/>
    <col min="2" max="2" width="8.921875" style="252" customWidth="1"/>
    <col min="3" max="5" width="10.23046875" style="252" customWidth="1"/>
    <col min="6" max="6" width="7.3828125" style="252" customWidth="1"/>
    <col min="7" max="7" width="5.3828125" style="252" customWidth="1"/>
    <col min="8" max="8" width="6.3046875" style="252" customWidth="1"/>
    <col min="9" max="16384" width="11.07421875" style="252"/>
  </cols>
  <sheetData>
    <row r="1" spans="1:8" s="253" customFormat="1" ht="10.050000000000001" customHeight="1">
      <c r="A1" s="776"/>
      <c r="B1" s="776"/>
      <c r="C1" s="776"/>
      <c r="D1" s="776"/>
      <c r="E1" s="776"/>
      <c r="F1" s="776"/>
      <c r="G1" s="776"/>
      <c r="H1" s="361"/>
    </row>
    <row r="2" spans="1:8" s="253" customFormat="1" ht="15" customHeight="1">
      <c r="A2" s="788" t="s">
        <v>469</v>
      </c>
      <c r="B2" s="788"/>
      <c r="C2" s="788"/>
      <c r="D2" s="788"/>
      <c r="E2" s="788"/>
      <c r="F2" s="788"/>
      <c r="G2" s="788"/>
      <c r="H2" s="361"/>
    </row>
    <row r="3" spans="1:8" s="253" customFormat="1" ht="15" customHeight="1">
      <c r="A3" s="776" t="s">
        <v>470</v>
      </c>
      <c r="B3" s="776"/>
      <c r="C3" s="776"/>
      <c r="D3" s="776"/>
      <c r="E3" s="776"/>
      <c r="F3" s="776"/>
      <c r="G3" s="776"/>
      <c r="H3" s="361"/>
    </row>
    <row r="4" spans="1:8" s="253" customFormat="1" ht="15" customHeight="1">
      <c r="A4" s="264"/>
      <c r="B4" s="264"/>
      <c r="C4" s="264"/>
      <c r="D4" s="264"/>
      <c r="E4" s="264"/>
      <c r="F4" s="264"/>
      <c r="G4" s="264"/>
      <c r="H4" s="361"/>
    </row>
    <row r="5" spans="1:8" s="253" customFormat="1" ht="15" customHeight="1">
      <c r="A5" s="254"/>
      <c r="B5" s="255" t="s">
        <v>17</v>
      </c>
      <c r="C5" s="255"/>
      <c r="D5" s="255"/>
      <c r="E5" s="255"/>
      <c r="F5" s="255"/>
      <c r="G5" s="256" t="s">
        <v>18</v>
      </c>
      <c r="H5" s="101"/>
    </row>
    <row r="6" spans="1:8" s="253" customFormat="1" ht="10.050000000000001" customHeight="1">
      <c r="A6" s="257"/>
      <c r="B6" s="257"/>
      <c r="C6" s="257"/>
      <c r="D6" s="257"/>
      <c r="E6" s="257"/>
      <c r="F6" s="257"/>
      <c r="G6" s="251"/>
      <c r="H6" s="361"/>
    </row>
    <row r="7" spans="1:8" s="253" customFormat="1" ht="27" customHeight="1">
      <c r="A7" s="265" t="s">
        <v>471</v>
      </c>
      <c r="B7" s="953" t="s">
        <v>472</v>
      </c>
      <c r="C7" s="953"/>
      <c r="D7" s="953"/>
      <c r="E7" s="953"/>
      <c r="F7" s="953"/>
      <c r="G7" s="358">
        <v>44</v>
      </c>
      <c r="H7" s="361"/>
    </row>
    <row r="8" spans="1:8" s="253" customFormat="1" ht="15" customHeight="1">
      <c r="A8" s="265" t="s">
        <v>473</v>
      </c>
      <c r="B8" s="948" t="s">
        <v>474</v>
      </c>
      <c r="C8" s="948"/>
      <c r="D8" s="948"/>
      <c r="E8" s="948"/>
      <c r="F8" s="948"/>
      <c r="G8" s="358">
        <v>45</v>
      </c>
      <c r="H8" s="361"/>
    </row>
    <row r="9" spans="1:8" s="253" customFormat="1" ht="15" customHeight="1">
      <c r="A9" s="265" t="s">
        <v>475</v>
      </c>
      <c r="B9" s="948" t="s">
        <v>476</v>
      </c>
      <c r="C9" s="948"/>
      <c r="D9" s="948"/>
      <c r="E9" s="948"/>
      <c r="F9" s="948"/>
      <c r="G9" s="358">
        <v>46</v>
      </c>
      <c r="H9" s="361"/>
    </row>
    <row r="10" spans="1:8" s="253" customFormat="1" ht="13.2">
      <c r="A10" s="265" t="s">
        <v>477</v>
      </c>
      <c r="B10" s="948" t="s">
        <v>478</v>
      </c>
      <c r="C10" s="948"/>
      <c r="D10" s="948"/>
      <c r="E10" s="948"/>
      <c r="F10" s="948"/>
      <c r="G10" s="358">
        <v>47</v>
      </c>
      <c r="H10" s="361"/>
    </row>
    <row r="11" spans="1:8" s="253" customFormat="1" ht="27" customHeight="1">
      <c r="A11" s="265" t="s">
        <v>479</v>
      </c>
      <c r="B11" s="948" t="s">
        <v>480</v>
      </c>
      <c r="C11" s="948"/>
      <c r="D11" s="948"/>
      <c r="E11" s="948"/>
      <c r="F11" s="948"/>
      <c r="G11" s="358">
        <v>48</v>
      </c>
      <c r="H11" s="361"/>
    </row>
    <row r="12" spans="1:8" s="253" customFormat="1" ht="15" customHeight="1">
      <c r="A12" s="265" t="s">
        <v>481</v>
      </c>
      <c r="B12" s="948" t="s">
        <v>482</v>
      </c>
      <c r="C12" s="948"/>
      <c r="D12" s="948"/>
      <c r="E12" s="948"/>
      <c r="F12" s="948"/>
      <c r="G12" s="358">
        <v>49</v>
      </c>
      <c r="H12" s="361"/>
    </row>
    <row r="13" spans="1:8" s="253" customFormat="1" ht="15" customHeight="1">
      <c r="A13" s="265" t="s">
        <v>483</v>
      </c>
      <c r="B13" s="948" t="s">
        <v>484</v>
      </c>
      <c r="C13" s="948"/>
      <c r="D13" s="948"/>
      <c r="E13" s="948"/>
      <c r="F13" s="948"/>
      <c r="G13" s="358">
        <v>50</v>
      </c>
      <c r="H13" s="361"/>
    </row>
    <row r="14" spans="1:8" s="253" customFormat="1" ht="15" customHeight="1">
      <c r="A14" s="265" t="s">
        <v>485</v>
      </c>
      <c r="B14" s="949" t="s">
        <v>486</v>
      </c>
      <c r="C14" s="949"/>
      <c r="D14" s="949"/>
      <c r="E14" s="949"/>
      <c r="F14" s="949"/>
      <c r="G14" s="358">
        <v>51</v>
      </c>
      <c r="H14" s="361"/>
    </row>
    <row r="15" spans="1:8" s="253" customFormat="1" ht="15" customHeight="1">
      <c r="A15" s="265" t="s">
        <v>487</v>
      </c>
      <c r="B15" s="949" t="s">
        <v>488</v>
      </c>
      <c r="C15" s="949"/>
      <c r="D15" s="949"/>
      <c r="E15" s="949"/>
      <c r="F15" s="949"/>
      <c r="G15" s="358">
        <v>52</v>
      </c>
      <c r="H15" s="361"/>
    </row>
    <row r="16" spans="1:8" s="253" customFormat="1" ht="15" customHeight="1">
      <c r="A16" s="265" t="s">
        <v>489</v>
      </c>
      <c r="B16" s="949" t="s">
        <v>490</v>
      </c>
      <c r="C16" s="949"/>
      <c r="D16" s="949"/>
      <c r="E16" s="949"/>
      <c r="F16" s="949"/>
      <c r="G16" s="358">
        <v>53</v>
      </c>
      <c r="H16" s="361"/>
    </row>
    <row r="17" spans="1:8" s="253" customFormat="1" ht="15" customHeight="1">
      <c r="A17" s="265" t="s">
        <v>491</v>
      </c>
      <c r="B17" s="948" t="s">
        <v>492</v>
      </c>
      <c r="C17" s="948"/>
      <c r="D17" s="948"/>
      <c r="E17" s="948"/>
      <c r="F17" s="948"/>
      <c r="G17" s="358">
        <v>54</v>
      </c>
      <c r="H17" s="361"/>
    </row>
    <row r="18" spans="1:8" s="253" customFormat="1" ht="15" customHeight="1">
      <c r="A18" s="265" t="s">
        <v>493</v>
      </c>
      <c r="B18" s="948" t="s">
        <v>239</v>
      </c>
      <c r="C18" s="948"/>
      <c r="D18" s="948"/>
      <c r="E18" s="948"/>
      <c r="F18" s="948"/>
      <c r="G18" s="358">
        <v>55</v>
      </c>
      <c r="H18" s="361"/>
    </row>
    <row r="19" spans="1:8" s="253" customFormat="1" ht="15" customHeight="1">
      <c r="A19" s="265" t="s">
        <v>494</v>
      </c>
      <c r="B19" s="948" t="s">
        <v>50</v>
      </c>
      <c r="C19" s="948"/>
      <c r="D19" s="948"/>
      <c r="E19" s="948"/>
      <c r="F19" s="948"/>
      <c r="G19" s="358">
        <v>56</v>
      </c>
      <c r="H19" s="361"/>
    </row>
    <row r="20" spans="1:8" s="253" customFormat="1" ht="15" customHeight="1">
      <c r="A20" s="265" t="s">
        <v>495</v>
      </c>
      <c r="B20" s="948" t="s">
        <v>496</v>
      </c>
      <c r="C20" s="948"/>
      <c r="D20" s="948"/>
      <c r="E20" s="948"/>
      <c r="F20" s="948"/>
      <c r="G20" s="358">
        <v>57</v>
      </c>
      <c r="H20" s="361"/>
    </row>
    <row r="21" spans="1:8" s="253" customFormat="1" ht="30.75" customHeight="1">
      <c r="A21" s="262" t="s">
        <v>497</v>
      </c>
      <c r="B21" s="948" t="s">
        <v>498</v>
      </c>
      <c r="C21" s="948"/>
      <c r="D21" s="948"/>
      <c r="E21" s="948"/>
      <c r="F21" s="948"/>
      <c r="G21" s="358">
        <v>59</v>
      </c>
      <c r="H21" s="361"/>
    </row>
    <row r="22" spans="1:8" s="253" customFormat="1" ht="15" customHeight="1">
      <c r="A22" s="361"/>
      <c r="B22" s="257"/>
      <c r="C22" s="257"/>
      <c r="D22" s="257"/>
      <c r="E22" s="257"/>
      <c r="F22" s="257"/>
      <c r="G22" s="359"/>
      <c r="H22" s="361"/>
    </row>
    <row r="23" spans="1:8" s="253" customFormat="1" ht="15" customHeight="1">
      <c r="A23" s="254" t="s">
        <v>72</v>
      </c>
      <c r="B23" s="255" t="s">
        <v>17</v>
      </c>
      <c r="C23" s="255"/>
      <c r="D23" s="255"/>
      <c r="E23" s="255"/>
      <c r="F23" s="255"/>
      <c r="G23" s="256" t="s">
        <v>18</v>
      </c>
      <c r="H23" s="361"/>
    </row>
    <row r="24" spans="1:8" s="253" customFormat="1" ht="12" customHeight="1">
      <c r="A24" s="361"/>
      <c r="B24" s="257"/>
      <c r="C24" s="257"/>
      <c r="D24" s="257"/>
      <c r="E24" s="257"/>
      <c r="F24" s="257"/>
      <c r="G24" s="251"/>
      <c r="H24" s="361"/>
    </row>
    <row r="25" spans="1:8" s="253" customFormat="1" ht="15.75" customHeight="1">
      <c r="A25" s="265" t="s">
        <v>471</v>
      </c>
      <c r="B25" s="908" t="s">
        <v>499</v>
      </c>
      <c r="C25" s="908"/>
      <c r="D25" s="908"/>
      <c r="E25" s="908"/>
      <c r="F25" s="908"/>
      <c r="G25" s="360">
        <v>44</v>
      </c>
      <c r="H25" s="361"/>
    </row>
    <row r="26" spans="1:8" s="253" customFormat="1" ht="15.75" customHeight="1">
      <c r="A26" s="265" t="s">
        <v>473</v>
      </c>
      <c r="B26" s="952" t="s">
        <v>500</v>
      </c>
      <c r="C26" s="952"/>
      <c r="D26" s="952"/>
      <c r="E26" s="952"/>
      <c r="F26" s="952"/>
      <c r="G26" s="360">
        <v>45</v>
      </c>
      <c r="H26" s="361"/>
    </row>
    <row r="27" spans="1:8" s="253" customFormat="1" ht="30.75" customHeight="1">
      <c r="A27" s="265" t="s">
        <v>475</v>
      </c>
      <c r="B27" s="948" t="s">
        <v>501</v>
      </c>
      <c r="C27" s="948"/>
      <c r="D27" s="948"/>
      <c r="E27" s="948"/>
      <c r="F27" s="948"/>
      <c r="G27" s="360">
        <v>47</v>
      </c>
      <c r="H27" s="361"/>
    </row>
    <row r="28" spans="1:8" s="253" customFormat="1" ht="18" customHeight="1">
      <c r="A28" s="551" t="s">
        <v>477</v>
      </c>
      <c r="B28" s="952" t="s">
        <v>502</v>
      </c>
      <c r="C28" s="952"/>
      <c r="D28" s="952"/>
      <c r="E28" s="952"/>
      <c r="F28" s="952"/>
      <c r="G28" s="360">
        <v>50</v>
      </c>
      <c r="H28" s="361"/>
    </row>
    <row r="29" spans="1:8" s="253" customFormat="1" ht="19.05" customHeight="1">
      <c r="A29" s="551" t="s">
        <v>479</v>
      </c>
      <c r="B29" s="908" t="s">
        <v>503</v>
      </c>
      <c r="C29" s="910"/>
      <c r="D29" s="910"/>
      <c r="E29" s="910"/>
      <c r="F29" s="910"/>
      <c r="G29" s="360">
        <v>51</v>
      </c>
      <c r="H29" s="361"/>
    </row>
    <row r="30" spans="1:8" s="253" customFormat="1" ht="17.25" customHeight="1">
      <c r="A30" s="551" t="s">
        <v>481</v>
      </c>
      <c r="B30" s="908" t="s">
        <v>504</v>
      </c>
      <c r="C30" s="910"/>
      <c r="D30" s="910"/>
      <c r="E30" s="910"/>
      <c r="F30" s="910"/>
      <c r="G30" s="360">
        <v>52</v>
      </c>
      <c r="H30" s="361"/>
    </row>
    <row r="31" spans="1:8" s="253" customFormat="1" ht="15" customHeight="1">
      <c r="A31" s="551" t="s">
        <v>483</v>
      </c>
      <c r="B31" s="950" t="s">
        <v>505</v>
      </c>
      <c r="C31" s="951"/>
      <c r="D31" s="951"/>
      <c r="E31" s="951"/>
      <c r="F31" s="951"/>
      <c r="G31" s="360">
        <v>53</v>
      </c>
      <c r="H31" s="361"/>
    </row>
    <row r="32" spans="1:8" s="253" customFormat="1" ht="15" customHeight="1">
      <c r="A32" s="551" t="s">
        <v>485</v>
      </c>
      <c r="B32" s="952" t="s">
        <v>506</v>
      </c>
      <c r="C32" s="952"/>
      <c r="D32" s="952"/>
      <c r="E32" s="952"/>
      <c r="F32" s="952"/>
      <c r="G32" s="360">
        <v>54</v>
      </c>
      <c r="H32" s="361"/>
    </row>
    <row r="33" spans="1:11" s="253" customFormat="1" ht="15" customHeight="1">
      <c r="A33" s="551" t="s">
        <v>487</v>
      </c>
      <c r="B33" s="952" t="s">
        <v>507</v>
      </c>
      <c r="C33" s="952"/>
      <c r="D33" s="952"/>
      <c r="E33" s="952"/>
      <c r="F33" s="952"/>
      <c r="G33" s="360">
        <v>55</v>
      </c>
      <c r="H33" s="361"/>
      <c r="I33" s="361"/>
      <c r="J33" s="361"/>
      <c r="K33" s="361"/>
    </row>
    <row r="34" spans="1:11" s="253" customFormat="1" ht="19.5" customHeight="1">
      <c r="A34" s="551" t="s">
        <v>489</v>
      </c>
      <c r="B34" s="952" t="s">
        <v>508</v>
      </c>
      <c r="C34" s="952"/>
      <c r="D34" s="952"/>
      <c r="E34" s="952"/>
      <c r="F34" s="952"/>
      <c r="G34" s="360">
        <v>57</v>
      </c>
      <c r="H34" s="361"/>
      <c r="I34" s="361"/>
      <c r="J34" s="361"/>
      <c r="K34" s="361"/>
    </row>
    <row r="35" spans="1:11" s="253" customFormat="1" ht="16.5" customHeight="1">
      <c r="A35" s="361" t="s">
        <v>491</v>
      </c>
      <c r="B35" s="950" t="s">
        <v>509</v>
      </c>
      <c r="C35" s="951"/>
      <c r="D35" s="951"/>
      <c r="E35" s="951"/>
      <c r="F35" s="951"/>
      <c r="G35" s="360">
        <v>58</v>
      </c>
      <c r="H35" s="361"/>
      <c r="I35" s="361"/>
      <c r="J35" s="361"/>
      <c r="K35" s="361"/>
    </row>
    <row r="36" spans="1:11" s="253" customFormat="1" ht="30.75" customHeight="1">
      <c r="A36" s="361" t="s">
        <v>493</v>
      </c>
      <c r="B36" s="950" t="s">
        <v>510</v>
      </c>
      <c r="C36" s="950"/>
      <c r="D36" s="950"/>
      <c r="E36" s="950"/>
      <c r="F36" s="950"/>
      <c r="G36" s="360">
        <v>60</v>
      </c>
      <c r="H36" s="361"/>
      <c r="I36" s="361"/>
      <c r="J36" s="361"/>
      <c r="K36" s="361"/>
    </row>
    <row r="37" spans="1:11" s="253" customFormat="1" ht="37.5" customHeight="1">
      <c r="A37" s="361" t="s">
        <v>494</v>
      </c>
      <c r="B37" s="950" t="s">
        <v>511</v>
      </c>
      <c r="C37" s="950"/>
      <c r="D37" s="950"/>
      <c r="E37" s="950"/>
      <c r="F37" s="950"/>
      <c r="G37" s="360">
        <v>61</v>
      </c>
      <c r="H37" s="361"/>
      <c r="I37" s="361"/>
      <c r="J37" s="361"/>
      <c r="K37" s="449"/>
    </row>
    <row r="38" spans="1:11" s="253" customFormat="1" ht="12" customHeight="1">
      <c r="A38" s="260"/>
      <c r="B38" s="361"/>
      <c r="C38" s="361"/>
      <c r="D38" s="361"/>
      <c r="E38" s="361"/>
      <c r="F38" s="361"/>
      <c r="G38" s="361"/>
      <c r="H38" s="361"/>
      <c r="I38" s="361"/>
      <c r="J38" s="361"/>
      <c r="K38" s="449"/>
    </row>
    <row r="39" spans="1:11" s="253" customFormat="1" ht="12" customHeight="1">
      <c r="A39" s="361"/>
      <c r="B39" s="102"/>
      <c r="C39" s="361"/>
      <c r="D39" s="361"/>
      <c r="E39" s="361"/>
      <c r="F39" s="361"/>
      <c r="G39" s="361"/>
      <c r="H39" s="361"/>
      <c r="I39" s="361"/>
      <c r="J39" s="361"/>
      <c r="K39" s="449"/>
    </row>
    <row r="40" spans="1:11" ht="15" customHeight="1">
      <c r="B40" s="361"/>
      <c r="C40" s="361"/>
      <c r="D40" s="361"/>
      <c r="E40" s="361"/>
      <c r="F40" s="361"/>
      <c r="G40" s="361"/>
      <c r="H40" s="361"/>
    </row>
    <row r="41" spans="1:11" ht="15" customHeight="1">
      <c r="A41" s="262"/>
    </row>
    <row r="42" spans="1:11" ht="15" customHeight="1">
      <c r="B42" s="909"/>
      <c r="C42" s="909"/>
      <c r="D42" s="909"/>
      <c r="E42" s="909"/>
      <c r="F42" s="909"/>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zoomScale="80" zoomScaleNormal="80" workbookViewId="0">
      <selection activeCell="V17" sqref="V17"/>
    </sheetView>
  </sheetViews>
  <sheetFormatPr baseColWidth="10" defaultColWidth="10.921875" defaultRowHeight="11.4"/>
  <cols>
    <col min="1" max="1" width="0.69140625" style="1" customWidth="1"/>
    <col min="2" max="2" width="10.07421875" style="1" customWidth="1"/>
    <col min="3" max="7" width="10.765625" style="1" customWidth="1"/>
    <col min="8" max="8" width="4.3046875" style="1" customWidth="1"/>
    <col min="9" max="9" width="7.921875" style="1" hidden="1" customWidth="1"/>
    <col min="10" max="10" width="5.3828125" style="1" hidden="1" customWidth="1"/>
    <col min="11" max="15" width="7.921875" style="1" hidden="1" customWidth="1"/>
    <col min="16" max="16" width="5.3828125" style="1" hidden="1" customWidth="1"/>
    <col min="17" max="17" width="6.69140625" style="1" hidden="1" customWidth="1"/>
    <col min="18" max="19" width="7.921875" style="1" hidden="1" customWidth="1"/>
    <col min="20" max="16384" width="10.921875" style="1"/>
  </cols>
  <sheetData>
    <row r="1" spans="2:55" s="15" customFormat="1" ht="13.2">
      <c r="B1" s="766" t="s">
        <v>86</v>
      </c>
      <c r="C1" s="766"/>
      <c r="D1" s="766"/>
      <c r="E1" s="766"/>
      <c r="F1" s="766"/>
      <c r="G1" s="766"/>
      <c r="I1" s="960" t="s">
        <v>512</v>
      </c>
      <c r="J1" s="955"/>
      <c r="K1" s="955"/>
      <c r="L1" s="955"/>
      <c r="M1" s="955"/>
      <c r="N1" s="955"/>
      <c r="O1" s="955"/>
      <c r="P1" s="955"/>
      <c r="Q1" s="955"/>
      <c r="R1" s="955"/>
      <c r="S1" s="955"/>
    </row>
    <row r="2" spans="2:55" s="15" customFormat="1" ht="13.2">
      <c r="B2" s="17"/>
      <c r="C2" s="17"/>
      <c r="D2" s="17"/>
      <c r="E2" s="17"/>
      <c r="F2" s="17"/>
      <c r="G2" s="17"/>
    </row>
    <row r="3" spans="2:55" s="15" customFormat="1" ht="13.8" customHeight="1">
      <c r="B3" s="857" t="s">
        <v>740</v>
      </c>
      <c r="C3" s="857"/>
      <c r="D3" s="857"/>
      <c r="E3" s="857"/>
      <c r="F3" s="857"/>
      <c r="G3" s="857"/>
      <c r="I3" s="954" t="s">
        <v>513</v>
      </c>
      <c r="J3" s="955"/>
      <c r="K3" s="955"/>
      <c r="L3" s="955"/>
      <c r="M3" s="955"/>
      <c r="N3" s="955"/>
      <c r="O3" s="955"/>
      <c r="P3" s="955"/>
      <c r="Q3" s="955"/>
      <c r="R3" s="955"/>
      <c r="S3" s="955"/>
    </row>
    <row r="4" spans="2:55" s="15" customFormat="1" ht="13.2">
      <c r="B4" s="766" t="s">
        <v>87</v>
      </c>
      <c r="C4" s="766"/>
      <c r="D4" s="766"/>
      <c r="E4" s="766"/>
      <c r="F4" s="766"/>
      <c r="G4" s="766"/>
    </row>
    <row r="5" spans="2:55" s="22" customFormat="1" ht="30" customHeight="1">
      <c r="B5" s="174" t="s">
        <v>88</v>
      </c>
      <c r="C5" s="103" t="s">
        <v>385</v>
      </c>
      <c r="D5" s="103" t="s">
        <v>90</v>
      </c>
      <c r="E5" s="103" t="s">
        <v>91</v>
      </c>
      <c r="F5" s="103" t="s">
        <v>92</v>
      </c>
      <c r="G5" s="103" t="s">
        <v>386</v>
      </c>
      <c r="H5" s="15"/>
      <c r="I5" s="954" t="s">
        <v>514</v>
      </c>
      <c r="J5" s="955"/>
      <c r="K5" s="955"/>
      <c r="L5" s="955"/>
      <c r="M5" s="955"/>
      <c r="N5" s="955"/>
      <c r="O5" s="955"/>
      <c r="P5" s="955"/>
      <c r="Q5" s="955"/>
      <c r="R5" s="955"/>
      <c r="S5" s="955"/>
    </row>
    <row r="6" spans="2:55" s="22" customFormat="1" ht="15.6" customHeight="1">
      <c r="B6" s="674">
        <v>44682</v>
      </c>
      <c r="C6" s="337">
        <v>190.07</v>
      </c>
      <c r="D6" s="337">
        <v>514.63</v>
      </c>
      <c r="E6" s="337">
        <v>518.44000000000005</v>
      </c>
      <c r="F6" s="337">
        <v>54.2</v>
      </c>
      <c r="G6" s="337">
        <v>186.26</v>
      </c>
    </row>
    <row r="7" spans="2:55" s="22" customFormat="1" ht="15.75" customHeight="1">
      <c r="B7" s="674">
        <v>44713</v>
      </c>
      <c r="C7" s="337">
        <v>187.31</v>
      </c>
      <c r="D7" s="337">
        <v>515.35</v>
      </c>
      <c r="E7" s="337">
        <v>519.22</v>
      </c>
      <c r="F7" s="337">
        <v>54.2</v>
      </c>
      <c r="G7" s="337">
        <v>183.44</v>
      </c>
      <c r="H7" s="26"/>
      <c r="I7" s="954" t="s">
        <v>515</v>
      </c>
      <c r="J7" s="955"/>
      <c r="K7" s="955"/>
      <c r="L7" s="955"/>
      <c r="M7" s="955"/>
      <c r="N7" s="955"/>
      <c r="O7" s="955"/>
      <c r="P7" s="955"/>
      <c r="Q7" s="955"/>
      <c r="R7" s="955"/>
      <c r="S7" s="955"/>
    </row>
    <row r="8" spans="2:55" s="22" customFormat="1" ht="15.75" customHeight="1" thickBot="1">
      <c r="B8" s="674">
        <v>44743</v>
      </c>
      <c r="C8" s="336"/>
      <c r="D8" s="416"/>
      <c r="E8" s="336"/>
      <c r="F8" s="336"/>
      <c r="G8" s="336"/>
      <c r="H8" s="26"/>
      <c r="I8" s="175"/>
      <c r="J8" s="175"/>
      <c r="K8" s="175"/>
      <c r="L8" s="175"/>
      <c r="M8" s="175"/>
      <c r="N8" s="175"/>
      <c r="O8" s="175"/>
      <c r="P8" s="175"/>
      <c r="Q8" s="175"/>
      <c r="R8" s="175"/>
      <c r="S8" s="175"/>
    </row>
    <row r="9" spans="2:55" s="22" customFormat="1" ht="15.75" customHeight="1" thickTop="1" thickBot="1">
      <c r="B9" s="674">
        <v>44774</v>
      </c>
      <c r="C9" s="336"/>
      <c r="D9" s="336"/>
      <c r="E9" s="336"/>
      <c r="F9" s="336"/>
      <c r="G9" s="336"/>
      <c r="H9" s="26"/>
      <c r="I9" s="956" t="s">
        <v>516</v>
      </c>
      <c r="J9" s="957"/>
      <c r="K9" s="176" t="s">
        <v>517</v>
      </c>
      <c r="L9" s="176" t="s">
        <v>518</v>
      </c>
      <c r="M9" s="176" t="s">
        <v>519</v>
      </c>
      <c r="N9" s="176" t="s">
        <v>520</v>
      </c>
      <c r="O9" s="176" t="s">
        <v>521</v>
      </c>
      <c r="P9" s="958" t="s">
        <v>522</v>
      </c>
      <c r="Q9" s="959"/>
      <c r="R9" s="175"/>
      <c r="S9" s="175"/>
    </row>
    <row r="10" spans="2:55" s="22" customFormat="1" ht="15.75" customHeight="1" thickTop="1">
      <c r="B10" s="674">
        <v>44805</v>
      </c>
      <c r="C10" s="336"/>
      <c r="D10" s="336"/>
      <c r="E10" s="336"/>
      <c r="F10" s="336"/>
      <c r="G10" s="336"/>
      <c r="H10" s="26" t="s">
        <v>690</v>
      </c>
      <c r="I10" s="177"/>
      <c r="J10" s="178"/>
      <c r="K10" s="179"/>
      <c r="L10" s="179"/>
      <c r="M10" s="179"/>
      <c r="N10" s="179"/>
      <c r="O10" s="179"/>
      <c r="P10" s="961"/>
      <c r="Q10" s="962"/>
      <c r="R10" s="175"/>
      <c r="S10" s="175"/>
      <c r="T10" s="180"/>
      <c r="U10" s="180"/>
      <c r="V10" s="180"/>
      <c r="W10" s="180"/>
      <c r="X10" s="180"/>
      <c r="Y10" s="181"/>
      <c r="Z10" s="97"/>
    </row>
    <row r="11" spans="2:55" s="22" customFormat="1" ht="15.75" customHeight="1">
      <c r="B11" s="674">
        <v>44835</v>
      </c>
      <c r="C11" s="336"/>
      <c r="D11" s="336"/>
      <c r="E11" s="336"/>
      <c r="F11" s="336"/>
      <c r="G11" s="336"/>
      <c r="H11" s="26"/>
      <c r="I11" s="963" t="s">
        <v>523</v>
      </c>
      <c r="J11" s="182" t="s">
        <v>524</v>
      </c>
      <c r="K11" s="183">
        <v>103.46</v>
      </c>
      <c r="L11" s="183">
        <v>469.5</v>
      </c>
      <c r="M11" s="183">
        <v>39.659999999999997</v>
      </c>
      <c r="N11" s="183">
        <v>483.68</v>
      </c>
      <c r="O11" s="183">
        <v>41.62</v>
      </c>
      <c r="P11" s="964">
        <v>89.28</v>
      </c>
      <c r="Q11" s="955"/>
      <c r="R11" s="175"/>
      <c r="S11" s="175"/>
      <c r="T11" s="184"/>
      <c r="U11" s="432"/>
      <c r="V11" s="184"/>
      <c r="W11" s="184"/>
      <c r="X11" s="184"/>
      <c r="Y11" s="185"/>
      <c r="Z11" s="186"/>
    </row>
    <row r="12" spans="2:55" s="22" customFormat="1" ht="15.75" customHeight="1">
      <c r="B12" s="674">
        <v>44866</v>
      </c>
      <c r="C12" s="336"/>
      <c r="D12" s="336"/>
      <c r="E12" s="336"/>
      <c r="F12" s="336"/>
      <c r="G12" s="336"/>
      <c r="H12" s="26"/>
      <c r="I12" s="955"/>
      <c r="J12" s="182" t="s">
        <v>525</v>
      </c>
      <c r="K12" s="183">
        <v>103.65</v>
      </c>
      <c r="L12" s="183">
        <v>471.09</v>
      </c>
      <c r="M12" s="183">
        <v>40.020000000000003</v>
      </c>
      <c r="N12" s="183">
        <v>484.23</v>
      </c>
      <c r="O12" s="183">
        <v>41.66</v>
      </c>
      <c r="P12" s="964">
        <v>90.51</v>
      </c>
      <c r="Q12" s="955"/>
      <c r="R12" s="175"/>
      <c r="S12" s="175"/>
      <c r="T12" s="184"/>
      <c r="U12" s="184"/>
      <c r="V12" s="184"/>
      <c r="W12" s="184"/>
      <c r="X12" s="184"/>
      <c r="Y12" s="185"/>
      <c r="Z12" s="186"/>
    </row>
    <row r="13" spans="2:55" s="22" customFormat="1" ht="15.75" customHeight="1">
      <c r="B13" s="674">
        <v>44896</v>
      </c>
      <c r="C13" s="336"/>
      <c r="D13" s="579"/>
      <c r="E13" s="579"/>
      <c r="F13" s="336"/>
      <c r="G13" s="336"/>
      <c r="H13" s="26"/>
      <c r="I13" s="963" t="s">
        <v>526</v>
      </c>
      <c r="J13" s="182" t="s">
        <v>524</v>
      </c>
      <c r="K13" s="183">
        <v>1.55</v>
      </c>
      <c r="L13" s="183">
        <v>6.11</v>
      </c>
      <c r="M13" s="183">
        <v>0.76</v>
      </c>
      <c r="N13" s="183">
        <v>3.85</v>
      </c>
      <c r="O13" s="183">
        <v>3.24</v>
      </c>
      <c r="P13" s="964">
        <v>1.33</v>
      </c>
      <c r="Q13" s="955"/>
      <c r="R13" s="175"/>
      <c r="S13" s="175"/>
    </row>
    <row r="14" spans="2:55" s="22" customFormat="1" ht="15.75" customHeight="1">
      <c r="B14" s="674">
        <v>44927</v>
      </c>
      <c r="C14" s="437"/>
      <c r="D14" s="437"/>
      <c r="E14" s="437"/>
      <c r="F14" s="437"/>
      <c r="G14" s="437"/>
      <c r="H14" s="95"/>
      <c r="I14" s="955"/>
      <c r="J14" s="182" t="s">
        <v>525</v>
      </c>
      <c r="K14" s="183">
        <v>1.55</v>
      </c>
      <c r="L14" s="183">
        <v>6.11</v>
      </c>
      <c r="M14" s="183">
        <v>0.76</v>
      </c>
      <c r="N14" s="183">
        <v>3.85</v>
      </c>
      <c r="O14" s="183">
        <v>3.18</v>
      </c>
      <c r="P14" s="964">
        <v>1.39</v>
      </c>
      <c r="Q14" s="955"/>
      <c r="R14" s="175"/>
      <c r="S14" s="175"/>
      <c r="T14" s="184"/>
      <c r="U14" s="184"/>
      <c r="V14" s="184"/>
      <c r="W14" s="184"/>
      <c r="X14" s="184"/>
      <c r="Y14" s="184"/>
      <c r="Z14" s="184"/>
      <c r="AA14" s="184"/>
      <c r="AB14" s="184"/>
      <c r="AC14" s="184"/>
    </row>
    <row r="15" spans="2:55" s="187" customFormat="1" ht="15.75" customHeight="1">
      <c r="B15" s="674">
        <v>44958</v>
      </c>
      <c r="C15" s="338"/>
      <c r="D15" s="338"/>
      <c r="E15" s="338"/>
      <c r="F15" s="338"/>
      <c r="G15" s="338"/>
      <c r="H15" s="22"/>
      <c r="I15" s="963" t="s">
        <v>527</v>
      </c>
      <c r="J15" s="182" t="s">
        <v>524</v>
      </c>
      <c r="K15" s="183">
        <v>101.91</v>
      </c>
      <c r="L15" s="183">
        <v>463.39</v>
      </c>
      <c r="M15" s="183">
        <v>38.9</v>
      </c>
      <c r="N15" s="183">
        <v>479.82</v>
      </c>
      <c r="O15" s="183">
        <v>38.380000000000003</v>
      </c>
      <c r="P15" s="964">
        <v>87.96</v>
      </c>
      <c r="Q15" s="955"/>
      <c r="R15" s="175"/>
      <c r="S15" s="175"/>
      <c r="T15" s="184"/>
      <c r="U15" s="184"/>
      <c r="V15" s="184"/>
      <c r="W15" s="184"/>
      <c r="X15" s="184"/>
      <c r="Y15" s="184"/>
      <c r="Z15" s="184"/>
      <c r="AA15" s="184"/>
      <c r="AB15" s="184"/>
      <c r="AC15" s="184"/>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87" customFormat="1" ht="15.75" customHeight="1">
      <c r="B16" s="674">
        <v>44986</v>
      </c>
      <c r="C16" s="338"/>
      <c r="D16" s="338"/>
      <c r="E16" s="338"/>
      <c r="F16" s="338"/>
      <c r="G16" s="338"/>
      <c r="H16" s="97"/>
      <c r="I16" s="963"/>
      <c r="J16" s="182"/>
      <c r="K16" s="183"/>
      <c r="L16" s="183"/>
      <c r="M16" s="183"/>
      <c r="N16" s="183"/>
      <c r="O16" s="183"/>
      <c r="P16" s="183"/>
      <c r="Q16" s="188"/>
      <c r="R16" s="175"/>
      <c r="S16" s="175"/>
      <c r="T16" s="184"/>
      <c r="U16" s="184"/>
      <c r="V16" s="184"/>
      <c r="W16" s="184"/>
      <c r="X16" s="184"/>
      <c r="Y16" s="184"/>
      <c r="Z16" s="184"/>
      <c r="AA16" s="184"/>
      <c r="AB16" s="184"/>
      <c r="AC16" s="184"/>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87" customFormat="1" ht="15.75" customHeight="1">
      <c r="B17" s="674">
        <v>45017</v>
      </c>
      <c r="C17" s="393"/>
      <c r="D17" s="393"/>
      <c r="E17" s="393"/>
      <c r="F17" s="393"/>
      <c r="G17" s="393"/>
      <c r="H17" s="26"/>
      <c r="I17" s="955"/>
      <c r="J17" s="182" t="s">
        <v>525</v>
      </c>
      <c r="K17" s="183">
        <v>102.1</v>
      </c>
      <c r="L17" s="183">
        <v>464.98</v>
      </c>
      <c r="M17" s="183">
        <v>39.26</v>
      </c>
      <c r="N17" s="183">
        <v>480.38</v>
      </c>
      <c r="O17" s="183">
        <v>38.479999999999997</v>
      </c>
      <c r="P17" s="964">
        <v>89.12</v>
      </c>
      <c r="Q17" s="955"/>
      <c r="R17" s="175"/>
      <c r="S17" s="175"/>
      <c r="T17" s="184"/>
      <c r="U17" s="184"/>
      <c r="V17" s="184"/>
      <c r="W17" s="184"/>
      <c r="X17" s="184"/>
      <c r="Y17" s="184"/>
      <c r="Z17" s="184"/>
      <c r="AA17" s="184"/>
      <c r="AB17" s="184"/>
      <c r="AC17" s="184"/>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05" customHeight="1">
      <c r="B18" s="785" t="s">
        <v>109</v>
      </c>
      <c r="C18" s="785"/>
      <c r="D18" s="785"/>
      <c r="E18" s="785"/>
      <c r="F18" s="785"/>
      <c r="G18" s="785"/>
      <c r="I18" s="188"/>
      <c r="J18" s="182" t="s">
        <v>525</v>
      </c>
      <c r="K18" s="183">
        <v>30.25</v>
      </c>
      <c r="L18" s="183">
        <v>154</v>
      </c>
      <c r="M18" s="183">
        <v>0.72</v>
      </c>
      <c r="N18" s="183">
        <v>134.80000000000001</v>
      </c>
      <c r="O18" s="183">
        <v>30.2</v>
      </c>
      <c r="P18" s="964">
        <v>19.97</v>
      </c>
      <c r="Q18" s="955"/>
      <c r="T18" s="184"/>
      <c r="U18" s="184"/>
      <c r="V18" s="184"/>
      <c r="W18" s="184"/>
      <c r="X18" s="184"/>
      <c r="Y18" s="184"/>
      <c r="Z18" s="184"/>
      <c r="AA18" s="184"/>
      <c r="AB18" s="184"/>
      <c r="AC18" s="184"/>
    </row>
    <row r="19" spans="2:55" ht="16.5" customHeight="1">
      <c r="C19" s="189"/>
      <c r="D19" s="189"/>
      <c r="E19" s="189"/>
      <c r="F19" s="189"/>
      <c r="G19" s="189"/>
      <c r="I19" s="963" t="s">
        <v>528</v>
      </c>
      <c r="J19" s="182" t="s">
        <v>524</v>
      </c>
      <c r="K19" s="183">
        <v>17.690000000000001</v>
      </c>
      <c r="L19" s="183">
        <v>100</v>
      </c>
      <c r="M19" s="183">
        <v>0</v>
      </c>
      <c r="N19" s="183">
        <v>98</v>
      </c>
      <c r="O19" s="183">
        <v>8.5</v>
      </c>
      <c r="P19" s="964">
        <v>11.19</v>
      </c>
      <c r="Q19" s="955"/>
    </row>
    <row r="20" spans="2:55" ht="13.2">
      <c r="I20" s="955"/>
      <c r="J20" s="182" t="s">
        <v>525</v>
      </c>
      <c r="K20" s="183">
        <v>17.77</v>
      </c>
      <c r="L20" s="183">
        <v>103</v>
      </c>
      <c r="M20" s="183">
        <v>0</v>
      </c>
      <c r="N20" s="183">
        <v>98.9</v>
      </c>
      <c r="O20" s="183">
        <v>8.6</v>
      </c>
      <c r="P20" s="964">
        <v>13.27</v>
      </c>
      <c r="Q20" s="955"/>
    </row>
    <row r="21" spans="2:55" ht="13.2">
      <c r="I21" s="963" t="s">
        <v>529</v>
      </c>
      <c r="J21" s="182" t="s">
        <v>524</v>
      </c>
      <c r="K21" s="183">
        <v>1.56</v>
      </c>
      <c r="L21" s="183">
        <v>6.9</v>
      </c>
      <c r="M21" s="183">
        <v>0.02</v>
      </c>
      <c r="N21" s="183">
        <v>2.8</v>
      </c>
      <c r="O21" s="183">
        <v>4.5999999999999996</v>
      </c>
      <c r="P21" s="964">
        <v>1.08</v>
      </c>
      <c r="Q21" s="955"/>
    </row>
    <row r="22" spans="2:55" ht="15" customHeight="1">
      <c r="I22" s="955"/>
      <c r="J22" s="182" t="s">
        <v>525</v>
      </c>
      <c r="K22" s="183">
        <v>1.56</v>
      </c>
      <c r="L22" s="183">
        <v>6.9</v>
      </c>
      <c r="M22" s="183">
        <v>0.02</v>
      </c>
      <c r="N22" s="183">
        <v>2.8</v>
      </c>
      <c r="O22" s="183">
        <v>4.5999999999999996</v>
      </c>
      <c r="P22" s="964">
        <v>1.08</v>
      </c>
      <c r="Q22" s="955"/>
    </row>
    <row r="23" spans="2:55" ht="10.050000000000001" customHeight="1">
      <c r="I23" s="963" t="s">
        <v>530</v>
      </c>
      <c r="J23" s="182" t="s">
        <v>524</v>
      </c>
      <c r="K23" s="183">
        <v>10</v>
      </c>
      <c r="L23" s="183">
        <v>15.9</v>
      </c>
      <c r="M23" s="183">
        <v>0.3</v>
      </c>
      <c r="N23" s="183">
        <v>11.2</v>
      </c>
      <c r="O23" s="183">
        <v>10</v>
      </c>
      <c r="P23" s="964">
        <v>5</v>
      </c>
      <c r="Q23" s="955"/>
    </row>
    <row r="24" spans="2:55" ht="15" customHeight="1">
      <c r="I24" s="955"/>
      <c r="J24" s="182" t="s">
        <v>525</v>
      </c>
      <c r="K24" s="183">
        <v>10</v>
      </c>
      <c r="L24" s="183">
        <v>15.9</v>
      </c>
      <c r="M24" s="183">
        <v>0.3</v>
      </c>
      <c r="N24" s="183">
        <v>11.2</v>
      </c>
      <c r="O24" s="183">
        <v>10</v>
      </c>
      <c r="P24" s="964">
        <v>5</v>
      </c>
      <c r="Q24" s="955"/>
    </row>
    <row r="25" spans="2:55" ht="15" customHeight="1">
      <c r="I25" s="963" t="s">
        <v>531</v>
      </c>
      <c r="J25" s="182" t="s">
        <v>524</v>
      </c>
      <c r="K25" s="183">
        <v>0.93</v>
      </c>
      <c r="L25" s="183">
        <v>28.2</v>
      </c>
      <c r="M25" s="183">
        <v>0.4</v>
      </c>
      <c r="N25" s="183">
        <v>21.9</v>
      </c>
      <c r="O25" s="183">
        <v>7</v>
      </c>
      <c r="P25" s="964">
        <v>0.63</v>
      </c>
      <c r="Q25" s="955"/>
    </row>
    <row r="26" spans="2:55" ht="15" customHeight="1">
      <c r="I26" s="955"/>
      <c r="J26" s="182" t="s">
        <v>525</v>
      </c>
      <c r="K26" s="183">
        <v>0.93</v>
      </c>
      <c r="L26" s="183">
        <v>28.2</v>
      </c>
      <c r="M26" s="183">
        <v>0.4</v>
      </c>
      <c r="N26" s="183">
        <v>21.9</v>
      </c>
      <c r="O26" s="183">
        <v>7</v>
      </c>
      <c r="P26" s="964">
        <v>0.63</v>
      </c>
      <c r="Q26" s="955"/>
    </row>
    <row r="27" spans="2:55" ht="15" customHeight="1">
      <c r="I27" s="963" t="s">
        <v>532</v>
      </c>
      <c r="J27" s="182" t="s">
        <v>524</v>
      </c>
      <c r="K27" s="183">
        <v>10.77</v>
      </c>
      <c r="L27" s="183">
        <v>63.71</v>
      </c>
      <c r="M27" s="183">
        <v>13.84</v>
      </c>
      <c r="N27" s="183">
        <v>77.349999999999994</v>
      </c>
      <c r="O27" s="183">
        <v>1.1599999999999999</v>
      </c>
      <c r="P27" s="964">
        <v>9.81</v>
      </c>
      <c r="Q27" s="955"/>
    </row>
    <row r="28" spans="2:55" ht="15" customHeight="1">
      <c r="I28" s="955"/>
      <c r="J28" s="182" t="s">
        <v>525</v>
      </c>
      <c r="K28" s="183">
        <v>10.83</v>
      </c>
      <c r="L28" s="183">
        <v>62.71</v>
      </c>
      <c r="M28" s="183">
        <v>13.94</v>
      </c>
      <c r="N28" s="183">
        <v>77.19</v>
      </c>
      <c r="O28" s="183">
        <v>1.1599999999999999</v>
      </c>
      <c r="P28" s="964">
        <v>9.1300000000000008</v>
      </c>
      <c r="Q28" s="955"/>
    </row>
    <row r="29" spans="2:55" ht="15" customHeight="1">
      <c r="I29" s="963" t="s">
        <v>533</v>
      </c>
      <c r="J29" s="182" t="s">
        <v>524</v>
      </c>
      <c r="K29" s="183">
        <v>0.65</v>
      </c>
      <c r="L29" s="183">
        <v>7.91</v>
      </c>
      <c r="M29" s="183">
        <v>0.7</v>
      </c>
      <c r="N29" s="183">
        <v>7.9</v>
      </c>
      <c r="O29" s="183">
        <v>0.83</v>
      </c>
      <c r="P29" s="964">
        <v>0.53</v>
      </c>
      <c r="Q29" s="955"/>
    </row>
    <row r="30" spans="2:55" ht="15" customHeight="1">
      <c r="I30" s="955"/>
      <c r="J30" s="182" t="s">
        <v>525</v>
      </c>
      <c r="K30" s="183">
        <v>0.69</v>
      </c>
      <c r="L30" s="183">
        <v>7.91</v>
      </c>
      <c r="M30" s="183">
        <v>0.7</v>
      </c>
      <c r="N30" s="183">
        <v>7.94</v>
      </c>
      <c r="O30" s="183">
        <v>0.83</v>
      </c>
      <c r="P30" s="964">
        <v>0.53</v>
      </c>
      <c r="Q30" s="955"/>
    </row>
    <row r="31" spans="2:55" ht="15" customHeight="1">
      <c r="I31" s="963" t="s">
        <v>534</v>
      </c>
      <c r="J31" s="182" t="s">
        <v>524</v>
      </c>
      <c r="K31" s="183">
        <v>1.23</v>
      </c>
      <c r="L31" s="183">
        <v>2.0099999999999998</v>
      </c>
      <c r="M31" s="183">
        <v>1.5</v>
      </c>
      <c r="N31" s="183">
        <v>3.28</v>
      </c>
      <c r="O31" s="183">
        <v>0.28000000000000003</v>
      </c>
      <c r="P31" s="964">
        <v>1.18</v>
      </c>
      <c r="Q31" s="955"/>
    </row>
    <row r="32" spans="2:55" ht="15" customHeight="1">
      <c r="I32" s="955"/>
      <c r="J32" s="182" t="s">
        <v>525</v>
      </c>
      <c r="K32" s="183">
        <v>1.23</v>
      </c>
      <c r="L32" s="183">
        <v>2.0099999999999998</v>
      </c>
      <c r="M32" s="183">
        <v>1.5</v>
      </c>
      <c r="N32" s="183">
        <v>3.28</v>
      </c>
      <c r="O32" s="183">
        <v>0.28000000000000003</v>
      </c>
      <c r="P32" s="964">
        <v>1.18</v>
      </c>
      <c r="Q32" s="955"/>
    </row>
    <row r="33" spans="9:17" ht="15" customHeight="1">
      <c r="I33" s="963" t="s">
        <v>535</v>
      </c>
      <c r="J33" s="182" t="s">
        <v>524</v>
      </c>
      <c r="K33" s="183">
        <v>3.95</v>
      </c>
      <c r="L33" s="183">
        <v>36.299999999999997</v>
      </c>
      <c r="M33" s="183">
        <v>1.9</v>
      </c>
      <c r="N33" s="183">
        <v>38.299999999999997</v>
      </c>
      <c r="O33" s="183">
        <v>0</v>
      </c>
      <c r="P33" s="964">
        <v>3.85</v>
      </c>
      <c r="Q33" s="955"/>
    </row>
    <row r="34" spans="9:17" ht="15" customHeight="1">
      <c r="I34" s="955"/>
      <c r="J34" s="182" t="s">
        <v>525</v>
      </c>
      <c r="K34" s="183">
        <v>3.96</v>
      </c>
      <c r="L34" s="183">
        <v>35.299999999999997</v>
      </c>
      <c r="M34" s="183">
        <v>2</v>
      </c>
      <c r="N34" s="183">
        <v>38.1</v>
      </c>
      <c r="O34" s="183">
        <v>0</v>
      </c>
      <c r="P34" s="964">
        <v>3.16</v>
      </c>
      <c r="Q34" s="955"/>
    </row>
    <row r="35" spans="9:17" ht="28.05" customHeight="1">
      <c r="I35" s="963" t="s">
        <v>536</v>
      </c>
      <c r="J35" s="182" t="s">
        <v>524</v>
      </c>
      <c r="K35" s="183">
        <v>1.19</v>
      </c>
      <c r="L35" s="183">
        <v>2.71</v>
      </c>
      <c r="M35" s="183">
        <v>2.5</v>
      </c>
      <c r="N35" s="183">
        <v>5.85</v>
      </c>
      <c r="O35" s="183">
        <v>0</v>
      </c>
      <c r="P35" s="964">
        <v>0.55000000000000004</v>
      </c>
      <c r="Q35" s="955"/>
    </row>
    <row r="36" spans="9:17" ht="13.2">
      <c r="I36" s="955"/>
      <c r="J36" s="182" t="s">
        <v>525</v>
      </c>
      <c r="K36" s="183">
        <v>1.19</v>
      </c>
      <c r="L36" s="183">
        <v>2.71</v>
      </c>
      <c r="M36" s="183">
        <v>2.5</v>
      </c>
      <c r="N36" s="183">
        <v>5.85</v>
      </c>
      <c r="O36" s="183">
        <v>0</v>
      </c>
      <c r="P36" s="964">
        <v>0.55000000000000004</v>
      </c>
      <c r="Q36" s="955"/>
    </row>
    <row r="37" spans="9:17" ht="13.2">
      <c r="I37" s="963" t="s">
        <v>537</v>
      </c>
      <c r="J37" s="182" t="s">
        <v>524</v>
      </c>
      <c r="K37" s="183">
        <v>2.21</v>
      </c>
      <c r="L37" s="183">
        <v>11.5</v>
      </c>
      <c r="M37" s="183">
        <v>2</v>
      </c>
      <c r="N37" s="183">
        <v>13.25</v>
      </c>
      <c r="O37" s="183">
        <v>0</v>
      </c>
      <c r="P37" s="964">
        <v>2.46</v>
      </c>
      <c r="Q37" s="955"/>
    </row>
    <row r="38" spans="9:17" ht="13.2">
      <c r="I38" s="955"/>
      <c r="J38" s="182" t="s">
        <v>525</v>
      </c>
      <c r="K38" s="183">
        <v>2.21</v>
      </c>
      <c r="L38" s="183">
        <v>11.5</v>
      </c>
      <c r="M38" s="183">
        <v>2</v>
      </c>
      <c r="N38" s="183">
        <v>13.25</v>
      </c>
      <c r="O38" s="183">
        <v>0</v>
      </c>
      <c r="P38" s="964">
        <v>2.46</v>
      </c>
      <c r="Q38" s="955"/>
    </row>
    <row r="39" spans="9:17" ht="13.2">
      <c r="I39" s="963" t="s">
        <v>538</v>
      </c>
      <c r="J39" s="182" t="s">
        <v>524</v>
      </c>
      <c r="K39" s="183">
        <v>1.06</v>
      </c>
      <c r="L39" s="183">
        <v>1.89</v>
      </c>
      <c r="M39" s="183">
        <v>4.0999999999999996</v>
      </c>
      <c r="N39" s="183">
        <v>6.13</v>
      </c>
      <c r="O39" s="183">
        <v>0</v>
      </c>
      <c r="P39" s="964">
        <v>0.93</v>
      </c>
      <c r="Q39" s="955"/>
    </row>
    <row r="40" spans="9:17" ht="13.2">
      <c r="I40" s="955"/>
      <c r="J40" s="182" t="s">
        <v>525</v>
      </c>
      <c r="K40" s="183">
        <v>1.06</v>
      </c>
      <c r="L40" s="183">
        <v>1.89</v>
      </c>
      <c r="M40" s="183">
        <v>4.0999999999999996</v>
      </c>
      <c r="N40" s="183">
        <v>6.13</v>
      </c>
      <c r="O40" s="183">
        <v>0</v>
      </c>
      <c r="P40" s="964">
        <v>0.93</v>
      </c>
      <c r="Q40" s="955"/>
    </row>
    <row r="41" spans="9:17" ht="26.4">
      <c r="I41" s="190" t="s">
        <v>539</v>
      </c>
      <c r="J41" s="182"/>
      <c r="K41" s="183"/>
      <c r="L41" s="183"/>
      <c r="M41" s="183"/>
      <c r="N41" s="183"/>
      <c r="O41" s="183"/>
      <c r="P41" s="964"/>
      <c r="Q41" s="955"/>
    </row>
    <row r="42" spans="9:17" ht="13.2">
      <c r="I42" s="963" t="s">
        <v>540</v>
      </c>
      <c r="J42" s="182" t="s">
        <v>524</v>
      </c>
      <c r="K42" s="183">
        <v>0.56999999999999995</v>
      </c>
      <c r="L42" s="183">
        <v>12.2</v>
      </c>
      <c r="M42" s="183">
        <v>0</v>
      </c>
      <c r="N42" s="183">
        <v>10.65</v>
      </c>
      <c r="O42" s="183">
        <v>1.8</v>
      </c>
      <c r="P42" s="964">
        <v>0.32</v>
      </c>
      <c r="Q42" s="955"/>
    </row>
    <row r="43" spans="9:17" ht="13.2">
      <c r="I43" s="955"/>
      <c r="J43" s="182" t="s">
        <v>525</v>
      </c>
      <c r="K43" s="183">
        <v>0.56999999999999995</v>
      </c>
      <c r="L43" s="183">
        <v>12.2</v>
      </c>
      <c r="M43" s="183">
        <v>0</v>
      </c>
      <c r="N43" s="183">
        <v>10.65</v>
      </c>
      <c r="O43" s="183">
        <v>1.8</v>
      </c>
      <c r="P43" s="964">
        <v>0.32</v>
      </c>
      <c r="Q43" s="955"/>
    </row>
    <row r="44" spans="9:17" ht="13.2">
      <c r="I44" s="963" t="s">
        <v>541</v>
      </c>
      <c r="J44" s="182" t="s">
        <v>524</v>
      </c>
      <c r="K44" s="183">
        <v>0.47</v>
      </c>
      <c r="L44" s="183">
        <v>1.61</v>
      </c>
      <c r="M44" s="183">
        <v>1.69</v>
      </c>
      <c r="N44" s="183">
        <v>3.33</v>
      </c>
      <c r="O44" s="183">
        <v>0.01</v>
      </c>
      <c r="P44" s="964">
        <v>0.43</v>
      </c>
      <c r="Q44" s="955"/>
    </row>
    <row r="45" spans="9:17" ht="13.2">
      <c r="I45" s="955"/>
      <c r="J45" s="182" t="s">
        <v>525</v>
      </c>
      <c r="K45" s="183">
        <v>0.47</v>
      </c>
      <c r="L45" s="183">
        <v>1.61</v>
      </c>
      <c r="M45" s="183">
        <v>1.69</v>
      </c>
      <c r="N45" s="183">
        <v>3.33</v>
      </c>
      <c r="O45" s="183">
        <v>0.01</v>
      </c>
      <c r="P45" s="964">
        <v>0.43</v>
      </c>
      <c r="Q45" s="955"/>
    </row>
    <row r="46" spans="9:17" ht="13.2">
      <c r="I46" s="963" t="s">
        <v>542</v>
      </c>
      <c r="J46" s="182" t="s">
        <v>524</v>
      </c>
      <c r="K46" s="183">
        <v>47.66</v>
      </c>
      <c r="L46" s="183">
        <v>145.77000000000001</v>
      </c>
      <c r="M46" s="183">
        <v>4.7</v>
      </c>
      <c r="N46" s="183">
        <v>150</v>
      </c>
      <c r="O46" s="183">
        <v>0.45</v>
      </c>
      <c r="P46" s="964">
        <v>47.68</v>
      </c>
      <c r="Q46" s="955"/>
    </row>
    <row r="47" spans="9:17" ht="13.2">
      <c r="I47" s="955"/>
      <c r="J47" s="182" t="s">
        <v>525</v>
      </c>
      <c r="K47" s="183">
        <v>47.64</v>
      </c>
      <c r="L47" s="183">
        <v>145.77000000000001</v>
      </c>
      <c r="M47" s="183">
        <v>5</v>
      </c>
      <c r="N47" s="183">
        <v>150.30000000000001</v>
      </c>
      <c r="O47" s="183">
        <v>0.35</v>
      </c>
      <c r="P47" s="964">
        <v>47.76</v>
      </c>
      <c r="Q47" s="955"/>
    </row>
    <row r="48" spans="9:17" ht="13.2">
      <c r="I48" s="963" t="s">
        <v>543</v>
      </c>
      <c r="J48" s="182" t="s">
        <v>524</v>
      </c>
      <c r="K48" s="183">
        <v>0.92</v>
      </c>
      <c r="L48" s="183">
        <v>4</v>
      </c>
      <c r="M48" s="183">
        <v>0.03</v>
      </c>
      <c r="N48" s="183">
        <v>4</v>
      </c>
      <c r="O48" s="183">
        <v>0.4</v>
      </c>
      <c r="P48" s="964">
        <v>0.54</v>
      </c>
      <c r="Q48" s="955"/>
    </row>
    <row r="49" spans="9:19" ht="13.2">
      <c r="I49" s="955"/>
      <c r="J49" s="182" t="s">
        <v>525</v>
      </c>
      <c r="K49" s="183">
        <v>0.92</v>
      </c>
      <c r="L49" s="183">
        <v>4</v>
      </c>
      <c r="M49" s="183">
        <v>0.03</v>
      </c>
      <c r="N49" s="183">
        <v>4</v>
      </c>
      <c r="O49" s="183">
        <v>0.4</v>
      </c>
      <c r="P49" s="964">
        <v>0.54</v>
      </c>
      <c r="Q49" s="955"/>
      <c r="R49" s="175"/>
      <c r="S49" s="175"/>
    </row>
    <row r="50" spans="9:19" ht="13.2">
      <c r="I50" s="963" t="s">
        <v>544</v>
      </c>
      <c r="J50" s="182" t="s">
        <v>524</v>
      </c>
      <c r="K50" s="183">
        <v>3.2</v>
      </c>
      <c r="L50" s="183">
        <v>7.9</v>
      </c>
      <c r="M50" s="183">
        <v>0.7</v>
      </c>
      <c r="N50" s="183">
        <v>8.3800000000000008</v>
      </c>
      <c r="O50" s="183">
        <v>0.08</v>
      </c>
      <c r="P50" s="964">
        <v>3.35</v>
      </c>
      <c r="Q50" s="955"/>
      <c r="R50" s="175"/>
      <c r="S50" s="175"/>
    </row>
    <row r="51" spans="9:19" ht="13.2">
      <c r="I51" s="955"/>
      <c r="J51" s="182" t="s">
        <v>525</v>
      </c>
      <c r="K51" s="183">
        <v>3.2</v>
      </c>
      <c r="L51" s="183">
        <v>7.65</v>
      </c>
      <c r="M51" s="183">
        <v>0.7</v>
      </c>
      <c r="N51" s="183">
        <v>8.3000000000000007</v>
      </c>
      <c r="O51" s="183">
        <v>0.08</v>
      </c>
      <c r="P51" s="964">
        <v>3.18</v>
      </c>
      <c r="Q51" s="955"/>
      <c r="R51" s="175"/>
      <c r="S51" s="175"/>
    </row>
    <row r="52" spans="9:19" ht="13.2">
      <c r="I52" s="963" t="s">
        <v>545</v>
      </c>
      <c r="J52" s="182" t="s">
        <v>524</v>
      </c>
      <c r="K52" s="183">
        <v>0.15</v>
      </c>
      <c r="L52" s="183">
        <v>0.13</v>
      </c>
      <c r="M52" s="183">
        <v>0.7</v>
      </c>
      <c r="N52" s="183">
        <v>0.87</v>
      </c>
      <c r="O52" s="183">
        <v>0</v>
      </c>
      <c r="P52" s="964">
        <v>0.11</v>
      </c>
      <c r="Q52" s="955"/>
      <c r="R52" s="175"/>
      <c r="S52" s="175"/>
    </row>
    <row r="53" spans="9:19" ht="13.2">
      <c r="I53" s="955"/>
      <c r="J53" s="182" t="s">
        <v>525</v>
      </c>
      <c r="K53" s="183">
        <v>0.15</v>
      </c>
      <c r="L53" s="183">
        <v>0.13</v>
      </c>
      <c r="M53" s="183">
        <v>0.7</v>
      </c>
      <c r="N53" s="183">
        <v>0.87</v>
      </c>
      <c r="O53" s="183">
        <v>0</v>
      </c>
      <c r="P53" s="964">
        <v>0.11</v>
      </c>
      <c r="Q53" s="955"/>
      <c r="R53" s="175"/>
      <c r="S53" s="175"/>
    </row>
    <row r="54" spans="9:19" ht="13.2">
      <c r="I54" s="963" t="s">
        <v>546</v>
      </c>
      <c r="J54" s="182" t="s">
        <v>524</v>
      </c>
      <c r="K54" s="183">
        <v>1.19</v>
      </c>
      <c r="L54" s="183">
        <v>4.33</v>
      </c>
      <c r="M54" s="183">
        <v>0.47</v>
      </c>
      <c r="N54" s="183">
        <v>4.3899999999999997</v>
      </c>
      <c r="O54" s="183">
        <v>0</v>
      </c>
      <c r="P54" s="964">
        <v>1.59</v>
      </c>
      <c r="Q54" s="955"/>
      <c r="R54" s="175"/>
      <c r="S54" s="175"/>
    </row>
    <row r="55" spans="9:19" ht="13.2">
      <c r="I55" s="955"/>
      <c r="J55" s="182" t="s">
        <v>525</v>
      </c>
      <c r="K55" s="183">
        <v>1.19</v>
      </c>
      <c r="L55" s="183">
        <v>4.33</v>
      </c>
      <c r="M55" s="183">
        <v>0.47</v>
      </c>
      <c r="N55" s="183">
        <v>4.3899999999999997</v>
      </c>
      <c r="O55" s="183">
        <v>0</v>
      </c>
      <c r="P55" s="964">
        <v>1.59</v>
      </c>
      <c r="Q55" s="955"/>
      <c r="R55" s="175"/>
      <c r="S55" s="175"/>
    </row>
    <row r="56" spans="9:19" ht="13.8" thickBot="1">
      <c r="I56" s="191"/>
      <c r="J56" s="192"/>
      <c r="K56" s="193"/>
      <c r="L56" s="193"/>
      <c r="M56" s="193"/>
      <c r="N56" s="193"/>
      <c r="O56" s="193"/>
      <c r="P56" s="965"/>
      <c r="Q56" s="966"/>
      <c r="R56" s="175"/>
      <c r="S56" s="175"/>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scale="98"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0"/>
  <sheetViews>
    <sheetView zoomScaleNormal="100" workbookViewId="0">
      <selection activeCell="J15" sqref="J15:N15"/>
    </sheetView>
  </sheetViews>
  <sheetFormatPr baseColWidth="10" defaultColWidth="10.921875" defaultRowHeight="11.4"/>
  <cols>
    <col min="1" max="1" width="0.69140625" style="1" customWidth="1"/>
    <col min="2" max="2" width="14.921875" style="1" customWidth="1"/>
    <col min="3" max="5" width="9.69140625" style="1" customWidth="1"/>
    <col min="6" max="6" width="11.23046875" style="1" bestFit="1" customWidth="1"/>
    <col min="7" max="7" width="9.69140625" style="1" customWidth="1"/>
    <col min="8" max="8" width="2" style="1" customWidth="1"/>
    <col min="9" max="9" width="6.3828125" style="1" customWidth="1"/>
    <col min="10" max="10" width="5.3046875" style="1" customWidth="1"/>
    <col min="11" max="11" width="6.15234375" style="1" bestFit="1" customWidth="1"/>
    <col min="12" max="13" width="5.3046875" style="1" customWidth="1"/>
    <col min="14" max="14" width="6.921875" style="1" customWidth="1"/>
    <col min="15" max="17" width="5.765625" style="1" customWidth="1"/>
    <col min="18" max="16384" width="10.921875" style="1"/>
  </cols>
  <sheetData>
    <row r="1" spans="2:24" s="15" customFormat="1" ht="13.2">
      <c r="B1" s="766" t="s">
        <v>96</v>
      </c>
      <c r="C1" s="766"/>
      <c r="D1" s="766"/>
      <c r="E1" s="766"/>
      <c r="F1" s="766"/>
      <c r="G1" s="766"/>
    </row>
    <row r="2" spans="2:24" s="15" customFormat="1" ht="13.2">
      <c r="B2" s="17"/>
      <c r="C2" s="17"/>
      <c r="D2" s="17"/>
      <c r="E2" s="17"/>
      <c r="F2" s="17"/>
      <c r="G2" s="17"/>
    </row>
    <row r="3" spans="2:24" s="15" customFormat="1" ht="13.2">
      <c r="B3" s="766" t="s">
        <v>474</v>
      </c>
      <c r="C3" s="766"/>
      <c r="D3" s="766"/>
      <c r="E3" s="766"/>
      <c r="F3" s="766"/>
      <c r="G3" s="766"/>
    </row>
    <row r="4" spans="2:24" s="15" customFormat="1" ht="15.75" customHeight="1">
      <c r="B4" s="766" t="s">
        <v>747</v>
      </c>
      <c r="C4" s="766"/>
      <c r="D4" s="766"/>
      <c r="E4" s="766"/>
      <c r="F4" s="766"/>
      <c r="G4" s="766"/>
      <c r="H4" s="23"/>
      <c r="J4" s="277"/>
      <c r="K4" s="183"/>
      <c r="L4" s="183"/>
      <c r="M4" s="183"/>
      <c r="N4" s="183"/>
      <c r="O4" s="183"/>
      <c r="P4" s="964"/>
      <c r="Q4" s="967"/>
    </row>
    <row r="5" spans="2:24" s="22" customFormat="1" ht="28.05" customHeight="1">
      <c r="B5" s="103" t="s">
        <v>398</v>
      </c>
      <c r="C5" s="103" t="s">
        <v>385</v>
      </c>
      <c r="D5" s="103" t="s">
        <v>90</v>
      </c>
      <c r="E5" s="103" t="s">
        <v>91</v>
      </c>
      <c r="F5" s="103" t="s">
        <v>99</v>
      </c>
      <c r="G5" s="103" t="s">
        <v>387</v>
      </c>
      <c r="I5" s="194"/>
      <c r="J5" s="278"/>
      <c r="K5" s="183"/>
      <c r="L5" s="183"/>
      <c r="M5" s="183"/>
      <c r="N5" s="183"/>
      <c r="O5" s="183"/>
      <c r="P5" s="964"/>
      <c r="Q5" s="955"/>
    </row>
    <row r="6" spans="2:24" s="22" customFormat="1" ht="15.75" customHeight="1">
      <c r="B6" s="32" t="s">
        <v>102</v>
      </c>
      <c r="C6" s="337">
        <v>110.62</v>
      </c>
      <c r="D6" s="337">
        <v>478.42</v>
      </c>
      <c r="E6" s="337">
        <v>481.56</v>
      </c>
      <c r="F6" s="337">
        <v>107.48</v>
      </c>
      <c r="G6" s="40">
        <f t="shared" ref="G6:G12" si="0">+F6/E6</f>
        <v>0.22319129495805301</v>
      </c>
      <c r="I6" s="195"/>
      <c r="J6" s="278"/>
      <c r="K6" s="183"/>
      <c r="L6" s="183"/>
      <c r="M6" s="183"/>
      <c r="N6" s="183"/>
      <c r="O6" s="183"/>
      <c r="P6" s="964"/>
      <c r="Q6" s="955"/>
    </row>
    <row r="7" spans="2:24" s="22" customFormat="1" ht="15.75" customHeight="1">
      <c r="B7" s="32" t="s">
        <v>103</v>
      </c>
      <c r="C7" s="337">
        <v>113.76</v>
      </c>
      <c r="D7" s="337">
        <v>478.7</v>
      </c>
      <c r="E7" s="337">
        <v>478.09</v>
      </c>
      <c r="F7" s="337">
        <v>114.37</v>
      </c>
      <c r="G7" s="40">
        <f t="shared" si="0"/>
        <v>0.23922274048819261</v>
      </c>
      <c r="I7" s="1"/>
      <c r="J7" s="1"/>
      <c r="K7" s="1"/>
      <c r="L7" s="1"/>
      <c r="M7" s="1"/>
      <c r="N7" s="1"/>
      <c r="O7" s="1"/>
      <c r="P7" s="1"/>
    </row>
    <row r="8" spans="2:24" s="22" customFormat="1" ht="15.75" customHeight="1">
      <c r="B8" s="670" t="s">
        <v>104</v>
      </c>
      <c r="C8" s="337">
        <v>127.89</v>
      </c>
      <c r="D8" s="337">
        <v>472.94</v>
      </c>
      <c r="E8" s="337">
        <v>468.09</v>
      </c>
      <c r="F8" s="337">
        <v>132.74</v>
      </c>
      <c r="G8" s="40">
        <f t="shared" si="0"/>
        <v>0.28357794441239936</v>
      </c>
      <c r="I8" s="1"/>
      <c r="J8" s="1"/>
      <c r="K8" s="1"/>
      <c r="L8" s="1"/>
      <c r="M8" s="1"/>
      <c r="N8" s="1"/>
      <c r="O8" s="1"/>
      <c r="P8" s="1"/>
    </row>
    <row r="9" spans="2:24" s="22" customFormat="1" ht="15.75" customHeight="1">
      <c r="B9" s="670" t="s">
        <v>105</v>
      </c>
      <c r="C9" s="337">
        <v>142.63999999999999</v>
      </c>
      <c r="D9" s="337">
        <v>490.95</v>
      </c>
      <c r="E9" s="337">
        <v>483.69</v>
      </c>
      <c r="F9" s="337">
        <v>149.88999999999999</v>
      </c>
      <c r="G9" s="40">
        <f t="shared" si="0"/>
        <v>0.30988856498997291</v>
      </c>
      <c r="I9" s="1"/>
      <c r="J9" s="1"/>
      <c r="K9" s="1"/>
      <c r="L9" s="1"/>
      <c r="M9" s="1"/>
      <c r="N9" s="1"/>
      <c r="O9" s="1"/>
      <c r="P9" s="1"/>
    </row>
    <row r="10" spans="2:24" s="22" customFormat="1" ht="15.75" customHeight="1">
      <c r="B10" s="670" t="s">
        <v>106</v>
      </c>
      <c r="C10" s="338">
        <v>149.88999999999999</v>
      </c>
      <c r="D10" s="338">
        <v>494.92</v>
      </c>
      <c r="E10" s="338">
        <v>482.28</v>
      </c>
      <c r="F10" s="338">
        <v>162.53</v>
      </c>
      <c r="G10" s="40">
        <f t="shared" si="0"/>
        <v>0.33700340051422412</v>
      </c>
      <c r="H10" s="97"/>
      <c r="I10" s="243"/>
      <c r="J10" s="26"/>
      <c r="R10" s="1"/>
      <c r="V10" s="1"/>
      <c r="X10" s="97"/>
    </row>
    <row r="11" spans="2:24" s="22" customFormat="1" ht="15.75" customHeight="1">
      <c r="B11" s="670" t="s">
        <v>392</v>
      </c>
      <c r="C11" s="419">
        <v>163.74</v>
      </c>
      <c r="D11" s="419">
        <v>497.34</v>
      </c>
      <c r="E11" s="419">
        <v>484.59</v>
      </c>
      <c r="F11" s="576">
        <v>176.49</v>
      </c>
      <c r="G11" s="40">
        <f t="shared" si="0"/>
        <v>0.36420479167956421</v>
      </c>
      <c r="H11" s="97"/>
      <c r="I11" s="243"/>
      <c r="J11" s="26"/>
      <c r="K11" s="95"/>
      <c r="R11" s="1"/>
      <c r="V11" s="1"/>
      <c r="X11" s="97"/>
    </row>
    <row r="12" spans="2:24" s="22" customFormat="1" ht="15.75" customHeight="1">
      <c r="B12" s="670" t="s">
        <v>108</v>
      </c>
      <c r="C12" s="699">
        <v>176.66</v>
      </c>
      <c r="D12" s="699">
        <v>498.82</v>
      </c>
      <c r="E12" s="699">
        <v>493.74</v>
      </c>
      <c r="F12" s="699">
        <v>181.74</v>
      </c>
      <c r="G12" s="600">
        <f t="shared" si="0"/>
        <v>0.36808846761453395</v>
      </c>
      <c r="H12" s="97"/>
      <c r="I12" s="243"/>
      <c r="J12" s="26"/>
      <c r="K12" s="95"/>
      <c r="R12" s="1"/>
      <c r="V12" s="1"/>
      <c r="X12" s="97"/>
    </row>
    <row r="13" spans="2:24" s="22" customFormat="1" ht="13.2">
      <c r="B13" s="670" t="s">
        <v>139</v>
      </c>
      <c r="C13" s="700">
        <v>182.06</v>
      </c>
      <c r="D13" s="700">
        <v>509.31</v>
      </c>
      <c r="E13" s="700">
        <v>503.57</v>
      </c>
      <c r="F13" s="700">
        <v>187.81</v>
      </c>
      <c r="G13" s="600">
        <f>+F13/E13</f>
        <v>0.37295708640308201</v>
      </c>
      <c r="H13" s="26"/>
      <c r="I13" s="279"/>
      <c r="J13" s="195"/>
      <c r="K13" s="95" t="s">
        <v>690</v>
      </c>
      <c r="L13" s="195"/>
      <c r="M13" s="195"/>
      <c r="N13" s="195"/>
      <c r="O13" s="195"/>
      <c r="P13" s="195"/>
      <c r="Q13" s="195"/>
      <c r="R13" s="195"/>
      <c r="S13" s="195"/>
      <c r="T13" s="195"/>
      <c r="U13" s="195"/>
      <c r="V13" s="195"/>
      <c r="W13" s="195"/>
    </row>
    <row r="14" spans="2:24" s="22" customFormat="1" ht="13.2">
      <c r="B14" s="670" t="s">
        <v>729</v>
      </c>
      <c r="C14" s="700">
        <v>188.01</v>
      </c>
      <c r="D14" s="700">
        <v>513.66999999999996</v>
      </c>
      <c r="E14" s="700">
        <v>514.38</v>
      </c>
      <c r="F14" s="700">
        <v>187.31</v>
      </c>
      <c r="G14" s="600">
        <f>+F14/E14</f>
        <v>0.36414712858198223</v>
      </c>
      <c r="H14" s="26"/>
      <c r="I14" s="279"/>
      <c r="J14" s="195"/>
      <c r="K14" s="95"/>
      <c r="L14" s="195"/>
      <c r="M14" s="195"/>
      <c r="N14" s="195"/>
      <c r="O14" s="195"/>
      <c r="P14" s="195"/>
      <c r="Q14" s="195"/>
      <c r="R14" s="195"/>
      <c r="S14" s="195"/>
      <c r="T14" s="195"/>
      <c r="U14" s="195"/>
      <c r="V14" s="195"/>
      <c r="W14" s="195"/>
    </row>
    <row r="15" spans="2:24" s="22" customFormat="1" ht="15.75" customHeight="1">
      <c r="B15" s="52" t="s">
        <v>730</v>
      </c>
      <c r="C15" s="337">
        <v>187.31</v>
      </c>
      <c r="D15" s="337">
        <v>515.35</v>
      </c>
      <c r="E15" s="337">
        <v>519.22</v>
      </c>
      <c r="F15" s="700">
        <v>186.26</v>
      </c>
      <c r="G15" s="600">
        <f>+F15/E15</f>
        <v>0.35873040329725353</v>
      </c>
      <c r="H15" s="26"/>
      <c r="I15" s="279"/>
      <c r="J15" s="752"/>
      <c r="K15" s="752"/>
      <c r="L15" s="752"/>
      <c r="M15" s="752"/>
      <c r="N15" s="195"/>
      <c r="O15" s="195"/>
      <c r="P15" s="195"/>
      <c r="Q15" s="195"/>
      <c r="R15" s="195"/>
      <c r="S15" s="195"/>
      <c r="T15" s="195"/>
      <c r="U15" s="195"/>
      <c r="V15" s="195"/>
      <c r="W15" s="195"/>
    </row>
    <row r="16" spans="2:24" s="22" customFormat="1" ht="19.05" customHeight="1">
      <c r="B16" s="926" t="s">
        <v>124</v>
      </c>
      <c r="C16" s="926"/>
      <c r="D16" s="926"/>
      <c r="E16" s="926"/>
      <c r="F16" s="926"/>
      <c r="G16" s="926"/>
      <c r="H16" s="26"/>
      <c r="I16" s="95"/>
      <c r="K16" s="95"/>
      <c r="R16" s="1"/>
    </row>
    <row r="17" spans="2:18" s="22" customFormat="1" ht="19.05" customHeight="1">
      <c r="B17" s="29"/>
      <c r="C17" s="29"/>
      <c r="D17" s="29"/>
      <c r="E17" s="29"/>
      <c r="F17" s="29"/>
      <c r="G17" s="29"/>
      <c r="H17" s="26"/>
      <c r="I17" s="95"/>
      <c r="K17" s="95"/>
      <c r="R17" s="1"/>
    </row>
    <row r="18" spans="2:18" ht="15" customHeight="1">
      <c r="C18" s="299"/>
      <c r="D18" s="299"/>
      <c r="E18" s="299"/>
      <c r="F18" s="299"/>
      <c r="G18" s="299"/>
      <c r="H18" s="4"/>
    </row>
    <row r="19" spans="2:18" ht="10.050000000000001" customHeight="1">
      <c r="H19" s="4"/>
    </row>
    <row r="20" spans="2:18" ht="15" customHeight="1">
      <c r="D20" s="12"/>
      <c r="H20" s="4"/>
    </row>
    <row r="21" spans="2:18" ht="15" customHeight="1">
      <c r="H21" s="4"/>
    </row>
    <row r="22" spans="2:18" ht="15" customHeight="1">
      <c r="H22" s="4"/>
    </row>
    <row r="23" spans="2:18" ht="15" customHeight="1">
      <c r="H23" s="5"/>
      <c r="I23" s="9"/>
    </row>
    <row r="24" spans="2:18" ht="15" customHeight="1">
      <c r="H24" s="5"/>
    </row>
    <row r="25" spans="2:18" ht="15" customHeight="1">
      <c r="H25" s="5"/>
      <c r="K25" s="12"/>
    </row>
    <row r="26" spans="2:18" ht="15" customHeight="1">
      <c r="H26" s="5"/>
    </row>
    <row r="27" spans="2:18" ht="15" customHeight="1">
      <c r="H27" s="5"/>
    </row>
    <row r="28" spans="2:18" ht="15" customHeight="1">
      <c r="H28" s="5"/>
    </row>
    <row r="29" spans="2:18" ht="15" customHeight="1">
      <c r="H29" s="5"/>
    </row>
    <row r="30" spans="2:18" ht="15" customHeight="1">
      <c r="H30" s="5"/>
      <c r="K30" s="12"/>
    </row>
    <row r="31" spans="2:18" ht="15" customHeight="1">
      <c r="H31" s="5"/>
    </row>
    <row r="32" spans="2:18" ht="15" customHeight="1">
      <c r="I32" s="196"/>
      <c r="J32" s="197"/>
      <c r="K32" s="197"/>
      <c r="L32" s="197"/>
      <c r="M32" s="197"/>
      <c r="N32" s="198"/>
    </row>
    <row r="34" spans="3:7" ht="14.25" customHeight="1"/>
    <row r="35" spans="3:7" ht="14.25" customHeight="1"/>
    <row r="36" spans="3:7" ht="14.25" customHeight="1"/>
    <row r="37" spans="3:7" ht="14.25" customHeight="1"/>
    <row r="39" spans="3:7">
      <c r="C39" s="299"/>
      <c r="D39" s="299"/>
      <c r="E39" s="299"/>
      <c r="F39" s="299"/>
      <c r="G39" s="299"/>
    </row>
    <row r="40" spans="3:7" ht="17.399999999999999">
      <c r="C40" s="11"/>
      <c r="D40" s="246"/>
      <c r="E40" s="11"/>
      <c r="F40" s="11"/>
      <c r="G40" s="11"/>
    </row>
  </sheetData>
  <mergeCells count="7">
    <mergeCell ref="P6:Q6"/>
    <mergeCell ref="B16:G16"/>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zoomScaleNormal="100" workbookViewId="0">
      <selection activeCell="E16" sqref="E16"/>
    </sheetView>
  </sheetViews>
  <sheetFormatPr baseColWidth="10" defaultColWidth="10.921875" defaultRowHeight="11.4"/>
  <cols>
    <col min="1" max="1" width="11.84375" style="1" customWidth="1"/>
    <col min="2" max="6" width="9" style="1" customWidth="1"/>
    <col min="7" max="7" width="10.3828125" style="1" customWidth="1"/>
    <col min="8" max="8" width="6.921875" style="21" customWidth="1"/>
    <col min="9" max="14" width="10.921875" style="21"/>
    <col min="15" max="18" width="10.921875" style="62"/>
    <col min="19" max="16384" width="10.921875" style="1"/>
  </cols>
  <sheetData>
    <row r="1" spans="1:18" s="15" customFormat="1" ht="13.2">
      <c r="A1" s="766" t="s">
        <v>96</v>
      </c>
      <c r="B1" s="766"/>
      <c r="C1" s="766"/>
      <c r="D1" s="766"/>
      <c r="E1" s="766"/>
      <c r="F1" s="766"/>
      <c r="G1" s="766"/>
      <c r="H1" s="518"/>
      <c r="I1" s="518"/>
      <c r="J1" s="518"/>
      <c r="K1" s="518"/>
      <c r="L1" s="518"/>
      <c r="M1" s="518"/>
      <c r="N1" s="518"/>
      <c r="O1" s="60"/>
      <c r="P1" s="60"/>
      <c r="Q1" s="60"/>
      <c r="R1" s="60"/>
    </row>
    <row r="2" spans="1:18" s="15" customFormat="1" ht="13.2">
      <c r="A2" s="17"/>
      <c r="B2" s="17"/>
      <c r="C2" s="17"/>
      <c r="D2" s="17"/>
      <c r="E2" s="17"/>
      <c r="F2" s="17"/>
      <c r="G2" s="17"/>
      <c r="H2" s="518"/>
      <c r="I2" s="518"/>
      <c r="J2" s="518"/>
      <c r="K2" s="518"/>
      <c r="L2" s="518"/>
      <c r="M2" s="518"/>
      <c r="N2" s="518"/>
      <c r="O2" s="60"/>
      <c r="P2" s="60"/>
      <c r="Q2" s="60"/>
      <c r="R2" s="60"/>
    </row>
    <row r="3" spans="1:18" s="15" customFormat="1" ht="13.2">
      <c r="A3" s="766" t="s">
        <v>97</v>
      </c>
      <c r="B3" s="766"/>
      <c r="C3" s="766"/>
      <c r="D3" s="766"/>
      <c r="E3" s="766"/>
      <c r="F3" s="766"/>
      <c r="G3" s="766"/>
      <c r="H3" s="518"/>
      <c r="I3" s="518"/>
      <c r="J3" s="518"/>
      <c r="K3" s="518"/>
      <c r="L3" s="518"/>
      <c r="M3" s="518"/>
      <c r="N3" s="518"/>
      <c r="O3" s="60"/>
      <c r="P3" s="60"/>
      <c r="Q3" s="60"/>
      <c r="R3" s="60"/>
    </row>
    <row r="4" spans="1:18" s="15" customFormat="1" ht="13.2">
      <c r="A4" s="783" t="s">
        <v>747</v>
      </c>
      <c r="B4" s="783"/>
      <c r="C4" s="783"/>
      <c r="D4" s="783"/>
      <c r="E4" s="783"/>
      <c r="F4" s="783"/>
      <c r="G4" s="783"/>
      <c r="H4" s="518"/>
      <c r="I4" s="518"/>
      <c r="J4" s="518"/>
      <c r="K4" s="518"/>
      <c r="L4" s="518"/>
      <c r="M4" s="518"/>
      <c r="N4" s="518"/>
      <c r="O4" s="60"/>
      <c r="P4" s="60"/>
      <c r="Q4" s="60"/>
      <c r="R4" s="60"/>
    </row>
    <row r="5" spans="1:18" s="14" customFormat="1" ht="49.8" customHeight="1">
      <c r="A5" s="296" t="s">
        <v>98</v>
      </c>
      <c r="B5" s="296" t="s">
        <v>89</v>
      </c>
      <c r="C5" s="296" t="s">
        <v>90</v>
      </c>
      <c r="D5" s="296" t="s">
        <v>91</v>
      </c>
      <c r="E5" s="296" t="s">
        <v>92</v>
      </c>
      <c r="F5" s="296" t="s">
        <v>99</v>
      </c>
      <c r="G5" s="296" t="s">
        <v>100</v>
      </c>
      <c r="H5" s="518"/>
      <c r="I5" s="20"/>
      <c r="J5" s="20"/>
      <c r="K5" s="20"/>
      <c r="L5" s="20"/>
      <c r="M5" s="20"/>
      <c r="N5" s="20"/>
      <c r="O5" s="63"/>
      <c r="P5" s="63"/>
      <c r="Q5" s="63"/>
      <c r="R5" s="63"/>
    </row>
    <row r="6" spans="1:18" s="14" customFormat="1" ht="15.75" customHeight="1">
      <c r="A6" s="57" t="s">
        <v>101</v>
      </c>
      <c r="B6" s="336">
        <v>197.64400000000001</v>
      </c>
      <c r="C6" s="336">
        <v>658.649</v>
      </c>
      <c r="D6" s="336">
        <v>679.38300000000004</v>
      </c>
      <c r="E6" s="336">
        <v>137.33000000000001</v>
      </c>
      <c r="F6" s="336">
        <v>176.91</v>
      </c>
      <c r="G6" s="40">
        <f>F6/D6</f>
        <v>0.26039803763120356</v>
      </c>
      <c r="H6" s="93"/>
      <c r="I6" s="518"/>
      <c r="J6" s="518"/>
      <c r="K6" s="518"/>
      <c r="L6" s="518"/>
      <c r="M6" s="518"/>
      <c r="N6" s="518"/>
      <c r="O6" s="518"/>
      <c r="P6" s="518"/>
      <c r="Q6" s="518"/>
      <c r="R6" s="518"/>
    </row>
    <row r="7" spans="1:18" s="14" customFormat="1" ht="15.75" customHeight="1">
      <c r="A7" s="57" t="s">
        <v>102</v>
      </c>
      <c r="B7" s="336">
        <v>177.06</v>
      </c>
      <c r="C7" s="336">
        <v>715.36</v>
      </c>
      <c r="D7" s="336">
        <v>698.33</v>
      </c>
      <c r="E7" s="336">
        <v>165.91</v>
      </c>
      <c r="F7" s="336">
        <v>194.09</v>
      </c>
      <c r="G7" s="40">
        <f t="shared" ref="G7:G15" si="0">F7/D7</f>
        <v>0.27793450088067245</v>
      </c>
      <c r="H7" s="93"/>
      <c r="I7" s="518"/>
      <c r="J7" s="518"/>
      <c r="K7" s="518"/>
      <c r="L7" s="518"/>
      <c r="M7" s="518"/>
      <c r="N7" s="518"/>
      <c r="O7" s="518"/>
      <c r="P7" s="518"/>
      <c r="Q7" s="518"/>
      <c r="R7" s="518"/>
    </row>
    <row r="8" spans="1:18" s="14" customFormat="1" ht="15.75" customHeight="1">
      <c r="A8" s="57" t="s">
        <v>103</v>
      </c>
      <c r="B8" s="336">
        <v>194.69</v>
      </c>
      <c r="C8" s="336">
        <v>728.26</v>
      </c>
      <c r="D8" s="336">
        <v>705.74</v>
      </c>
      <c r="E8" s="336">
        <v>164.42</v>
      </c>
      <c r="F8" s="336">
        <v>217.2</v>
      </c>
      <c r="G8" s="40">
        <f t="shared" si="0"/>
        <v>0.30776206534984551</v>
      </c>
      <c r="H8" s="93"/>
      <c r="I8" s="518"/>
      <c r="J8" s="518"/>
      <c r="K8" s="518"/>
      <c r="L8" s="518"/>
      <c r="M8" s="518"/>
      <c r="N8" s="518"/>
      <c r="O8" s="518"/>
      <c r="P8" s="518"/>
      <c r="Q8" s="518"/>
      <c r="R8" s="518"/>
    </row>
    <row r="9" spans="1:18" s="14" customFormat="1" ht="15.75" customHeight="1">
      <c r="A9" s="57" t="s">
        <v>104</v>
      </c>
      <c r="B9" s="336">
        <v>218.69</v>
      </c>
      <c r="C9" s="336">
        <v>735.21</v>
      </c>
      <c r="D9" s="336">
        <v>711.16</v>
      </c>
      <c r="E9" s="336">
        <v>172.84</v>
      </c>
      <c r="F9" s="336">
        <v>242.74</v>
      </c>
      <c r="G9" s="40">
        <f t="shared" si="0"/>
        <v>0.34132965858597225</v>
      </c>
      <c r="H9" s="93"/>
      <c r="I9" s="518"/>
      <c r="J9" s="518"/>
      <c r="K9" s="518"/>
      <c r="L9" s="518"/>
      <c r="M9" s="518"/>
      <c r="N9" s="518"/>
      <c r="O9" s="518"/>
      <c r="P9" s="518"/>
      <c r="Q9" s="518"/>
      <c r="R9" s="518"/>
    </row>
    <row r="10" spans="1:18" s="14" customFormat="1" ht="15.75" customHeight="1">
      <c r="A10" s="57" t="s">
        <v>105</v>
      </c>
      <c r="B10" s="336">
        <v>245</v>
      </c>
      <c r="C10" s="336">
        <v>756.4</v>
      </c>
      <c r="D10" s="336">
        <v>739.09</v>
      </c>
      <c r="E10" s="336">
        <v>183.36</v>
      </c>
      <c r="F10" s="336">
        <v>262.08</v>
      </c>
      <c r="G10" s="40">
        <f t="shared" si="0"/>
        <v>0.35459822213803455</v>
      </c>
      <c r="H10" s="93"/>
      <c r="I10" s="518"/>
      <c r="J10" s="518"/>
      <c r="K10" s="518"/>
      <c r="L10" s="518"/>
      <c r="M10" s="518"/>
      <c r="N10" s="518"/>
      <c r="O10" s="518"/>
      <c r="P10" s="518"/>
      <c r="Q10" s="518"/>
      <c r="R10" s="518"/>
    </row>
    <row r="11" spans="1:18" s="14" customFormat="1" ht="15.75" customHeight="1">
      <c r="A11" s="24" t="s">
        <v>106</v>
      </c>
      <c r="B11" s="336">
        <v>262.79000000000002</v>
      </c>
      <c r="C11" s="336">
        <v>762.88</v>
      </c>
      <c r="D11" s="336">
        <v>741.98</v>
      </c>
      <c r="E11" s="336">
        <v>182.47</v>
      </c>
      <c r="F11" s="336">
        <v>283.69</v>
      </c>
      <c r="G11" s="40">
        <f t="shared" si="0"/>
        <v>0.38234184209816974</v>
      </c>
      <c r="H11" s="93"/>
      <c r="I11" s="518"/>
      <c r="J11" s="518"/>
      <c r="K11" s="518"/>
      <c r="L11" s="518"/>
      <c r="M11" s="518"/>
      <c r="N11" s="518"/>
      <c r="O11" s="518"/>
      <c r="P11" s="518"/>
      <c r="Q11" s="518"/>
      <c r="R11" s="518"/>
    </row>
    <row r="12" spans="1:18" s="14" customFormat="1" ht="15.75" customHeight="1">
      <c r="A12" s="24" t="s">
        <v>107</v>
      </c>
      <c r="B12" s="336">
        <v>287.18</v>
      </c>
      <c r="C12" s="336">
        <v>731</v>
      </c>
      <c r="D12" s="336">
        <v>734.81</v>
      </c>
      <c r="E12" s="336">
        <v>173.67</v>
      </c>
      <c r="F12" s="336">
        <v>283.37</v>
      </c>
      <c r="G12" s="40">
        <f t="shared" si="0"/>
        <v>0.38563710346892399</v>
      </c>
      <c r="H12" s="93"/>
      <c r="I12" s="518"/>
      <c r="J12" s="518"/>
      <c r="K12" s="518"/>
      <c r="L12" s="518"/>
      <c r="M12" s="518"/>
      <c r="N12" s="518"/>
      <c r="O12" s="518"/>
      <c r="P12" s="518"/>
      <c r="Q12" s="518"/>
      <c r="R12" s="518"/>
    </row>
    <row r="13" spans="1:18" s="14" customFormat="1" ht="15.75" customHeight="1">
      <c r="A13" s="331" t="s">
        <v>108</v>
      </c>
      <c r="B13" s="416">
        <v>281.20999999999998</v>
      </c>
      <c r="C13" s="416">
        <v>762.37</v>
      </c>
      <c r="D13" s="416">
        <v>746.75</v>
      </c>
      <c r="E13" s="416">
        <v>193.87</v>
      </c>
      <c r="F13" s="416">
        <v>296.83</v>
      </c>
      <c r="G13" s="600">
        <f t="shared" si="0"/>
        <v>0.39749581519919652</v>
      </c>
      <c r="H13" s="93"/>
      <c r="I13" s="95"/>
      <c r="J13" s="518"/>
      <c r="K13" s="518"/>
      <c r="L13" s="518"/>
      <c r="M13" s="518"/>
      <c r="N13" s="518"/>
      <c r="O13" s="518"/>
      <c r="P13" s="518"/>
      <c r="Q13" s="518"/>
      <c r="R13" s="518"/>
    </row>
    <row r="14" spans="1:18" s="14" customFormat="1" ht="13.2">
      <c r="A14" s="331" t="s">
        <v>139</v>
      </c>
      <c r="B14" s="419">
        <v>297.92</v>
      </c>
      <c r="C14" s="419">
        <v>775.72</v>
      </c>
      <c r="D14" s="419">
        <v>782.42</v>
      </c>
      <c r="E14" s="419">
        <v>203.34</v>
      </c>
      <c r="F14" s="419">
        <v>291.22000000000003</v>
      </c>
      <c r="G14" s="600">
        <f t="shared" si="0"/>
        <v>0.37220418700953456</v>
      </c>
      <c r="H14" s="93"/>
      <c r="I14" s="95"/>
      <c r="J14" s="519"/>
      <c r="K14" s="518"/>
      <c r="L14" s="518"/>
      <c r="M14" s="518"/>
      <c r="N14" s="518"/>
      <c r="O14" s="518"/>
      <c r="P14" s="518"/>
      <c r="Q14" s="518"/>
      <c r="R14" s="518"/>
    </row>
    <row r="15" spans="1:18" s="14" customFormat="1" ht="15.75" customHeight="1">
      <c r="A15" s="331" t="s">
        <v>729</v>
      </c>
      <c r="B15" s="419">
        <v>291.57</v>
      </c>
      <c r="C15" s="419">
        <v>779.03</v>
      </c>
      <c r="D15" s="419">
        <v>791.21</v>
      </c>
      <c r="E15" s="419">
        <v>199.39</v>
      </c>
      <c r="F15" s="419">
        <v>279.39999999999998</v>
      </c>
      <c r="G15" s="600">
        <f t="shared" si="0"/>
        <v>0.35313001605136435</v>
      </c>
      <c r="H15" s="93"/>
      <c r="I15" s="95"/>
      <c r="J15" s="519"/>
      <c r="K15" s="518"/>
      <c r="L15" s="518"/>
      <c r="M15" s="518"/>
      <c r="N15" s="518"/>
      <c r="O15" s="518"/>
      <c r="P15" s="518"/>
      <c r="Q15" s="518"/>
      <c r="R15" s="518"/>
    </row>
    <row r="16" spans="1:18" s="14" customFormat="1" ht="15.75" customHeight="1">
      <c r="A16" s="334" t="s">
        <v>730</v>
      </c>
      <c r="B16" s="337">
        <v>279.39999999999998</v>
      </c>
      <c r="C16" s="337">
        <v>773.43</v>
      </c>
      <c r="D16" s="337">
        <v>785.99</v>
      </c>
      <c r="E16" s="337">
        <v>204.59</v>
      </c>
      <c r="F16" s="337">
        <v>266.85000000000002</v>
      </c>
      <c r="G16" s="600">
        <f>F16/D16</f>
        <v>0.33950813623582998</v>
      </c>
      <c r="H16" s="93"/>
      <c r="I16" s="95"/>
      <c r="J16" s="519"/>
      <c r="K16" s="518"/>
      <c r="L16" s="518"/>
      <c r="M16" s="518"/>
      <c r="N16" s="518"/>
      <c r="O16" s="518"/>
      <c r="P16" s="518"/>
      <c r="Q16" s="518"/>
      <c r="R16" s="518"/>
    </row>
    <row r="17" spans="1:18" s="14" customFormat="1" ht="15" customHeight="1">
      <c r="A17" s="785" t="s">
        <v>109</v>
      </c>
      <c r="B17" s="785"/>
      <c r="C17" s="785"/>
      <c r="D17" s="785"/>
      <c r="E17" s="785"/>
      <c r="F17" s="785"/>
      <c r="G17" s="785"/>
      <c r="H17" s="22"/>
      <c r="I17" s="518"/>
      <c r="J17" s="518"/>
      <c r="K17" s="518"/>
      <c r="L17" s="518"/>
      <c r="M17" s="518"/>
      <c r="N17" s="518"/>
      <c r="O17" s="518"/>
      <c r="P17" s="518"/>
      <c r="Q17" s="518"/>
      <c r="R17" s="518"/>
    </row>
    <row r="18" spans="1:18" s="14" customFormat="1" ht="10.050000000000001" customHeight="1">
      <c r="A18" s="303"/>
      <c r="B18" s="394"/>
      <c r="C18" s="394"/>
      <c r="D18" s="394"/>
      <c r="E18" s="394"/>
      <c r="F18" s="394"/>
      <c r="G18" s="303"/>
      <c r="H18" s="22"/>
      <c r="I18" s="518"/>
      <c r="J18" s="518"/>
      <c r="K18" s="518"/>
      <c r="L18" s="518"/>
      <c r="M18" s="518"/>
      <c r="N18" s="518"/>
      <c r="O18" s="518"/>
      <c r="P18" s="518"/>
      <c r="Q18" s="518"/>
      <c r="R18" s="518"/>
    </row>
    <row r="19" spans="1:18">
      <c r="C19" s="12"/>
    </row>
    <row r="20" spans="1:18" ht="15" customHeight="1">
      <c r="H20" s="518"/>
    </row>
    <row r="21" spans="1:18" ht="10.050000000000001" customHeight="1">
      <c r="O21" s="21"/>
      <c r="P21" s="21"/>
      <c r="Q21" s="21"/>
    </row>
    <row r="22" spans="1:18" ht="15" customHeight="1">
      <c r="O22" s="21"/>
      <c r="P22" s="21"/>
      <c r="Q22" s="21"/>
    </row>
    <row r="23" spans="1:18" ht="15" customHeight="1">
      <c r="O23" s="21"/>
      <c r="P23" s="21"/>
      <c r="Q23" s="21"/>
    </row>
    <row r="24" spans="1:18" ht="15" customHeight="1">
      <c r="O24" s="21"/>
      <c r="P24" s="21"/>
      <c r="Q24" s="21"/>
    </row>
    <row r="25" spans="1:18" ht="15" customHeight="1"/>
    <row r="26" spans="1:18" ht="15" customHeight="1"/>
    <row r="27" spans="1:18" ht="15" customHeight="1"/>
    <row r="28" spans="1:18" ht="15" customHeight="1"/>
    <row r="29" spans="1:18" ht="15" customHeight="1"/>
    <row r="30" spans="1:18" ht="15" customHeight="1"/>
    <row r="31" spans="1:18" ht="15" customHeight="1"/>
    <row r="32" spans="1:18" ht="15" customHeight="1"/>
    <row r="33" spans="3:8" ht="15" customHeight="1"/>
    <row r="34" spans="3:8" ht="15" customHeight="1">
      <c r="H34" s="91"/>
    </row>
    <row r="35" spans="3:8" ht="14.25" customHeight="1"/>
    <row r="36" spans="3:8" ht="14.25" customHeight="1"/>
    <row r="37" spans="3:8" ht="14.25" customHeight="1"/>
    <row r="38" spans="3:8" ht="14.25" customHeight="1"/>
    <row r="39" spans="3:8" ht="14.25" customHeight="1"/>
    <row r="40" spans="3:8" ht="14.25" customHeight="1"/>
    <row r="41" spans="3:8" ht="14.25" customHeight="1"/>
    <row r="42" spans="3:8" ht="14.25" customHeight="1">
      <c r="C42" s="12"/>
      <c r="D42" s="12"/>
      <c r="E42" s="12"/>
      <c r="F42" s="12"/>
    </row>
    <row r="43" spans="3:8" ht="17.399999999999999">
      <c r="C43" s="11"/>
      <c r="D43" s="11"/>
      <c r="E43" s="11"/>
      <c r="F43"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7:G17"/>
    <mergeCell ref="A1:G1"/>
    <mergeCell ref="A3:G3"/>
    <mergeCell ref="A4:G4"/>
  </mergeCells>
  <printOptions horizontalCentered="1"/>
  <pageMargins left="0.59055118110236227" right="0.59055118110236227" top="1.299212598425197" bottom="0.78740157480314965" header="0.51181102362204722" footer="0.59055118110236227"/>
  <pageSetup paperSize="126" scale="97"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zoomScaleNormal="100" workbookViewId="0">
      <selection activeCell="H16" sqref="H16"/>
    </sheetView>
  </sheetViews>
  <sheetFormatPr baseColWidth="10" defaultColWidth="10.921875" defaultRowHeight="17.399999999999999"/>
  <cols>
    <col min="1" max="1" width="1.84375" customWidth="1"/>
    <col min="2" max="2" width="11.69140625" customWidth="1"/>
    <col min="3" max="3" width="8.84375" bestFit="1" customWidth="1"/>
    <col min="4" max="15" width="4.69140625" customWidth="1"/>
  </cols>
  <sheetData>
    <row r="2" spans="2:24">
      <c r="B2" s="788" t="s">
        <v>110</v>
      </c>
      <c r="C2" s="788"/>
      <c r="D2" s="788"/>
      <c r="E2" s="788"/>
      <c r="F2" s="788"/>
      <c r="G2" s="788"/>
      <c r="H2" s="788"/>
      <c r="I2" s="788"/>
      <c r="J2" s="788"/>
      <c r="K2" s="788"/>
      <c r="L2" s="788"/>
      <c r="M2" s="788"/>
      <c r="N2" s="788"/>
      <c r="O2" s="788"/>
    </row>
    <row r="3" spans="2:24" ht="18" customHeight="1">
      <c r="B3" s="789" t="s">
        <v>547</v>
      </c>
      <c r="C3" s="789"/>
      <c r="D3" s="789"/>
      <c r="E3" s="789"/>
      <c r="F3" s="789"/>
      <c r="G3" s="789"/>
      <c r="H3" s="789"/>
      <c r="I3" s="789"/>
      <c r="J3" s="789"/>
      <c r="K3" s="789"/>
      <c r="L3" s="789"/>
      <c r="M3" s="789"/>
      <c r="N3" s="789"/>
      <c r="O3" s="789"/>
    </row>
    <row r="4" spans="2:24" ht="18" customHeight="1">
      <c r="B4" s="790" t="s">
        <v>747</v>
      </c>
      <c r="C4" s="790"/>
      <c r="D4" s="790"/>
      <c r="E4" s="790"/>
      <c r="F4" s="790"/>
      <c r="G4" s="790"/>
      <c r="H4" s="790"/>
      <c r="I4" s="790"/>
      <c r="J4" s="790"/>
      <c r="K4" s="790"/>
      <c r="L4" s="790"/>
      <c r="M4" s="790"/>
      <c r="N4" s="790"/>
      <c r="O4" s="790"/>
    </row>
    <row r="5" spans="2:24">
      <c r="B5" s="790"/>
      <c r="C5" s="790"/>
      <c r="D5" s="790"/>
      <c r="E5" s="790"/>
      <c r="F5" s="790"/>
      <c r="G5" s="790"/>
      <c r="H5" s="790"/>
      <c r="I5" s="790"/>
      <c r="J5" s="357"/>
    </row>
    <row r="6" spans="2:24" ht="58.8" customHeight="1">
      <c r="B6" s="298" t="s">
        <v>111</v>
      </c>
      <c r="C6" s="333" t="s">
        <v>121</v>
      </c>
      <c r="D6" s="333" t="s">
        <v>112</v>
      </c>
      <c r="E6" s="333" t="s">
        <v>395</v>
      </c>
      <c r="F6" s="333" t="s">
        <v>548</v>
      </c>
      <c r="G6" s="333" t="s">
        <v>429</v>
      </c>
      <c r="H6" s="333" t="s">
        <v>549</v>
      </c>
      <c r="I6" s="333" t="s">
        <v>550</v>
      </c>
      <c r="J6" s="333" t="s">
        <v>551</v>
      </c>
      <c r="K6" s="333" t="s">
        <v>119</v>
      </c>
      <c r="L6" s="333" t="s">
        <v>552</v>
      </c>
      <c r="M6" s="333" t="s">
        <v>553</v>
      </c>
      <c r="N6" s="333" t="s">
        <v>120</v>
      </c>
      <c r="O6" s="333" t="s">
        <v>122</v>
      </c>
    </row>
    <row r="7" spans="2:24" ht="21.75" customHeight="1">
      <c r="B7" s="969" t="s">
        <v>732</v>
      </c>
      <c r="C7" s="969"/>
      <c r="D7" s="969"/>
      <c r="E7" s="969"/>
      <c r="F7" s="969"/>
      <c r="G7" s="969"/>
      <c r="H7" s="969"/>
      <c r="I7" s="969"/>
      <c r="J7" s="969"/>
      <c r="K7" s="969"/>
      <c r="L7" s="969"/>
      <c r="M7" s="969"/>
      <c r="N7" s="969"/>
      <c r="O7" s="969"/>
    </row>
    <row r="8" spans="2:24">
      <c r="B8" s="315" t="s">
        <v>89</v>
      </c>
      <c r="C8" s="372">
        <v>188.01</v>
      </c>
      <c r="D8" s="372">
        <v>7.8E-2</v>
      </c>
      <c r="E8" s="372">
        <v>0.56999999999999995</v>
      </c>
      <c r="F8" s="372">
        <v>1.21</v>
      </c>
      <c r="G8" s="372">
        <v>0.01</v>
      </c>
      <c r="H8" s="372">
        <v>37</v>
      </c>
      <c r="I8" s="372">
        <v>1.9</v>
      </c>
      <c r="J8" s="372">
        <v>4.28</v>
      </c>
      <c r="K8" s="372">
        <v>1.39</v>
      </c>
      <c r="L8" s="372">
        <v>8.2000000000000003E-2</v>
      </c>
      <c r="M8" s="372">
        <v>2.64</v>
      </c>
      <c r="N8" s="372">
        <v>116.5</v>
      </c>
      <c r="O8" s="372">
        <v>71.510000000000005</v>
      </c>
    </row>
    <row r="9" spans="2:24">
      <c r="B9" s="315" t="s">
        <v>90</v>
      </c>
      <c r="C9" s="372">
        <v>513.66999999999996</v>
      </c>
      <c r="D9" s="372">
        <v>0.78</v>
      </c>
      <c r="E9" s="372">
        <v>7.28</v>
      </c>
      <c r="F9" s="372">
        <v>12.35</v>
      </c>
      <c r="G9" s="372">
        <v>0.7</v>
      </c>
      <c r="H9" s="372">
        <v>129.66</v>
      </c>
      <c r="I9" s="372">
        <v>8.6999999999999993</v>
      </c>
      <c r="J9" s="372">
        <v>19.649999999999999</v>
      </c>
      <c r="K9" s="372">
        <v>6.09</v>
      </c>
      <c r="L9" s="372">
        <v>0.88200000000000001</v>
      </c>
      <c r="M9" s="372">
        <v>27.33</v>
      </c>
      <c r="N9" s="372">
        <v>148.99</v>
      </c>
      <c r="O9" s="372">
        <v>364.68</v>
      </c>
    </row>
    <row r="10" spans="2:24">
      <c r="B10" s="315" t="s">
        <v>123</v>
      </c>
      <c r="C10" s="372">
        <v>52.26</v>
      </c>
      <c r="D10" s="372">
        <v>7.0000000000000001E-3</v>
      </c>
      <c r="E10" s="372">
        <v>0.8</v>
      </c>
      <c r="F10" s="372">
        <v>0</v>
      </c>
      <c r="G10" s="372">
        <v>0</v>
      </c>
      <c r="H10" s="372">
        <v>0</v>
      </c>
      <c r="I10" s="372">
        <v>0.01</v>
      </c>
      <c r="J10" s="372">
        <v>0.2</v>
      </c>
      <c r="K10" s="372">
        <v>1.1299999999999999</v>
      </c>
      <c r="L10" s="372">
        <v>0</v>
      </c>
      <c r="M10" s="372">
        <v>0.8</v>
      </c>
      <c r="N10" s="372">
        <v>5.6</v>
      </c>
      <c r="O10" s="372">
        <v>46.66</v>
      </c>
    </row>
    <row r="11" spans="2:24">
      <c r="B11" s="315" t="s">
        <v>91</v>
      </c>
      <c r="C11" s="372">
        <v>514.38</v>
      </c>
      <c r="D11" s="372">
        <v>0.48499999999999999</v>
      </c>
      <c r="E11" s="372">
        <v>7.35</v>
      </c>
      <c r="F11" s="372">
        <v>10.5</v>
      </c>
      <c r="G11" s="372">
        <v>5.5E-2</v>
      </c>
      <c r="H11" s="372">
        <v>106.96</v>
      </c>
      <c r="I11" s="372">
        <v>4.0999999999999996</v>
      </c>
      <c r="J11" s="372">
        <v>13</v>
      </c>
      <c r="K11" s="372">
        <v>4.72</v>
      </c>
      <c r="L11" s="372">
        <v>0.06</v>
      </c>
      <c r="M11" s="372">
        <v>21.5</v>
      </c>
      <c r="N11" s="372">
        <v>155.84</v>
      </c>
      <c r="O11" s="372">
        <v>358.54</v>
      </c>
    </row>
    <row r="12" spans="2:24">
      <c r="B12" s="315" t="s">
        <v>92</v>
      </c>
      <c r="C12" s="372">
        <v>52.91</v>
      </c>
      <c r="D12" s="372">
        <v>0.32</v>
      </c>
      <c r="E12" s="372">
        <v>0.85</v>
      </c>
      <c r="F12" s="372">
        <v>2.2999999999999998</v>
      </c>
      <c r="G12" s="372">
        <v>0.64</v>
      </c>
      <c r="H12" s="372">
        <v>21</v>
      </c>
      <c r="I12" s="372">
        <v>4.3499999999999996</v>
      </c>
      <c r="J12" s="372">
        <v>7</v>
      </c>
      <c r="K12" s="372">
        <v>2.67</v>
      </c>
      <c r="L12" s="372">
        <v>0.82</v>
      </c>
      <c r="M12" s="372">
        <v>6.5</v>
      </c>
      <c r="N12" s="372">
        <v>2.25</v>
      </c>
      <c r="O12" s="372">
        <v>50.66</v>
      </c>
    </row>
    <row r="13" spans="2:24">
      <c r="B13" s="443" t="s">
        <v>99</v>
      </c>
      <c r="C13" s="372">
        <v>187.31</v>
      </c>
      <c r="D13" s="372">
        <v>0.06</v>
      </c>
      <c r="E13" s="372">
        <v>0.45</v>
      </c>
      <c r="F13" s="372">
        <v>0.77</v>
      </c>
      <c r="G13" s="372">
        <v>1.4999999999999999E-2</v>
      </c>
      <c r="H13" s="372">
        <v>38.700000000000003</v>
      </c>
      <c r="I13" s="372">
        <v>2.15</v>
      </c>
      <c r="J13" s="372">
        <v>4.13</v>
      </c>
      <c r="K13" s="372">
        <v>1.22</v>
      </c>
      <c r="L13" s="372">
        <v>8.4000000000000005E-2</v>
      </c>
      <c r="M13" s="372">
        <v>2.77</v>
      </c>
      <c r="N13" s="372">
        <v>113</v>
      </c>
      <c r="O13" s="372">
        <v>74.31</v>
      </c>
      <c r="P13" s="127"/>
      <c r="Q13" s="127"/>
      <c r="R13" s="127"/>
      <c r="S13" s="127"/>
      <c r="T13" s="127"/>
      <c r="U13" s="127"/>
      <c r="V13" s="127"/>
      <c r="W13" s="127"/>
      <c r="X13" s="127"/>
    </row>
    <row r="14" spans="2:24" ht="18" customHeight="1">
      <c r="B14" s="970" t="s">
        <v>731</v>
      </c>
      <c r="C14" s="970"/>
      <c r="D14" s="970"/>
      <c r="E14" s="970"/>
      <c r="F14" s="970"/>
      <c r="G14" s="970"/>
      <c r="H14" s="970"/>
      <c r="I14" s="970"/>
      <c r="J14" s="970"/>
      <c r="K14" s="970"/>
      <c r="L14" s="970"/>
      <c r="M14" s="970"/>
      <c r="N14" s="970"/>
      <c r="O14" s="970"/>
    </row>
    <row r="15" spans="2:24">
      <c r="B15" s="444" t="s">
        <v>89</v>
      </c>
      <c r="C15" s="372">
        <v>187.31</v>
      </c>
      <c r="D15" s="372">
        <v>0.06</v>
      </c>
      <c r="E15" s="372">
        <v>0.45</v>
      </c>
      <c r="F15" s="372">
        <v>0.77</v>
      </c>
      <c r="G15" s="372">
        <v>1.4999999999999999E-2</v>
      </c>
      <c r="H15" s="372">
        <v>38.700000000000003</v>
      </c>
      <c r="I15" s="372">
        <v>2.15</v>
      </c>
      <c r="J15" s="372">
        <v>4.13</v>
      </c>
      <c r="K15" s="372">
        <v>1.22</v>
      </c>
      <c r="L15" s="372">
        <v>8.4000000000000005E-2</v>
      </c>
      <c r="M15" s="372">
        <v>2.77</v>
      </c>
      <c r="N15" s="372">
        <v>113</v>
      </c>
      <c r="O15" s="372">
        <v>74.31</v>
      </c>
    </row>
    <row r="16" spans="2:24">
      <c r="B16" s="450" t="s">
        <v>90</v>
      </c>
      <c r="C16" s="372">
        <v>515.35</v>
      </c>
      <c r="D16" s="372">
        <v>0.83</v>
      </c>
      <c r="E16" s="372">
        <v>7.1</v>
      </c>
      <c r="F16" s="372">
        <v>12.5</v>
      </c>
      <c r="G16" s="372">
        <v>0.76800000000000002</v>
      </c>
      <c r="H16" s="372">
        <v>130.5</v>
      </c>
      <c r="I16" s="372">
        <v>8.9</v>
      </c>
      <c r="J16" s="372">
        <v>19.8</v>
      </c>
      <c r="K16" s="372">
        <v>5.8</v>
      </c>
      <c r="L16" s="372">
        <v>0.91</v>
      </c>
      <c r="M16" s="372">
        <v>27.4</v>
      </c>
      <c r="N16" s="372">
        <v>149</v>
      </c>
      <c r="O16" s="372">
        <v>366.35</v>
      </c>
      <c r="Q16" s="382"/>
    </row>
    <row r="17" spans="2:24">
      <c r="B17" s="450" t="s">
        <v>123</v>
      </c>
      <c r="C17" s="372">
        <v>52.48</v>
      </c>
      <c r="D17" s="372">
        <v>5.0000000000000001E-3</v>
      </c>
      <c r="E17" s="372">
        <v>0.85</v>
      </c>
      <c r="F17" s="372">
        <v>0</v>
      </c>
      <c r="G17" s="372">
        <v>0</v>
      </c>
      <c r="H17" s="372">
        <v>0</v>
      </c>
      <c r="I17" s="372">
        <v>0.01</v>
      </c>
      <c r="J17" s="372">
        <v>0.2</v>
      </c>
      <c r="K17" s="372">
        <v>1.21</v>
      </c>
      <c r="L17" s="372">
        <v>0</v>
      </c>
      <c r="M17" s="372">
        <v>0.6</v>
      </c>
      <c r="N17" s="372">
        <v>6</v>
      </c>
      <c r="O17" s="372">
        <v>46.48</v>
      </c>
    </row>
    <row r="18" spans="2:24">
      <c r="B18" s="450" t="s">
        <v>91</v>
      </c>
      <c r="C18" s="372">
        <v>519.22</v>
      </c>
      <c r="D18" s="372">
        <v>0.48499999999999999</v>
      </c>
      <c r="E18" s="372">
        <v>7.3</v>
      </c>
      <c r="F18" s="372">
        <v>10.5</v>
      </c>
      <c r="G18" s="372">
        <v>5.5E-2</v>
      </c>
      <c r="H18" s="372">
        <v>107.5</v>
      </c>
      <c r="I18" s="372">
        <v>4.4000000000000004</v>
      </c>
      <c r="J18" s="372">
        <v>13.1</v>
      </c>
      <c r="K18" s="372">
        <v>4.54</v>
      </c>
      <c r="L18" s="372">
        <v>0.06</v>
      </c>
      <c r="M18" s="372">
        <v>21.55</v>
      </c>
      <c r="N18" s="372">
        <v>156.6</v>
      </c>
      <c r="O18" s="372">
        <v>362.62</v>
      </c>
    </row>
    <row r="19" spans="2:24">
      <c r="B19" s="450" t="s">
        <v>92</v>
      </c>
      <c r="C19" s="372">
        <v>54.2</v>
      </c>
      <c r="D19" s="372">
        <v>0.32</v>
      </c>
      <c r="E19" s="372">
        <v>0.65</v>
      </c>
      <c r="F19" s="372">
        <v>2.1</v>
      </c>
      <c r="G19" s="372">
        <v>0.7</v>
      </c>
      <c r="H19" s="372">
        <v>22</v>
      </c>
      <c r="I19" s="372">
        <v>4.5999999999999996</v>
      </c>
      <c r="J19" s="372">
        <v>7.5</v>
      </c>
      <c r="K19" s="372">
        <v>2.6</v>
      </c>
      <c r="L19" s="372">
        <v>0.85</v>
      </c>
      <c r="M19" s="372">
        <v>6.4</v>
      </c>
      <c r="N19" s="372">
        <v>2.4</v>
      </c>
      <c r="O19" s="372">
        <v>51.8</v>
      </c>
    </row>
    <row r="20" spans="2:24">
      <c r="B20" s="450" t="s">
        <v>99</v>
      </c>
      <c r="C20" s="372">
        <v>183.44</v>
      </c>
      <c r="D20" s="372">
        <v>0.09</v>
      </c>
      <c r="E20" s="372">
        <v>0.45</v>
      </c>
      <c r="F20" s="372">
        <v>0.67</v>
      </c>
      <c r="G20" s="372">
        <v>2.8000000000000001E-2</v>
      </c>
      <c r="H20" s="372">
        <v>39.700000000000003</v>
      </c>
      <c r="I20" s="372">
        <v>2.06</v>
      </c>
      <c r="J20" s="372">
        <v>3.53</v>
      </c>
      <c r="K20" s="372">
        <v>1.0900000000000001</v>
      </c>
      <c r="L20" s="372">
        <v>8.4000000000000005E-2</v>
      </c>
      <c r="M20" s="372">
        <v>2.82</v>
      </c>
      <c r="N20" s="372">
        <v>109</v>
      </c>
      <c r="O20" s="372">
        <v>74.44</v>
      </c>
      <c r="P20" s="127"/>
      <c r="Q20" s="395"/>
      <c r="R20" s="127"/>
      <c r="S20" s="127"/>
      <c r="T20" s="127"/>
      <c r="U20" s="127"/>
      <c r="V20" s="127"/>
      <c r="W20" s="127"/>
      <c r="X20" s="127"/>
    </row>
    <row r="21" spans="2:24">
      <c r="B21" s="968" t="s">
        <v>554</v>
      </c>
      <c r="C21" s="968"/>
      <c r="D21" s="968"/>
      <c r="E21" s="968"/>
      <c r="F21" s="968"/>
      <c r="G21" s="968"/>
      <c r="H21" s="968"/>
      <c r="I21" s="968"/>
      <c r="J21" s="968"/>
      <c r="K21" s="968"/>
      <c r="L21" s="968"/>
      <c r="M21" s="968"/>
      <c r="N21" s="968"/>
      <c r="O21" s="968"/>
    </row>
    <row r="22" spans="2:24">
      <c r="B22" s="127"/>
      <c r="C22" s="127"/>
      <c r="D22" s="127"/>
      <c r="E22" s="127"/>
      <c r="F22" s="127"/>
      <c r="G22" s="127"/>
      <c r="H22" s="127"/>
      <c r="I22" s="127"/>
      <c r="J22" s="127"/>
      <c r="K22" s="127"/>
      <c r="L22" s="127"/>
      <c r="M22" s="127"/>
      <c r="N22" s="127"/>
      <c r="O22" s="127"/>
    </row>
    <row r="23" spans="2:24">
      <c r="B23" s="127"/>
      <c r="C23" s="127"/>
      <c r="D23" s="127"/>
      <c r="E23" s="127"/>
      <c r="F23" s="127"/>
      <c r="G23" s="127"/>
      <c r="H23" s="127"/>
      <c r="I23" s="127"/>
      <c r="J23" s="127"/>
      <c r="K23" s="127"/>
      <c r="L23" s="127"/>
      <c r="M23" s="127"/>
      <c r="N23" s="127"/>
      <c r="O23" s="127"/>
    </row>
    <row r="24" spans="2:24">
      <c r="B24" s="127"/>
      <c r="C24" s="11"/>
      <c r="D24" s="127"/>
      <c r="E24" s="127"/>
      <c r="F24" s="127"/>
      <c r="G24" s="127"/>
      <c r="H24" s="127"/>
      <c r="I24" s="127"/>
      <c r="J24" s="127"/>
      <c r="K24" s="127"/>
      <c r="L24" s="127"/>
      <c r="M24" s="127"/>
      <c r="N24" s="127"/>
      <c r="O24" s="127"/>
    </row>
    <row r="25" spans="2:24">
      <c r="B25" s="127"/>
      <c r="C25" s="318"/>
      <c r="D25" s="127"/>
      <c r="E25" s="127"/>
      <c r="F25" s="127"/>
      <c r="G25" s="127"/>
      <c r="H25" s="127"/>
      <c r="I25" s="127"/>
      <c r="J25" s="127"/>
      <c r="K25" s="127"/>
      <c r="L25" s="127"/>
      <c r="M25" s="127"/>
      <c r="N25" s="127"/>
      <c r="O25" s="127"/>
    </row>
    <row r="26" spans="2:24">
      <c r="B26" s="127"/>
      <c r="C26" s="127"/>
      <c r="D26" s="127"/>
      <c r="E26" s="127"/>
      <c r="F26" s="127"/>
      <c r="G26" s="127"/>
      <c r="H26" s="127"/>
      <c r="I26" s="127"/>
      <c r="J26" s="127"/>
      <c r="K26" s="127"/>
      <c r="L26" s="127"/>
      <c r="M26" s="127"/>
      <c r="N26" s="127"/>
      <c r="O26" s="127"/>
    </row>
    <row r="27" spans="2:24">
      <c r="B27" s="127"/>
      <c r="C27" s="127"/>
      <c r="D27" s="127"/>
      <c r="E27" s="127"/>
      <c r="F27" s="127"/>
      <c r="G27" s="127"/>
      <c r="H27" s="127"/>
      <c r="I27" s="127"/>
      <c r="J27" s="127"/>
      <c r="K27" s="127"/>
      <c r="L27" s="127"/>
      <c r="M27" s="127"/>
      <c r="N27" s="127"/>
      <c r="O27" s="246"/>
    </row>
    <row r="28" spans="2:24">
      <c r="B28" s="127"/>
      <c r="C28" s="127"/>
      <c r="D28" s="127"/>
      <c r="E28" s="127"/>
      <c r="F28" s="127"/>
      <c r="G28" s="127"/>
      <c r="H28" s="127"/>
      <c r="I28" s="127"/>
      <c r="J28" s="127"/>
      <c r="K28" s="127"/>
      <c r="L28" s="127"/>
      <c r="M28" s="127"/>
      <c r="N28" s="127"/>
      <c r="O28" s="127"/>
    </row>
    <row r="29" spans="2:24">
      <c r="B29" s="127"/>
      <c r="C29" s="127"/>
      <c r="D29" s="127"/>
      <c r="E29" s="127"/>
      <c r="F29" s="127"/>
      <c r="G29" s="127"/>
      <c r="H29" s="127"/>
      <c r="I29" s="127"/>
      <c r="J29" s="127"/>
      <c r="K29" s="127"/>
      <c r="L29" s="127"/>
      <c r="M29" s="127"/>
      <c r="N29" s="127"/>
      <c r="O29" s="127"/>
    </row>
    <row r="30" spans="2:24">
      <c r="B30" s="127"/>
      <c r="C30" s="127"/>
      <c r="D30" s="127"/>
      <c r="E30" s="127"/>
      <c r="F30" s="127"/>
      <c r="G30" s="127"/>
      <c r="H30" s="127"/>
      <c r="I30" s="127"/>
      <c r="J30" s="127"/>
      <c r="K30" s="127"/>
      <c r="L30" s="127"/>
      <c r="M30" s="127"/>
      <c r="N30" s="127"/>
      <c r="O30" s="127"/>
    </row>
    <row r="31" spans="2:24">
      <c r="B31" s="127"/>
      <c r="C31" s="127"/>
      <c r="D31" s="127"/>
      <c r="E31" s="127"/>
      <c r="F31" s="127"/>
      <c r="G31" s="127"/>
      <c r="H31" s="127"/>
      <c r="I31" s="127"/>
      <c r="J31" s="127"/>
      <c r="K31" s="127"/>
      <c r="L31" s="127"/>
      <c r="M31" s="127"/>
      <c r="N31" s="127"/>
      <c r="O31" s="127"/>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zoomScaleNormal="100" workbookViewId="0">
      <selection activeCell="J15" sqref="J15"/>
    </sheetView>
  </sheetViews>
  <sheetFormatPr baseColWidth="10" defaultColWidth="10.921875" defaultRowHeight="13.2"/>
  <cols>
    <col min="1" max="1" width="0.921875" style="39" customWidth="1"/>
    <col min="2" max="2" width="13.3828125" style="39" customWidth="1"/>
    <col min="3" max="5" width="14.15234375" style="39" customWidth="1"/>
    <col min="6" max="6" width="2.69140625" style="39" customWidth="1"/>
    <col min="7" max="7" width="6.765625" style="39" customWidth="1"/>
    <col min="8" max="8" width="7" style="39" customWidth="1"/>
    <col min="9" max="16384" width="10.921875" style="39"/>
  </cols>
  <sheetData>
    <row r="1" spans="2:13" s="19" customFormat="1" ht="15" customHeight="1">
      <c r="B1" s="788" t="s">
        <v>125</v>
      </c>
      <c r="C1" s="788"/>
      <c r="D1" s="788"/>
      <c r="E1" s="788"/>
    </row>
    <row r="2" spans="2:13" s="19" customFormat="1" ht="15" customHeight="1"/>
    <row r="3" spans="2:13" s="19" customFormat="1" ht="18.600000000000001" customHeight="1">
      <c r="B3" s="789" t="s">
        <v>555</v>
      </c>
      <c r="C3" s="789"/>
      <c r="D3" s="789"/>
      <c r="E3" s="789"/>
    </row>
    <row r="4" spans="2:13" s="19" customFormat="1" ht="15" customHeight="1">
      <c r="B4" s="788" t="s">
        <v>698</v>
      </c>
      <c r="C4" s="788"/>
      <c r="D4" s="788"/>
      <c r="E4" s="788"/>
    </row>
    <row r="5" spans="2:13" s="19" customFormat="1" ht="28.05" customHeight="1">
      <c r="B5" s="128" t="s">
        <v>127</v>
      </c>
      <c r="C5" s="129" t="s">
        <v>556</v>
      </c>
      <c r="D5" s="129" t="s">
        <v>557</v>
      </c>
      <c r="E5" s="129" t="s">
        <v>558</v>
      </c>
      <c r="G5" s="199"/>
    </row>
    <row r="6" spans="2:13" s="19" customFormat="1" ht="18" customHeight="1">
      <c r="B6" s="51" t="s">
        <v>559</v>
      </c>
      <c r="C6" s="327">
        <v>23.68</v>
      </c>
      <c r="D6" s="327">
        <v>127.3112</v>
      </c>
      <c r="E6" s="327">
        <f t="shared" ref="E6:E11" si="0">D6/C6*10</f>
        <v>53.763175675675676</v>
      </c>
      <c r="G6" s="200"/>
      <c r="H6" s="200"/>
    </row>
    <row r="7" spans="2:13" s="19" customFormat="1" ht="18" customHeight="1">
      <c r="B7" s="51" t="s">
        <v>560</v>
      </c>
      <c r="C7" s="327">
        <v>24.527000000000001</v>
      </c>
      <c r="D7" s="327">
        <v>94.672499999999999</v>
      </c>
      <c r="E7" s="327">
        <f t="shared" si="0"/>
        <v>38.599298732009622</v>
      </c>
      <c r="G7" s="200"/>
      <c r="H7" s="200"/>
    </row>
    <row r="8" spans="2:13" s="19" customFormat="1" ht="18" customHeight="1">
      <c r="B8" s="51" t="s">
        <v>400</v>
      </c>
      <c r="C8" s="327">
        <v>25.120999999999999</v>
      </c>
      <c r="D8" s="327">
        <v>130.375</v>
      </c>
      <c r="E8" s="327">
        <f t="shared" si="0"/>
        <v>51.898809760757928</v>
      </c>
      <c r="G8" s="200"/>
      <c r="H8" s="200"/>
    </row>
    <row r="9" spans="2:13" s="19" customFormat="1" ht="18" customHeight="1">
      <c r="B9" s="51" t="s">
        <v>133</v>
      </c>
      <c r="C9" s="327">
        <v>23.991</v>
      </c>
      <c r="D9" s="327">
        <v>149.78790000000001</v>
      </c>
      <c r="E9" s="327">
        <f t="shared" si="0"/>
        <v>62.435038139302243</v>
      </c>
      <c r="G9" s="200"/>
      <c r="H9" s="200"/>
    </row>
    <row r="10" spans="2:13" s="19" customFormat="1" ht="18" customHeight="1">
      <c r="B10" s="51" t="s">
        <v>101</v>
      </c>
      <c r="C10" s="327">
        <v>21</v>
      </c>
      <c r="D10" s="327">
        <v>130.3073</v>
      </c>
      <c r="E10" s="327">
        <f t="shared" si="0"/>
        <v>62.051095238095243</v>
      </c>
      <c r="G10" s="200"/>
      <c r="H10" s="200"/>
    </row>
    <row r="11" spans="2:13" ht="18" customHeight="1">
      <c r="B11" s="51" t="s">
        <v>102</v>
      </c>
      <c r="C11" s="327">
        <v>22.398</v>
      </c>
      <c r="D11" s="327">
        <v>134.88432</v>
      </c>
      <c r="E11" s="327">
        <f t="shared" si="0"/>
        <v>60.221591213501206</v>
      </c>
      <c r="F11" s="27"/>
      <c r="G11" s="200"/>
      <c r="H11" s="200"/>
      <c r="I11" s="28"/>
      <c r="J11" s="131"/>
      <c r="K11" s="131"/>
      <c r="L11" s="132"/>
      <c r="M11" s="28"/>
    </row>
    <row r="12" spans="2:13" ht="18" customHeight="1">
      <c r="B12" s="51" t="s">
        <v>134</v>
      </c>
      <c r="C12" s="327">
        <v>23.713999999999999</v>
      </c>
      <c r="D12" s="327">
        <f>C12*E12/10</f>
        <v>163.6266</v>
      </c>
      <c r="E12" s="327">
        <v>69</v>
      </c>
      <c r="F12" s="27"/>
      <c r="G12" s="200"/>
      <c r="H12" s="201"/>
      <c r="I12" s="202"/>
      <c r="J12" s="203"/>
      <c r="K12" s="203"/>
      <c r="L12" s="132"/>
      <c r="M12" s="28"/>
    </row>
    <row r="13" spans="2:13" ht="18" customHeight="1">
      <c r="B13" s="51" t="s">
        <v>135</v>
      </c>
      <c r="C13" s="327">
        <v>26.54</v>
      </c>
      <c r="D13" s="327">
        <v>174.083</v>
      </c>
      <c r="E13" s="327">
        <f>D13/C13*10</f>
        <v>65.592690278824421</v>
      </c>
      <c r="F13" s="27"/>
      <c r="G13" s="200"/>
      <c r="H13" s="200"/>
      <c r="I13" s="28"/>
      <c r="J13" s="131"/>
      <c r="K13" s="131"/>
      <c r="L13" s="132"/>
      <c r="M13" s="28"/>
    </row>
    <row r="14" spans="2:13" ht="18" customHeight="1">
      <c r="B14" s="51" t="s">
        <v>136</v>
      </c>
      <c r="C14" s="327">
        <v>20.937000000000001</v>
      </c>
      <c r="D14" s="327">
        <v>131.27499</v>
      </c>
      <c r="E14" s="327">
        <v>61.1</v>
      </c>
      <c r="F14" s="27"/>
      <c r="G14" s="200"/>
      <c r="H14" s="200"/>
      <c r="I14" s="28"/>
      <c r="J14" s="131"/>
      <c r="K14" s="131"/>
      <c r="L14" s="132"/>
      <c r="M14" s="28"/>
    </row>
    <row r="15" spans="2:13" ht="18" customHeight="1">
      <c r="B15" s="51" t="s">
        <v>137</v>
      </c>
      <c r="C15" s="327">
        <v>29.521999999999998</v>
      </c>
      <c r="D15" s="327">
        <v>192.80799999999999</v>
      </c>
      <c r="E15" s="327">
        <v>65.309938351060225</v>
      </c>
      <c r="F15" s="27"/>
      <c r="G15" s="200"/>
      <c r="H15" s="200"/>
      <c r="I15" s="28"/>
      <c r="J15" s="131"/>
      <c r="K15" s="131"/>
      <c r="L15" s="132"/>
      <c r="M15" s="28"/>
    </row>
    <row r="16" spans="2:13" ht="18" customHeight="1">
      <c r="B16" s="51" t="s">
        <v>107</v>
      </c>
      <c r="C16" s="327">
        <v>26.242000000000001</v>
      </c>
      <c r="D16" s="327">
        <v>174.8972</v>
      </c>
      <c r="E16" s="327">
        <f>D16/C16*10</f>
        <v>66.647816477402642</v>
      </c>
      <c r="F16" s="27"/>
      <c r="G16" s="200"/>
      <c r="H16" s="200"/>
      <c r="I16" s="28"/>
      <c r="J16" s="131"/>
      <c r="K16" s="131"/>
      <c r="L16" s="132"/>
      <c r="M16" s="28"/>
    </row>
    <row r="17" spans="2:13" ht="18" customHeight="1">
      <c r="B17" s="51" t="s">
        <v>138</v>
      </c>
      <c r="C17" s="327">
        <v>26.393999999999998</v>
      </c>
      <c r="D17" s="327">
        <f>C17*E17/10</f>
        <v>169.71341999999999</v>
      </c>
      <c r="E17" s="327">
        <v>64.3</v>
      </c>
      <c r="F17" s="27"/>
      <c r="G17" s="141"/>
      <c r="H17" s="466"/>
      <c r="I17" s="249"/>
      <c r="J17" s="131"/>
      <c r="K17" s="131"/>
      <c r="L17" s="132"/>
      <c r="M17" s="28"/>
    </row>
    <row r="18" spans="2:13" ht="18" customHeight="1">
      <c r="B18" s="51" t="s">
        <v>139</v>
      </c>
      <c r="C18" s="327">
        <v>22.965</v>
      </c>
      <c r="D18" s="327">
        <f>C18*E18/10</f>
        <v>146.08510000000001</v>
      </c>
      <c r="E18" s="327">
        <v>63.612061833224473</v>
      </c>
      <c r="F18" s="27"/>
      <c r="G18" s="141"/>
      <c r="H18" s="466"/>
      <c r="I18" s="249"/>
      <c r="J18" s="131"/>
      <c r="K18" s="131"/>
      <c r="L18" s="132"/>
      <c r="M18" s="28"/>
    </row>
    <row r="19" spans="2:13" ht="18" customHeight="1">
      <c r="B19" s="51" t="s">
        <v>561</v>
      </c>
      <c r="C19" s="327">
        <v>20.712</v>
      </c>
      <c r="D19" s="327"/>
      <c r="E19" s="327"/>
      <c r="F19" s="27"/>
      <c r="G19" s="141"/>
      <c r="H19" s="466"/>
      <c r="I19" s="588"/>
      <c r="J19" s="131"/>
      <c r="K19" s="131"/>
      <c r="L19" s="132"/>
      <c r="M19" s="28"/>
    </row>
    <row r="20" spans="2:13" ht="47.1" customHeight="1">
      <c r="B20" s="833" t="s">
        <v>687</v>
      </c>
      <c r="C20" s="834"/>
      <c r="D20" s="834"/>
      <c r="E20" s="835"/>
      <c r="F20" s="466"/>
      <c r="G20" s="466"/>
      <c r="H20" s="466"/>
    </row>
    <row r="21" spans="2:13">
      <c r="B21" s="465"/>
      <c r="C21" s="465"/>
      <c r="D21" s="465"/>
      <c r="E21" s="465"/>
      <c r="F21" s="465"/>
      <c r="G21" s="465"/>
    </row>
    <row r="22" spans="2:13">
      <c r="B22" s="465"/>
      <c r="C22" s="465"/>
      <c r="D22" s="465"/>
      <c r="E22" s="465"/>
      <c r="F22" s="465"/>
      <c r="G22" s="465"/>
    </row>
    <row r="23" spans="2:13">
      <c r="B23" s="465"/>
      <c r="C23" s="465"/>
      <c r="D23" s="465"/>
      <c r="E23" s="465"/>
      <c r="F23" s="465"/>
      <c r="G23" s="465"/>
    </row>
    <row r="24" spans="2:13">
      <c r="B24" s="464"/>
      <c r="C24" s="464"/>
      <c r="D24" s="464"/>
      <c r="E24" s="464"/>
      <c r="F24" s="464"/>
      <c r="G24" s="465"/>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29"/>
  <sheetViews>
    <sheetView zoomScaleNormal="100" zoomScaleSheetLayoutView="50" workbookViewId="0">
      <selection activeCell="J8" sqref="J8"/>
    </sheetView>
  </sheetViews>
  <sheetFormatPr baseColWidth="10" defaultColWidth="10.921875" defaultRowHeight="13.2"/>
  <cols>
    <col min="1" max="1" width="0.921875" style="39" customWidth="1"/>
    <col min="2" max="2" width="12.3828125" style="39" customWidth="1"/>
    <col min="3" max="6" width="10.921875" style="39" customWidth="1"/>
    <col min="7" max="7" width="1.3828125" style="39" customWidth="1"/>
    <col min="8" max="8" width="6.765625" style="39" customWidth="1"/>
    <col min="9" max="9" width="7" style="39" customWidth="1"/>
    <col min="10" max="10" width="11.23046875" style="39" bestFit="1" customWidth="1"/>
    <col min="11" max="16384" width="10.921875" style="39"/>
  </cols>
  <sheetData>
    <row r="1" spans="2:14" s="19" customFormat="1" ht="15" customHeight="1">
      <c r="B1" s="788" t="s">
        <v>140</v>
      </c>
      <c r="C1" s="788"/>
      <c r="D1" s="788"/>
      <c r="E1" s="788"/>
      <c r="F1" s="788"/>
    </row>
    <row r="2" spans="2:14" s="19" customFormat="1" ht="28.5" customHeight="1">
      <c r="B2" s="789" t="s">
        <v>480</v>
      </c>
      <c r="C2" s="788"/>
      <c r="D2" s="788"/>
      <c r="E2" s="788"/>
      <c r="F2" s="788"/>
    </row>
    <row r="3" spans="2:14" s="19" customFormat="1" ht="15" customHeight="1">
      <c r="B3" s="788" t="s">
        <v>562</v>
      </c>
      <c r="C3" s="788"/>
      <c r="D3" s="788"/>
      <c r="E3" s="788"/>
      <c r="F3" s="788"/>
    </row>
    <row r="4" spans="2:14" s="19" customFormat="1" ht="15" customHeight="1">
      <c r="B4" s="31"/>
      <c r="C4" s="31"/>
      <c r="D4" s="31"/>
      <c r="E4" s="31"/>
      <c r="F4" s="31"/>
    </row>
    <row r="5" spans="2:14" s="19" customFormat="1" ht="46.5" customHeight="1">
      <c r="B5" s="128" t="s">
        <v>127</v>
      </c>
      <c r="C5" s="128" t="s">
        <v>143</v>
      </c>
      <c r="D5" s="129" t="s">
        <v>144</v>
      </c>
      <c r="E5" s="129" t="s">
        <v>145</v>
      </c>
      <c r="F5" s="129" t="s">
        <v>146</v>
      </c>
    </row>
    <row r="6" spans="2:14" ht="16.5" customHeight="1">
      <c r="B6" s="972" t="s">
        <v>136</v>
      </c>
      <c r="C6" s="136" t="s">
        <v>150</v>
      </c>
      <c r="D6" s="406">
        <v>17395</v>
      </c>
      <c r="E6" s="405">
        <f>D6*F6/10</f>
        <v>111501.95</v>
      </c>
      <c r="F6" s="407">
        <v>64.099999999999994</v>
      </c>
      <c r="G6" s="27"/>
      <c r="H6" s="141"/>
      <c r="I6" s="284"/>
      <c r="J6" s="28"/>
      <c r="K6" s="131"/>
      <c r="L6" s="131"/>
      <c r="M6" s="132"/>
      <c r="N6" s="28"/>
    </row>
    <row r="7" spans="2:14" ht="16.5" customHeight="1">
      <c r="B7" s="973"/>
      <c r="C7" s="136" t="s">
        <v>152</v>
      </c>
      <c r="D7" s="406">
        <v>3542</v>
      </c>
      <c r="E7" s="405">
        <f>D7*F7/10</f>
        <v>16364.040000000003</v>
      </c>
      <c r="F7" s="407">
        <v>46.2</v>
      </c>
      <c r="G7" s="27"/>
      <c r="H7" s="141"/>
      <c r="I7" s="284"/>
      <c r="J7" s="28"/>
      <c r="K7" s="131"/>
      <c r="L7" s="131"/>
      <c r="M7" s="132"/>
      <c r="N7" s="28"/>
    </row>
    <row r="8" spans="2:14" ht="16.5" customHeight="1">
      <c r="B8" s="974"/>
      <c r="C8" s="136" t="s">
        <v>157</v>
      </c>
      <c r="D8" s="406">
        <f>SUM(D6:D7)</f>
        <v>20937</v>
      </c>
      <c r="E8" s="406">
        <f>E6+E7</f>
        <v>127865.99</v>
      </c>
      <c r="F8" s="407">
        <f>E8/D8*10</f>
        <v>61.071782012704787</v>
      </c>
      <c r="G8" s="27"/>
      <c r="H8" s="141"/>
      <c r="I8" s="142"/>
      <c r="J8" s="28"/>
      <c r="K8" s="131"/>
      <c r="L8" s="131"/>
      <c r="M8" s="132"/>
      <c r="N8" s="28"/>
    </row>
    <row r="9" spans="2:14" ht="16.5" customHeight="1">
      <c r="B9" s="972" t="s">
        <v>563</v>
      </c>
      <c r="C9" s="673" t="s">
        <v>150</v>
      </c>
      <c r="D9" s="406">
        <v>27885</v>
      </c>
      <c r="E9" s="405">
        <f>1815355/10</f>
        <v>181535.5</v>
      </c>
      <c r="F9" s="407">
        <f>+E9*10/D9</f>
        <v>65.101488255334402</v>
      </c>
      <c r="G9" s="27"/>
      <c r="H9" s="141"/>
      <c r="I9" s="142"/>
      <c r="J9" s="28"/>
      <c r="K9" s="131"/>
      <c r="L9" s="131"/>
      <c r="M9" s="132"/>
      <c r="N9" s="28"/>
    </row>
    <row r="10" spans="2:14" ht="16.5" customHeight="1">
      <c r="B10" s="973"/>
      <c r="C10" s="673" t="s">
        <v>152</v>
      </c>
      <c r="D10" s="406">
        <v>1637</v>
      </c>
      <c r="E10" s="405">
        <f>112725/10</f>
        <v>11272.5</v>
      </c>
      <c r="F10" s="407">
        <f>+E10*10/D10</f>
        <v>68.860720830788026</v>
      </c>
      <c r="G10" s="27"/>
      <c r="H10" s="141"/>
      <c r="I10" s="142"/>
      <c r="J10" s="287"/>
      <c r="K10" s="284"/>
      <c r="L10" s="131"/>
      <c r="M10" s="132"/>
      <c r="N10" s="28"/>
    </row>
    <row r="11" spans="2:14" ht="16.5" customHeight="1">
      <c r="B11" s="974"/>
      <c r="C11" s="673" t="s">
        <v>157</v>
      </c>
      <c r="D11" s="406">
        <f>+D9+D10</f>
        <v>29522</v>
      </c>
      <c r="E11" s="406">
        <f>+E9+E10</f>
        <v>192808</v>
      </c>
      <c r="F11" s="407">
        <f>+E11*10/D11</f>
        <v>65.309938351060225</v>
      </c>
      <c r="G11" s="27"/>
      <c r="H11" s="289"/>
      <c r="I11" s="292"/>
      <c r="J11" s="289"/>
      <c r="K11" s="131"/>
      <c r="L11" s="131"/>
      <c r="M11" s="132"/>
      <c r="N11" s="28"/>
    </row>
    <row r="12" spans="2:14" ht="16.5" customHeight="1">
      <c r="B12" s="972" t="s">
        <v>564</v>
      </c>
      <c r="C12" s="673" t="s">
        <v>150</v>
      </c>
      <c r="D12" s="406">
        <v>23083</v>
      </c>
      <c r="E12" s="406">
        <v>154923.79999999999</v>
      </c>
      <c r="F12" s="407">
        <f>E12/D12*10</f>
        <v>67.115972793830963</v>
      </c>
      <c r="G12" s="27"/>
      <c r="H12" s="141"/>
      <c r="I12" s="142"/>
      <c r="J12" s="28"/>
      <c r="K12" s="131"/>
      <c r="L12" s="131"/>
      <c r="M12" s="132"/>
      <c r="N12" s="28"/>
    </row>
    <row r="13" spans="2:14" ht="16.5" customHeight="1">
      <c r="B13" s="973"/>
      <c r="C13" s="673" t="s">
        <v>151</v>
      </c>
      <c r="D13" s="406">
        <v>3159</v>
      </c>
      <c r="E13" s="406">
        <v>19973.400000000001</v>
      </c>
      <c r="F13" s="407">
        <f>E13/D13*10</f>
        <v>63.226970560303897</v>
      </c>
      <c r="G13" s="27"/>
      <c r="H13" s="141"/>
      <c r="I13" s="142"/>
      <c r="J13" s="283"/>
      <c r="K13" s="131"/>
      <c r="L13" s="131"/>
      <c r="M13" s="132"/>
      <c r="N13" s="28"/>
    </row>
    <row r="14" spans="2:14" ht="16.5" customHeight="1">
      <c r="B14" s="974"/>
      <c r="C14" s="673" t="s">
        <v>157</v>
      </c>
      <c r="D14" s="406">
        <v>26242</v>
      </c>
      <c r="E14" s="406">
        <v>174897.2</v>
      </c>
      <c r="F14" s="407">
        <v>66.599999999999994</v>
      </c>
      <c r="G14" s="27"/>
      <c r="H14" s="142"/>
      <c r="I14" s="292"/>
      <c r="J14" s="291"/>
      <c r="K14" s="131"/>
      <c r="L14" s="131"/>
      <c r="M14" s="132"/>
      <c r="N14" s="28"/>
    </row>
    <row r="15" spans="2:14" ht="16.5" customHeight="1">
      <c r="B15" s="929" t="s">
        <v>404</v>
      </c>
      <c r="C15" s="673" t="s">
        <v>150</v>
      </c>
      <c r="D15" s="406">
        <v>20185</v>
      </c>
      <c r="E15" s="406">
        <v>126140.9</v>
      </c>
      <c r="F15" s="407">
        <f>E15/D15*10</f>
        <v>62.492395343076545</v>
      </c>
      <c r="G15" s="27"/>
      <c r="H15" s="142"/>
      <c r="I15" s="292"/>
      <c r="J15" s="291"/>
      <c r="K15" s="131"/>
      <c r="L15" s="131"/>
      <c r="M15" s="132"/>
      <c r="N15" s="28"/>
    </row>
    <row r="16" spans="2:14" ht="16.5" customHeight="1">
      <c r="B16" s="929"/>
      <c r="C16" s="673" t="s">
        <v>151</v>
      </c>
      <c r="D16" s="406">
        <v>6209</v>
      </c>
      <c r="E16" s="406">
        <v>43555.6</v>
      </c>
      <c r="F16" s="407">
        <f>E16/D16*10</f>
        <v>70.149138347559997</v>
      </c>
      <c r="G16" s="27"/>
      <c r="H16" s="142"/>
      <c r="I16" s="292"/>
      <c r="J16" s="291"/>
      <c r="K16" s="131"/>
      <c r="L16" s="131"/>
      <c r="M16" s="132"/>
      <c r="N16" s="28"/>
    </row>
    <row r="17" spans="2:14" ht="16.5" customHeight="1">
      <c r="B17" s="929"/>
      <c r="C17" s="673" t="s">
        <v>157</v>
      </c>
      <c r="D17" s="406">
        <f>D15+D16</f>
        <v>26394</v>
      </c>
      <c r="E17" s="406">
        <f>E15+E16</f>
        <v>169696.5</v>
      </c>
      <c r="F17" s="407">
        <f>E17/D17*10</f>
        <v>64.293589452148211</v>
      </c>
      <c r="G17" s="27"/>
      <c r="H17" s="142"/>
      <c r="I17" s="292"/>
      <c r="J17" s="291"/>
      <c r="K17" s="131"/>
      <c r="L17" s="131"/>
      <c r="M17" s="132"/>
      <c r="N17" s="28"/>
    </row>
    <row r="18" spans="2:14" ht="16.5" customHeight="1">
      <c r="B18" s="799" t="s">
        <v>405</v>
      </c>
      <c r="C18" s="673" t="s">
        <v>150</v>
      </c>
      <c r="D18" s="406">
        <v>19256</v>
      </c>
      <c r="E18" s="587">
        <f>D18*F18/10</f>
        <v>124910.8</v>
      </c>
      <c r="F18" s="407">
        <v>64.868508516825926</v>
      </c>
      <c r="G18" s="27"/>
      <c r="H18" s="142"/>
      <c r="I18" s="292"/>
      <c r="J18" s="586"/>
      <c r="K18" s="131"/>
      <c r="L18" s="131"/>
      <c r="M18" s="132"/>
      <c r="N18" s="28"/>
    </row>
    <row r="19" spans="2:14" ht="16.5" customHeight="1">
      <c r="B19" s="799"/>
      <c r="C19" s="673" t="s">
        <v>151</v>
      </c>
      <c r="D19" s="406">
        <v>3709</v>
      </c>
      <c r="E19" s="587">
        <f>D19*F19/10</f>
        <v>21174.3</v>
      </c>
      <c r="F19" s="407">
        <v>57.088972768940415</v>
      </c>
      <c r="G19" s="27"/>
      <c r="H19" s="142"/>
      <c r="I19" s="292"/>
      <c r="J19" s="431"/>
      <c r="K19" s="131"/>
      <c r="L19" s="131"/>
      <c r="M19" s="132"/>
      <c r="N19" s="28"/>
    </row>
    <row r="20" spans="2:14" ht="16.5" customHeight="1">
      <c r="B20" s="799"/>
      <c r="C20" s="673" t="s">
        <v>157</v>
      </c>
      <c r="D20" s="406">
        <f>SUM(D18:D19)</f>
        <v>22965</v>
      </c>
      <c r="E20" s="587">
        <f>SUM(E18:E19)</f>
        <v>146085.1</v>
      </c>
      <c r="F20" s="407">
        <v>63.612061833224473</v>
      </c>
      <c r="G20" s="27"/>
      <c r="H20" s="142"/>
      <c r="I20" s="292"/>
      <c r="J20" s="291"/>
      <c r="K20" s="131"/>
      <c r="L20" s="131"/>
      <c r="M20" s="132"/>
      <c r="N20" s="28"/>
    </row>
    <row r="21" spans="2:14" ht="18" customHeight="1">
      <c r="B21" s="971" t="s">
        <v>565</v>
      </c>
      <c r="C21" s="971"/>
      <c r="D21" s="971"/>
      <c r="E21" s="971"/>
      <c r="F21" s="971"/>
    </row>
    <row r="22" spans="2:14" ht="13.8">
      <c r="B22" s="323"/>
    </row>
    <row r="23" spans="2:14" ht="16.5" customHeight="1">
      <c r="B23" s="323"/>
      <c r="D23" s="302"/>
    </row>
    <row r="24" spans="2:14" ht="15" customHeight="1">
      <c r="B24" s="323"/>
      <c r="D24" s="302"/>
      <c r="E24" s="302"/>
      <c r="F24" s="285"/>
    </row>
    <row r="25" spans="2:14" ht="13.8">
      <c r="B25" s="323"/>
      <c r="E25" s="132"/>
      <c r="F25" s="285"/>
    </row>
    <row r="26" spans="2:14">
      <c r="F26" s="285"/>
    </row>
    <row r="27" spans="2:14">
      <c r="F27" s="285"/>
    </row>
    <row r="28" spans="2:14">
      <c r="F28" s="285"/>
    </row>
    <row r="29" spans="2:14">
      <c r="F29" s="285"/>
    </row>
  </sheetData>
  <mergeCells count="9">
    <mergeCell ref="B21:F21"/>
    <mergeCell ref="B1:F1"/>
    <mergeCell ref="B2:F2"/>
    <mergeCell ref="B3:F3"/>
    <mergeCell ref="B6:B8"/>
    <mergeCell ref="B9:B11"/>
    <mergeCell ref="B12:B14"/>
    <mergeCell ref="B15:B17"/>
    <mergeCell ref="B18:B20"/>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I9" sqref="I9"/>
    </sheetView>
  </sheetViews>
  <sheetFormatPr baseColWidth="10" defaultColWidth="10.921875" defaultRowHeight="17.399999999999999"/>
  <cols>
    <col min="1" max="1" width="0.765625" customWidth="1"/>
    <col min="2" max="2" width="18.3828125" customWidth="1"/>
    <col min="3" max="3" width="5.921875" customWidth="1"/>
    <col min="4" max="4" width="8.07421875" customWidth="1"/>
    <col min="5" max="5" width="5.921875" customWidth="1"/>
    <col min="6" max="6" width="14.3046875" customWidth="1"/>
  </cols>
  <sheetData>
    <row r="1" spans="2:8">
      <c r="B1" s="788" t="s">
        <v>160</v>
      </c>
      <c r="C1" s="788"/>
      <c r="D1" s="788"/>
      <c r="E1" s="788"/>
      <c r="F1" s="788"/>
    </row>
    <row r="2" spans="2:8" ht="17.7" customHeight="1">
      <c r="B2" s="789" t="s">
        <v>566</v>
      </c>
      <c r="C2" s="789"/>
      <c r="D2" s="789"/>
      <c r="E2" s="789"/>
      <c r="F2" s="789"/>
    </row>
    <row r="3" spans="2:8" ht="31.8" customHeight="1">
      <c r="B3" s="790" t="s">
        <v>749</v>
      </c>
      <c r="C3" s="790"/>
      <c r="D3" s="790"/>
      <c r="E3" s="790"/>
      <c r="F3" s="790"/>
    </row>
    <row r="4" spans="2:8">
      <c r="B4" s="788" t="s">
        <v>567</v>
      </c>
      <c r="C4" s="788"/>
      <c r="D4" s="788"/>
      <c r="E4" s="788"/>
      <c r="F4" s="788"/>
    </row>
    <row r="5" spans="2:8" ht="17.7" customHeight="1"/>
    <row r="6" spans="2:8">
      <c r="B6" s="805" t="s">
        <v>568</v>
      </c>
      <c r="C6" s="804"/>
      <c r="D6" s="929" t="s">
        <v>150</v>
      </c>
      <c r="E6" s="929"/>
      <c r="F6" s="339" t="s">
        <v>150</v>
      </c>
      <c r="G6" s="445"/>
    </row>
    <row r="7" spans="2:8" ht="34.5" customHeight="1">
      <c r="B7" s="804" t="s">
        <v>569</v>
      </c>
      <c r="C7" s="975"/>
      <c r="D7" s="929" t="s">
        <v>570</v>
      </c>
      <c r="E7" s="929"/>
      <c r="F7" s="339" t="s">
        <v>570</v>
      </c>
      <c r="G7" s="445"/>
    </row>
    <row r="8" spans="2:8">
      <c r="B8" s="804" t="s">
        <v>571</v>
      </c>
      <c r="C8" s="975"/>
      <c r="D8" s="929" t="s">
        <v>572</v>
      </c>
      <c r="E8" s="929"/>
      <c r="F8" s="339" t="s">
        <v>573</v>
      </c>
      <c r="H8" s="446"/>
    </row>
    <row r="9" spans="2:8" ht="39" customHeight="1">
      <c r="B9" s="804" t="s">
        <v>574</v>
      </c>
      <c r="C9" s="975"/>
      <c r="D9" s="929" t="s">
        <v>575</v>
      </c>
      <c r="E9" s="929"/>
      <c r="F9" s="339" t="s">
        <v>576</v>
      </c>
    </row>
    <row r="10" spans="2:8" ht="18.600000000000001" customHeight="1">
      <c r="B10" s="805" t="s">
        <v>410</v>
      </c>
      <c r="C10" s="804"/>
      <c r="D10" s="929">
        <v>65</v>
      </c>
      <c r="E10" s="929"/>
      <c r="F10" s="339">
        <v>90</v>
      </c>
    </row>
    <row r="11" spans="2:8" ht="21" customHeight="1">
      <c r="B11" s="805" t="s">
        <v>577</v>
      </c>
      <c r="C11" s="804"/>
      <c r="D11" s="929" t="s">
        <v>412</v>
      </c>
      <c r="E11" s="929"/>
      <c r="F11" s="339" t="s">
        <v>412</v>
      </c>
      <c r="G11" s="35"/>
    </row>
    <row r="12" spans="2:8" ht="21" customHeight="1">
      <c r="B12" s="804" t="s">
        <v>578</v>
      </c>
      <c r="C12" s="975"/>
      <c r="D12" s="976">
        <f>SUM(D13:E16)</f>
        <v>922237</v>
      </c>
      <c r="E12" s="977"/>
      <c r="F12" s="147">
        <f>SUM(F13:F16)</f>
        <v>1246384</v>
      </c>
    </row>
    <row r="13" spans="2:8">
      <c r="B13" s="978" t="s">
        <v>167</v>
      </c>
      <c r="C13" s="979"/>
      <c r="D13" s="976">
        <v>128000</v>
      </c>
      <c r="E13" s="977"/>
      <c r="F13" s="147">
        <v>92000</v>
      </c>
    </row>
    <row r="14" spans="2:8">
      <c r="B14" s="978" t="s">
        <v>168</v>
      </c>
      <c r="C14" s="979"/>
      <c r="D14" s="976">
        <v>270000</v>
      </c>
      <c r="E14" s="977"/>
      <c r="F14" s="147">
        <v>470000</v>
      </c>
    </row>
    <row r="15" spans="2:8">
      <c r="B15" s="978" t="s">
        <v>169</v>
      </c>
      <c r="C15" s="979"/>
      <c r="D15" s="976">
        <v>480321</v>
      </c>
      <c r="E15" s="977"/>
      <c r="F15" s="147">
        <v>625032</v>
      </c>
    </row>
    <row r="16" spans="2:8">
      <c r="B16" s="980" t="s">
        <v>579</v>
      </c>
      <c r="C16" s="981"/>
      <c r="D16" s="976">
        <v>43916</v>
      </c>
      <c r="E16" s="977"/>
      <c r="F16" s="147">
        <v>59352</v>
      </c>
    </row>
    <row r="17" spans="2:6">
      <c r="B17" s="806" t="s">
        <v>580</v>
      </c>
      <c r="C17" s="986"/>
      <c r="D17" s="976">
        <v>62251</v>
      </c>
      <c r="E17" s="977"/>
      <c r="F17" s="147">
        <v>84131</v>
      </c>
    </row>
    <row r="18" spans="2:6">
      <c r="B18" s="978" t="s">
        <v>170</v>
      </c>
      <c r="C18" s="978"/>
      <c r="D18" s="976">
        <f>SUM(D13:E17)</f>
        <v>984488</v>
      </c>
      <c r="E18" s="977"/>
      <c r="F18" s="147">
        <v>1330514</v>
      </c>
    </row>
    <row r="19" spans="2:6" ht="25.5" customHeight="1">
      <c r="B19" s="791" t="s">
        <v>581</v>
      </c>
      <c r="C19" s="791"/>
      <c r="D19" s="791"/>
      <c r="E19" s="791"/>
      <c r="F19" s="447"/>
    </row>
    <row r="20" spans="2:6" ht="22.8" customHeight="1">
      <c r="B20" s="983" t="s">
        <v>582</v>
      </c>
      <c r="C20" s="984"/>
      <c r="D20" s="984"/>
      <c r="E20" s="984"/>
      <c r="F20" s="985"/>
    </row>
    <row r="21" spans="2:6" ht="14.25" customHeight="1">
      <c r="B21" s="982"/>
      <c r="C21" s="982"/>
      <c r="D21" s="982"/>
      <c r="E21" s="982"/>
    </row>
    <row r="28" spans="2:6">
      <c r="C28" s="433"/>
      <c r="D28" s="433"/>
    </row>
    <row r="29" spans="2:6">
      <c r="C29" s="433"/>
      <c r="D29" s="433"/>
    </row>
    <row r="30" spans="2:6">
      <c r="C30" s="433"/>
      <c r="D30" s="433"/>
    </row>
    <row r="31" spans="2:6">
      <c r="C31" s="433"/>
      <c r="D31" s="433"/>
    </row>
  </sheetData>
  <mergeCells count="33">
    <mergeCell ref="D14:E14"/>
    <mergeCell ref="B13:C13"/>
    <mergeCell ref="B10:C10"/>
    <mergeCell ref="D9:E9"/>
    <mergeCell ref="D13:E13"/>
    <mergeCell ref="B14:C14"/>
    <mergeCell ref="B21:E21"/>
    <mergeCell ref="B19:E19"/>
    <mergeCell ref="B20:F20"/>
    <mergeCell ref="B17:C17"/>
    <mergeCell ref="D17:E17"/>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scale="99" orientation="portrait" r:id="rId1"/>
  <headerFooter>
    <oddFooter>&amp;C&amp;11&amp;A</oddFooter>
  </headerFooter>
  <ignoredErrors>
    <ignoredError sqref="F12"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N35"/>
  <sheetViews>
    <sheetView topLeftCell="B9" zoomScaleNormal="100" workbookViewId="0">
      <selection activeCell="J13" sqref="J13"/>
    </sheetView>
  </sheetViews>
  <sheetFormatPr baseColWidth="10" defaultColWidth="9.69140625" defaultRowHeight="11.4"/>
  <cols>
    <col min="1" max="1" width="1.23046875" style="1" customWidth="1"/>
    <col min="2" max="2" width="7.69140625" style="1" customWidth="1"/>
    <col min="3" max="7" width="10.69140625" style="1" customWidth="1"/>
    <col min="8" max="8" width="2.07421875" style="1" customWidth="1"/>
    <col min="9" max="9" width="8.23046875" style="1" bestFit="1" customWidth="1"/>
    <col min="10" max="10" width="14.765625" style="1" bestFit="1" customWidth="1"/>
    <col min="11" max="11" width="7.3828125" style="1" customWidth="1"/>
    <col min="12" max="16384" width="9.69140625" style="1"/>
  </cols>
  <sheetData>
    <row r="1" spans="2:14" s="15" customFormat="1" ht="18" customHeight="1">
      <c r="B1" s="788" t="s">
        <v>163</v>
      </c>
      <c r="C1" s="788"/>
      <c r="D1" s="788"/>
      <c r="E1" s="788"/>
      <c r="F1" s="788"/>
      <c r="G1" s="788"/>
    </row>
    <row r="2" spans="2:14" s="15" customFormat="1" ht="13.2"/>
    <row r="3" spans="2:14" s="15" customFormat="1" ht="13.2">
      <c r="B3" s="766" t="s">
        <v>484</v>
      </c>
      <c r="C3" s="766"/>
      <c r="D3" s="766"/>
      <c r="E3" s="766"/>
      <c r="F3" s="766"/>
      <c r="G3" s="766"/>
    </row>
    <row r="4" spans="2:14" s="15" customFormat="1" ht="13.2">
      <c r="B4" s="766" t="s">
        <v>685</v>
      </c>
      <c r="C4" s="766"/>
      <c r="D4" s="766"/>
      <c r="E4" s="766"/>
      <c r="F4" s="766"/>
      <c r="G4" s="766"/>
    </row>
    <row r="5" spans="2:14" s="15" customFormat="1" ht="17.399999999999999">
      <c r="B5" s="987" t="s">
        <v>421</v>
      </c>
      <c r="C5" s="987"/>
      <c r="D5" s="987"/>
      <c r="E5" s="987"/>
      <c r="F5" s="987"/>
      <c r="G5" s="987"/>
      <c r="M5"/>
      <c r="N5"/>
    </row>
    <row r="6" spans="2:14" s="22" customFormat="1" ht="28.5" customHeight="1">
      <c r="B6" s="829" t="s">
        <v>111</v>
      </c>
      <c r="C6" s="829" t="s">
        <v>583</v>
      </c>
      <c r="D6" s="829" t="s">
        <v>584</v>
      </c>
      <c r="E6" s="829" t="s">
        <v>585</v>
      </c>
      <c r="F6" s="829" t="s">
        <v>187</v>
      </c>
      <c r="G6" s="831" t="s">
        <v>586</v>
      </c>
      <c r="M6"/>
      <c r="N6"/>
    </row>
    <row r="7" spans="2:14" s="22" customFormat="1" ht="17.399999999999999">
      <c r="B7" s="829"/>
      <c r="C7" s="829"/>
      <c r="D7" s="829"/>
      <c r="E7" s="829"/>
      <c r="F7" s="829"/>
      <c r="G7" s="832"/>
      <c r="I7" s="20"/>
      <c r="M7"/>
      <c r="N7"/>
    </row>
    <row r="8" spans="2:14" s="22" customFormat="1" ht="15.75" customHeight="1">
      <c r="B8" s="52">
        <v>2011</v>
      </c>
      <c r="C8" s="206">
        <v>70402.445999999996</v>
      </c>
      <c r="D8" s="206">
        <v>83594.012600000002</v>
      </c>
      <c r="E8" s="206">
        <v>346.1</v>
      </c>
      <c r="F8" s="206">
        <f t="shared" ref="F8:F15" si="0">C8+D8-E8</f>
        <v>153650.35860000001</v>
      </c>
      <c r="G8" s="209"/>
      <c r="I8" s="20"/>
      <c r="J8" s="11"/>
      <c r="K8" s="208"/>
      <c r="M8"/>
      <c r="N8"/>
    </row>
    <row r="9" spans="2:14" s="22" customFormat="1" ht="15.75" customHeight="1">
      <c r="B9" s="52">
        <v>2012</v>
      </c>
      <c r="C9" s="206">
        <v>80885.466</v>
      </c>
      <c r="D9" s="206">
        <v>93846.020999999993</v>
      </c>
      <c r="E9" s="207">
        <v>62.3</v>
      </c>
      <c r="F9" s="206">
        <f t="shared" si="0"/>
        <v>174669.18700000001</v>
      </c>
      <c r="G9" s="209">
        <f t="shared" ref="G9:G15" si="1">F9/F8*100-100</f>
        <v>13.679648125468162</v>
      </c>
      <c r="I9" s="20"/>
      <c r="J9" s="11"/>
      <c r="K9" s="208"/>
      <c r="M9"/>
      <c r="N9"/>
    </row>
    <row r="10" spans="2:14" s="22" customFormat="1" ht="15.75" customHeight="1">
      <c r="B10" s="52">
        <v>2013</v>
      </c>
      <c r="C10" s="206">
        <v>70365.941999999995</v>
      </c>
      <c r="D10" s="206">
        <v>90685.751000000004</v>
      </c>
      <c r="E10" s="207">
        <v>2</v>
      </c>
      <c r="F10" s="206">
        <f t="shared" si="0"/>
        <v>161049.693</v>
      </c>
      <c r="G10" s="209">
        <f t="shared" si="1"/>
        <v>-7.797307718618967</v>
      </c>
      <c r="J10" s="11"/>
      <c r="K10" s="208"/>
      <c r="M10"/>
      <c r="N10"/>
    </row>
    <row r="11" spans="2:14" s="22" customFormat="1" ht="15.75" customHeight="1">
      <c r="B11" s="52">
        <v>2014</v>
      </c>
      <c r="C11" s="206">
        <v>72837.521999999997</v>
      </c>
      <c r="D11" s="206">
        <v>90177</v>
      </c>
      <c r="E11" s="207">
        <v>7217.1</v>
      </c>
      <c r="F11" s="206">
        <f t="shared" si="0"/>
        <v>155797.42199999999</v>
      </c>
      <c r="G11" s="209">
        <f t="shared" si="1"/>
        <v>-3.2612735250603748</v>
      </c>
      <c r="J11" s="11"/>
      <c r="K11" s="208"/>
      <c r="M11"/>
      <c r="N11"/>
    </row>
    <row r="12" spans="2:14" s="22" customFormat="1" ht="15.75" customHeight="1">
      <c r="B12" s="52">
        <v>2015</v>
      </c>
      <c r="C12" s="206">
        <v>88322.4</v>
      </c>
      <c r="D12" s="206">
        <v>118644</v>
      </c>
      <c r="E12" s="207">
        <v>3019</v>
      </c>
      <c r="F12" s="206">
        <f t="shared" si="0"/>
        <v>203947.4</v>
      </c>
      <c r="G12" s="209">
        <f t="shared" si="1"/>
        <v>30.905503686704151</v>
      </c>
      <c r="J12" s="11"/>
      <c r="K12" s="208"/>
      <c r="M12"/>
      <c r="N12"/>
    </row>
    <row r="13" spans="2:14" s="22" customFormat="1" ht="15.75" customHeight="1">
      <c r="B13" s="52">
        <v>2016</v>
      </c>
      <c r="C13" s="206">
        <v>93964</v>
      </c>
      <c r="D13" s="206">
        <v>103903.446</v>
      </c>
      <c r="E13" s="207">
        <v>1218.712</v>
      </c>
      <c r="F13" s="206">
        <f t="shared" si="0"/>
        <v>196648.734</v>
      </c>
      <c r="G13" s="209">
        <f t="shared" si="1"/>
        <v>-3.5787001942657781</v>
      </c>
      <c r="J13" s="11"/>
      <c r="K13" s="208"/>
      <c r="M13"/>
      <c r="N13"/>
    </row>
    <row r="14" spans="2:14" s="22" customFormat="1" ht="15.75" customHeight="1">
      <c r="B14" s="52">
        <v>2017</v>
      </c>
      <c r="C14" s="206">
        <f>+'48'!E8*0.56</f>
        <v>71604.954400000017</v>
      </c>
      <c r="D14" s="206">
        <f>'51'!C18</f>
        <v>133366.25400000002</v>
      </c>
      <c r="E14" s="207">
        <v>1483</v>
      </c>
      <c r="F14" s="206">
        <f t="shared" si="0"/>
        <v>203488.20840000003</v>
      </c>
      <c r="G14" s="209">
        <f t="shared" si="1"/>
        <v>3.4780159835659248</v>
      </c>
      <c r="I14" s="318"/>
      <c r="J14" s="11"/>
      <c r="K14" s="11"/>
      <c r="M14"/>
      <c r="N14"/>
    </row>
    <row r="15" spans="2:14" s="22" customFormat="1" ht="15.75" customHeight="1">
      <c r="B15" s="52">
        <v>2018</v>
      </c>
      <c r="C15" s="206">
        <f>+'48'!E11*0.56</f>
        <v>107972.48000000001</v>
      </c>
      <c r="D15" s="206">
        <f>+'51'!D18</f>
        <v>126281.10111</v>
      </c>
      <c r="E15" s="207">
        <f>4385587/1000</f>
        <v>4385.5870000000004</v>
      </c>
      <c r="F15" s="206">
        <f t="shared" si="0"/>
        <v>229867.99411000003</v>
      </c>
      <c r="G15" s="209">
        <f t="shared" si="1"/>
        <v>12.963790834574951</v>
      </c>
      <c r="I15" s="246"/>
      <c r="J15" s="11"/>
      <c r="K15" s="11"/>
      <c r="M15"/>
      <c r="N15"/>
    </row>
    <row r="16" spans="2:14" s="22" customFormat="1" ht="15.75" customHeight="1">
      <c r="B16" s="52">
        <v>2019</v>
      </c>
      <c r="C16" s="206">
        <f>+'48'!E14*0.56</f>
        <v>97942.432000000015</v>
      </c>
      <c r="D16" s="206">
        <f>+'51'!D18</f>
        <v>126281.10111</v>
      </c>
      <c r="E16" s="207">
        <v>3192</v>
      </c>
      <c r="F16" s="206">
        <f>C16+D16-E16</f>
        <v>221031.53311000002</v>
      </c>
      <c r="G16" s="209">
        <f>F16/F15*100-100</f>
        <v>-3.8441458691162751</v>
      </c>
      <c r="J16" s="11"/>
      <c r="K16" s="11"/>
      <c r="M16"/>
      <c r="N16"/>
    </row>
    <row r="17" spans="2:14" s="22" customFormat="1" ht="15.75" customHeight="1">
      <c r="B17" s="52">
        <v>2020</v>
      </c>
      <c r="C17" s="206">
        <f>+'48'!E17*0.56</f>
        <v>95030.040000000008</v>
      </c>
      <c r="D17" s="206">
        <f>+'51'!E18</f>
        <v>167355.36387</v>
      </c>
      <c r="E17" s="207">
        <v>162</v>
      </c>
      <c r="F17" s="206">
        <f>C17+D17-E17</f>
        <v>262223.40387000004</v>
      </c>
      <c r="G17" s="209">
        <f>F17/F16*100-100</f>
        <v>18.636196465008538</v>
      </c>
      <c r="J17" s="11"/>
      <c r="K17" s="11"/>
      <c r="M17"/>
      <c r="N17"/>
    </row>
    <row r="18" spans="2:14" s="22" customFormat="1" ht="15.75" customHeight="1">
      <c r="B18" s="585">
        <v>2021</v>
      </c>
      <c r="C18" s="206">
        <f>+'48'!E20*0.56</f>
        <v>81807.656000000017</v>
      </c>
      <c r="D18" s="206">
        <f>+'51'!F18</f>
        <v>131208.58575</v>
      </c>
      <c r="E18" s="207">
        <f>22157.26/1000</f>
        <v>22.157259999999997</v>
      </c>
      <c r="F18" s="206">
        <f>C18+D18-E18</f>
        <v>212994.08449000001</v>
      </c>
      <c r="G18" s="209">
        <f>F18/F17*100-100</f>
        <v>-18.77380838378788</v>
      </c>
      <c r="J18" s="11"/>
      <c r="K18" s="11"/>
      <c r="M18"/>
      <c r="N18"/>
    </row>
    <row r="19" spans="2:14" s="22" customFormat="1" ht="21.75" customHeight="1">
      <c r="B19" s="791" t="s">
        <v>587</v>
      </c>
      <c r="C19" s="863"/>
      <c r="D19" s="863"/>
      <c r="E19" s="863"/>
      <c r="F19" s="863"/>
      <c r="G19" s="863"/>
      <c r="I19" s="11"/>
      <c r="J19" s="11"/>
      <c r="M19"/>
      <c r="N19"/>
    </row>
    <row r="20" spans="2:14" ht="24.75" customHeight="1"/>
    <row r="21" spans="2:14" ht="15.75" customHeight="1">
      <c r="J21" s="11"/>
    </row>
    <row r="22" spans="2:14" ht="15" customHeight="1"/>
    <row r="23" spans="2:14" ht="15" customHeight="1"/>
    <row r="24" spans="2:14" ht="15" customHeight="1"/>
    <row r="25" spans="2:14" ht="15" customHeight="1"/>
    <row r="26" spans="2:14" ht="15" customHeight="1"/>
    <row r="27" spans="2:14" ht="15" customHeight="1">
      <c r="G27" s="10"/>
    </row>
    <row r="28" spans="2:14" ht="15" customHeight="1">
      <c r="G28" s="11"/>
      <c r="L28" s="210"/>
    </row>
    <row r="29" spans="2:14" ht="15" customHeight="1">
      <c r="L29" s="210"/>
    </row>
    <row r="30" spans="2:14" ht="15" customHeight="1">
      <c r="L30" s="210"/>
    </row>
    <row r="31" spans="2:14" ht="15" customHeight="1"/>
    <row r="32" spans="2:14" ht="15" customHeight="1"/>
    <row r="33" spans="9:9" ht="15" customHeight="1"/>
    <row r="34" spans="9:9" ht="15" customHeight="1">
      <c r="I34" s="21"/>
    </row>
    <row r="35" spans="9:9" ht="7.5" customHeight="1"/>
  </sheetData>
  <mergeCells count="11">
    <mergeCell ref="B19:G19"/>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topLeftCell="B1" zoomScaleNormal="100" workbookViewId="0">
      <selection activeCell="I9" sqref="I9"/>
    </sheetView>
  </sheetViews>
  <sheetFormatPr baseColWidth="10" defaultColWidth="10.921875" defaultRowHeight="17.399999999999999"/>
  <cols>
    <col min="1" max="1" width="1.3046875" style="1" customWidth="1"/>
    <col min="2" max="2" width="9.3828125" customWidth="1"/>
    <col min="3" max="6" width="9.07421875" customWidth="1"/>
    <col min="7" max="7" width="9.07421875" style="1" customWidth="1"/>
    <col min="8" max="8" width="7.921875" style="1" customWidth="1"/>
    <col min="9" max="9" width="13.765625" style="1" bestFit="1" customWidth="1"/>
    <col min="10" max="16384" width="10.921875" style="1"/>
  </cols>
  <sheetData>
    <row r="1" spans="1:10" s="15" customFormat="1" ht="16.5" customHeight="1">
      <c r="B1" s="766" t="s">
        <v>179</v>
      </c>
      <c r="C1" s="766"/>
      <c r="D1" s="766"/>
      <c r="E1" s="766"/>
      <c r="F1" s="766"/>
      <c r="G1" s="766"/>
    </row>
    <row r="2" spans="1:10" s="15" customFormat="1" ht="11.25" customHeight="1">
      <c r="A2" s="17"/>
      <c r="B2" s="17"/>
      <c r="C2" s="17"/>
      <c r="D2" s="17"/>
      <c r="E2" s="16"/>
      <c r="F2" s="420"/>
      <c r="G2" s="420"/>
      <c r="H2" s="11"/>
    </row>
    <row r="3" spans="1:10" s="15" customFormat="1" ht="24.75" customHeight="1">
      <c r="B3" s="857" t="s">
        <v>588</v>
      </c>
      <c r="C3" s="857"/>
      <c r="D3" s="857"/>
      <c r="E3" s="857"/>
      <c r="F3" s="857"/>
      <c r="G3" s="857"/>
    </row>
    <row r="4" spans="1:10" s="15" customFormat="1" ht="15.75" customHeight="1">
      <c r="B4" s="838" t="s">
        <v>666</v>
      </c>
      <c r="C4" s="838"/>
      <c r="D4" s="838"/>
      <c r="E4" s="838"/>
      <c r="F4" s="838"/>
      <c r="G4" s="838"/>
    </row>
    <row r="5" spans="1:10" s="22" customFormat="1" ht="15.75" customHeight="1">
      <c r="B5" s="128" t="s">
        <v>425</v>
      </c>
      <c r="C5" s="159">
        <v>2018</v>
      </c>
      <c r="D5" s="159">
        <v>2019</v>
      </c>
      <c r="E5" s="159">
        <v>2020</v>
      </c>
      <c r="F5" s="159">
        <v>2021</v>
      </c>
      <c r="G5" s="159">
        <v>2022</v>
      </c>
      <c r="H5" s="95"/>
      <c r="I5" s="95"/>
      <c r="J5" s="95"/>
    </row>
    <row r="6" spans="1:10" s="22" customFormat="1" ht="15.75" customHeight="1">
      <c r="B6" s="24" t="str">
        <f>'52'!B7</f>
        <v>Enero</v>
      </c>
      <c r="C6" s="46">
        <v>9627.125</v>
      </c>
      <c r="D6" s="306">
        <v>9764.720800000001</v>
      </c>
      <c r="E6" s="306">
        <v>8803</v>
      </c>
      <c r="F6" s="46">
        <v>8285</v>
      </c>
      <c r="G6" s="46">
        <v>7846</v>
      </c>
      <c r="H6" s="95"/>
      <c r="I6" s="95"/>
      <c r="J6" s="95"/>
    </row>
    <row r="7" spans="1:10" s="22" customFormat="1" ht="15.75" customHeight="1">
      <c r="B7" s="24" t="str">
        <f>'52'!B8</f>
        <v>Febrero</v>
      </c>
      <c r="C7" s="46">
        <v>9983.5290000000005</v>
      </c>
      <c r="D7" s="306">
        <v>9739</v>
      </c>
      <c r="E7" s="306">
        <v>10115</v>
      </c>
      <c r="F7" s="46">
        <v>10165</v>
      </c>
      <c r="G7" s="46">
        <v>7834</v>
      </c>
      <c r="H7" s="95"/>
      <c r="I7" s="95"/>
    </row>
    <row r="8" spans="1:10" s="22" customFormat="1" ht="15.75" customHeight="1">
      <c r="B8" s="24" t="str">
        <f>'52'!B9</f>
        <v>Marzo</v>
      </c>
      <c r="C8" s="46">
        <v>13439</v>
      </c>
      <c r="D8" s="306">
        <v>9720.3803099999986</v>
      </c>
      <c r="E8" s="306">
        <v>10593.363869999997</v>
      </c>
      <c r="F8" s="46">
        <v>8486</v>
      </c>
      <c r="G8" s="46">
        <v>14581.501040000001</v>
      </c>
      <c r="H8" s="95"/>
      <c r="I8" s="11"/>
    </row>
    <row r="9" spans="1:10" s="22" customFormat="1" ht="15.75" customHeight="1">
      <c r="B9" s="24" t="str">
        <f>'52'!B10</f>
        <v>Abril</v>
      </c>
      <c r="C9" s="46">
        <v>13435</v>
      </c>
      <c r="D9" s="306">
        <v>11090</v>
      </c>
      <c r="E9" s="306">
        <v>16660</v>
      </c>
      <c r="F9" s="46">
        <v>7510</v>
      </c>
      <c r="G9" s="46">
        <v>14602.845460000002</v>
      </c>
      <c r="H9" s="95"/>
      <c r="I9" s="95"/>
    </row>
    <row r="10" spans="1:10" s="22" customFormat="1" ht="15.75" customHeight="1">
      <c r="B10" s="24" t="str">
        <f>'52'!B11</f>
        <v>Mayo</v>
      </c>
      <c r="C10" s="46">
        <v>15360</v>
      </c>
      <c r="D10" s="306">
        <v>10562</v>
      </c>
      <c r="E10" s="306">
        <v>14952</v>
      </c>
      <c r="F10" s="46">
        <v>12437</v>
      </c>
      <c r="G10" s="46">
        <v>15988.013730000001</v>
      </c>
      <c r="H10" s="95"/>
      <c r="I10" s="95"/>
    </row>
    <row r="11" spans="1:10" s="22" customFormat="1" ht="15.75" customHeight="1">
      <c r="B11" s="24" t="str">
        <f>'52'!B12</f>
        <v>Junio</v>
      </c>
      <c r="C11" s="46">
        <v>11595.6</v>
      </c>
      <c r="D11" s="306">
        <v>10405</v>
      </c>
      <c r="E11" s="306">
        <v>15182</v>
      </c>
      <c r="F11" s="46">
        <v>11749.450769999998</v>
      </c>
      <c r="G11" s="46"/>
      <c r="H11" s="95"/>
      <c r="I11" s="95"/>
    </row>
    <row r="12" spans="1:10" s="22" customFormat="1" ht="15.75" customHeight="1">
      <c r="B12" s="24" t="str">
        <f>'52'!B13</f>
        <v>Julio</v>
      </c>
      <c r="C12" s="46">
        <v>10589</v>
      </c>
      <c r="D12" s="306">
        <v>9905</v>
      </c>
      <c r="E12" s="306">
        <v>19199</v>
      </c>
      <c r="F12" s="46">
        <v>14191</v>
      </c>
      <c r="G12" s="46"/>
      <c r="H12" s="95"/>
      <c r="I12" s="95"/>
    </row>
    <row r="13" spans="1:10" s="22" customFormat="1" ht="15.75" customHeight="1">
      <c r="B13" s="24" t="str">
        <f>'52'!B14</f>
        <v>Agosto</v>
      </c>
      <c r="C13" s="46">
        <v>12381</v>
      </c>
      <c r="D13" s="306">
        <v>11502</v>
      </c>
      <c r="E13" s="306">
        <v>19294</v>
      </c>
      <c r="F13" s="46">
        <v>14413</v>
      </c>
      <c r="G13" s="46"/>
      <c r="H13" s="95"/>
      <c r="I13" s="95"/>
    </row>
    <row r="14" spans="1:10" s="22" customFormat="1" ht="15.75" customHeight="1">
      <c r="B14" s="24" t="str">
        <f>'52'!B15</f>
        <v>Septiembre</v>
      </c>
      <c r="C14" s="46">
        <v>6745</v>
      </c>
      <c r="D14" s="306">
        <v>11560</v>
      </c>
      <c r="E14" s="306">
        <v>21882</v>
      </c>
      <c r="F14" s="46">
        <v>10322</v>
      </c>
      <c r="G14" s="46"/>
      <c r="H14" s="95"/>
      <c r="I14" s="95"/>
    </row>
    <row r="15" spans="1:10" s="22" customFormat="1" ht="15.75" customHeight="1">
      <c r="B15" s="24" t="str">
        <f>'52'!B16</f>
        <v>Octubre</v>
      </c>
      <c r="C15" s="46">
        <v>11079</v>
      </c>
      <c r="D15" s="306">
        <v>8853</v>
      </c>
      <c r="E15" s="306">
        <v>13942</v>
      </c>
      <c r="F15" s="46">
        <v>13685</v>
      </c>
      <c r="G15" s="46"/>
      <c r="H15" s="95"/>
      <c r="I15" s="95"/>
    </row>
    <row r="16" spans="1:10" s="22" customFormat="1" ht="15.75" customHeight="1">
      <c r="B16" s="24" t="str">
        <f>'52'!B17</f>
        <v>Noviembre</v>
      </c>
      <c r="C16" s="46">
        <v>10817</v>
      </c>
      <c r="D16" s="306">
        <v>11852</v>
      </c>
      <c r="E16" s="306">
        <v>6854</v>
      </c>
      <c r="F16" s="46">
        <v>9525.1349799999989</v>
      </c>
      <c r="G16" s="46"/>
      <c r="H16" s="95"/>
      <c r="I16" s="95"/>
    </row>
    <row r="17" spans="2:12" s="22" customFormat="1" ht="15.75" customHeight="1">
      <c r="B17" s="24" t="str">
        <f>'52'!B18</f>
        <v>Diciembre</v>
      </c>
      <c r="C17" s="46">
        <v>8315</v>
      </c>
      <c r="D17" s="306">
        <v>11328</v>
      </c>
      <c r="E17" s="306">
        <v>9879</v>
      </c>
      <c r="F17" s="46">
        <v>10440</v>
      </c>
      <c r="G17" s="46"/>
      <c r="H17" s="95"/>
      <c r="I17" s="95"/>
    </row>
    <row r="18" spans="2:12" s="22" customFormat="1" ht="15.75" customHeight="1">
      <c r="B18" s="24" t="s">
        <v>198</v>
      </c>
      <c r="C18" s="46">
        <f>SUM(C6:C17)</f>
        <v>133366.25400000002</v>
      </c>
      <c r="D18" s="306">
        <f>SUM(D6:D17)</f>
        <v>126281.10111</v>
      </c>
      <c r="E18" s="306">
        <f>SUM(E6:E17)</f>
        <v>167355.36387</v>
      </c>
      <c r="F18" s="306">
        <f>SUM(F6:F17)</f>
        <v>131208.58575</v>
      </c>
      <c r="G18" s="306">
        <f>SUM(G6:G17)</f>
        <v>60852.360230000006</v>
      </c>
      <c r="H18" s="95"/>
      <c r="I18" s="11"/>
      <c r="J18" s="95"/>
      <c r="K18" s="248"/>
      <c r="L18" s="95"/>
    </row>
    <row r="19" spans="2:12" ht="18" customHeight="1">
      <c r="B19" s="791" t="s">
        <v>426</v>
      </c>
      <c r="C19" s="791"/>
      <c r="D19" s="791"/>
      <c r="E19" s="791"/>
      <c r="F19" s="791"/>
      <c r="G19" s="791"/>
      <c r="H19" s="12"/>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B878"/>
  <sheetViews>
    <sheetView topLeftCell="A5" zoomScaleNormal="100" workbookViewId="0">
      <selection activeCell="N36" sqref="N36"/>
    </sheetView>
  </sheetViews>
  <sheetFormatPr baseColWidth="10" defaultColWidth="10.921875" defaultRowHeight="11.4"/>
  <cols>
    <col min="1" max="1" width="1.23046875" style="1" customWidth="1"/>
    <col min="2" max="2" width="8.3828125" style="1" customWidth="1"/>
    <col min="3" max="6" width="4.921875" style="1" customWidth="1"/>
    <col min="7" max="10" width="4.921875" style="375" customWidth="1"/>
    <col min="11" max="12" width="5.84375" style="375" customWidth="1"/>
    <col min="13" max="13" width="4.765625" style="1" bestFit="1" customWidth="1"/>
    <col min="14" max="14" width="6" style="1" customWidth="1"/>
    <col min="15" max="15" width="6.3828125" style="1" bestFit="1" customWidth="1"/>
    <col min="16" max="16" width="6.15234375" style="1" bestFit="1" customWidth="1"/>
    <col min="17" max="17" width="5.921875" style="1" customWidth="1"/>
    <col min="18" max="18" width="7.69140625" style="601" customWidth="1"/>
    <col min="19" max="19" width="5.921875" style="601" customWidth="1"/>
    <col min="20" max="20" width="6.23046875" style="601" bestFit="1" customWidth="1"/>
    <col min="21" max="21" width="5.23046875" style="601" customWidth="1"/>
    <col min="22" max="23" width="10.921875" style="601"/>
    <col min="24" max="24" width="10.921875" style="373"/>
    <col min="25" max="27" width="10.921875" style="1"/>
    <col min="28" max="28" width="4.765625" style="1" customWidth="1"/>
    <col min="29" max="16384" width="10.921875" style="1"/>
  </cols>
  <sheetData>
    <row r="1" spans="2:24" s="15" customFormat="1" ht="13.2">
      <c r="B1" s="766" t="s">
        <v>192</v>
      </c>
      <c r="C1" s="766"/>
      <c r="D1" s="766"/>
      <c r="E1" s="766"/>
      <c r="F1" s="766"/>
      <c r="G1" s="766"/>
      <c r="H1" s="766"/>
      <c r="I1" s="766"/>
      <c r="J1" s="766"/>
      <c r="K1" s="766"/>
      <c r="L1" s="766"/>
      <c r="M1" s="766"/>
      <c r="Q1" s="22"/>
      <c r="R1" s="604" t="str">
        <f>C5</f>
        <v>Argentina</v>
      </c>
      <c r="S1" s="604" t="str">
        <f>E5</f>
        <v>Uruguay</v>
      </c>
      <c r="T1" s="604" t="str">
        <f>I5</f>
        <v>Pakistán</v>
      </c>
      <c r="U1" s="604" t="str">
        <f>G5</f>
        <v>Paraguay</v>
      </c>
      <c r="V1" s="604" t="s">
        <v>200</v>
      </c>
      <c r="W1" s="604"/>
      <c r="X1" s="308"/>
    </row>
    <row r="2" spans="2:24" s="15" customFormat="1" ht="17.399999999999999">
      <c r="B2" s="766" t="s">
        <v>488</v>
      </c>
      <c r="C2" s="766"/>
      <c r="D2" s="766"/>
      <c r="E2" s="766"/>
      <c r="F2" s="766"/>
      <c r="G2" s="766"/>
      <c r="H2" s="766"/>
      <c r="I2" s="766"/>
      <c r="J2" s="766"/>
      <c r="K2" s="766"/>
      <c r="L2" s="766"/>
      <c r="M2" s="766"/>
      <c r="Q2" s="22"/>
      <c r="R2" s="442">
        <f>D20</f>
        <v>0.5635484985756839</v>
      </c>
      <c r="S2" s="442">
        <f>F20</f>
        <v>8.7897166432103546E-2</v>
      </c>
      <c r="T2" s="442">
        <f>J20</f>
        <v>5.7516147211346957E-3</v>
      </c>
      <c r="U2" s="442">
        <f>H20</f>
        <v>0.33052271882753426</v>
      </c>
      <c r="V2" s="442">
        <f>1-(SUM(U2+T2+S2+R2))</f>
        <v>1.2280001443543576E-2</v>
      </c>
      <c r="W2" s="604"/>
      <c r="X2" s="308"/>
    </row>
    <row r="3" spans="2:24" s="15" customFormat="1" ht="13.2">
      <c r="B3" s="990" t="s">
        <v>657</v>
      </c>
      <c r="C3" s="990"/>
      <c r="D3" s="990"/>
      <c r="E3" s="990"/>
      <c r="F3" s="990"/>
      <c r="G3" s="990"/>
      <c r="H3" s="990"/>
      <c r="I3" s="990"/>
      <c r="J3" s="990"/>
      <c r="K3" s="990"/>
      <c r="L3" s="990"/>
      <c r="M3" s="990"/>
      <c r="Q3" s="22"/>
      <c r="R3" s="603"/>
      <c r="S3" s="603"/>
      <c r="T3" s="603"/>
      <c r="U3" s="603"/>
      <c r="V3" s="603"/>
      <c r="W3" s="604"/>
      <c r="X3" s="308"/>
    </row>
    <row r="4" spans="2:24" s="15" customFormat="1" ht="13.2">
      <c r="B4" s="598"/>
      <c r="C4" s="598"/>
      <c r="D4" s="598"/>
      <c r="E4" s="598"/>
      <c r="F4" s="598"/>
      <c r="G4" s="598"/>
      <c r="H4" s="598"/>
      <c r="I4" s="598"/>
      <c r="J4" s="598"/>
      <c r="K4" s="598"/>
      <c r="L4" s="598"/>
      <c r="M4" s="598"/>
      <c r="Q4" s="22"/>
      <c r="R4" s="603"/>
      <c r="S4" s="603"/>
      <c r="T4" s="603"/>
      <c r="U4" s="603"/>
      <c r="V4" s="603"/>
      <c r="W4" s="604"/>
      <c r="X4" s="308"/>
    </row>
    <row r="5" spans="2:24" s="22" customFormat="1" ht="15.75" customHeight="1">
      <c r="B5" s="128" t="s">
        <v>428</v>
      </c>
      <c r="C5" s="829" t="s">
        <v>112</v>
      </c>
      <c r="D5" s="829"/>
      <c r="E5" s="829" t="s">
        <v>552</v>
      </c>
      <c r="F5" s="829"/>
      <c r="G5" s="988" t="s">
        <v>429</v>
      </c>
      <c r="H5" s="988"/>
      <c r="I5" s="995" t="s">
        <v>550</v>
      </c>
      <c r="J5" s="996"/>
      <c r="K5" s="991" t="s">
        <v>198</v>
      </c>
      <c r="L5" s="992"/>
      <c r="M5" s="993"/>
      <c r="O5" s="15"/>
      <c r="P5" s="15"/>
      <c r="R5" s="604"/>
      <c r="S5" s="604"/>
      <c r="T5" s="604"/>
      <c r="U5" s="604"/>
      <c r="V5" s="604"/>
      <c r="W5" s="604"/>
      <c r="X5" s="300"/>
    </row>
    <row r="6" spans="2:24" s="22" customFormat="1" ht="15.75" customHeight="1">
      <c r="B6" s="24"/>
      <c r="C6" s="212">
        <v>2021</v>
      </c>
      <c r="D6" s="212">
        <v>2022</v>
      </c>
      <c r="E6" s="212">
        <v>2021</v>
      </c>
      <c r="F6" s="212">
        <v>2022</v>
      </c>
      <c r="G6" s="435">
        <v>2021</v>
      </c>
      <c r="H6" s="435">
        <v>2022</v>
      </c>
      <c r="I6" s="435">
        <v>2021</v>
      </c>
      <c r="J6" s="435">
        <v>2022</v>
      </c>
      <c r="K6" s="435">
        <v>2021</v>
      </c>
      <c r="L6" s="435">
        <v>2022</v>
      </c>
      <c r="M6" s="212" t="s">
        <v>202</v>
      </c>
      <c r="O6" s="15"/>
      <c r="P6" s="15"/>
      <c r="R6" s="604"/>
      <c r="S6" s="604"/>
      <c r="T6" s="604"/>
      <c r="U6" s="604"/>
      <c r="V6" s="604"/>
      <c r="W6" s="604"/>
      <c r="X6" s="300"/>
    </row>
    <row r="7" spans="2:24" s="22" customFormat="1" ht="15.75" customHeight="1">
      <c r="B7" s="24" t="s">
        <v>203</v>
      </c>
      <c r="C7" s="67">
        <v>2671.4</v>
      </c>
      <c r="D7" s="67">
        <v>3532.5475999999999</v>
      </c>
      <c r="E7" s="67">
        <v>360.00200000000001</v>
      </c>
      <c r="F7" s="67">
        <v>828.56</v>
      </c>
      <c r="G7" s="67">
        <v>1233.4000000000001</v>
      </c>
      <c r="H7" s="67">
        <v>3240.48</v>
      </c>
      <c r="I7" s="67">
        <v>330</v>
      </c>
      <c r="J7" s="67">
        <v>75</v>
      </c>
      <c r="K7" s="67">
        <v>8284.7797800000008</v>
      </c>
      <c r="L7" s="67">
        <v>7845.8767399999997</v>
      </c>
      <c r="M7" s="67">
        <f>L7/K7*100-100</f>
        <v>-5.2977031575364464</v>
      </c>
      <c r="O7" s="15"/>
      <c r="P7" s="15"/>
      <c r="R7" s="604"/>
      <c r="S7" s="604"/>
      <c r="T7" s="604"/>
      <c r="U7" s="604"/>
      <c r="V7" s="604"/>
      <c r="W7" s="604"/>
      <c r="X7" s="300"/>
    </row>
    <row r="8" spans="2:24" s="22" customFormat="1" ht="15.75" customHeight="1">
      <c r="B8" s="24" t="s">
        <v>204</v>
      </c>
      <c r="C8" s="67">
        <v>2568.4079999999999</v>
      </c>
      <c r="D8" s="67">
        <v>3620.3625000000002</v>
      </c>
      <c r="E8" s="67">
        <v>280.11200000000002</v>
      </c>
      <c r="F8" s="67">
        <v>960.20025999999996</v>
      </c>
      <c r="G8" s="67">
        <v>3760.1840000000002</v>
      </c>
      <c r="H8" s="67">
        <v>3036.3</v>
      </c>
      <c r="I8" s="67">
        <v>1269</v>
      </c>
      <c r="J8" s="67">
        <v>75</v>
      </c>
      <c r="K8" s="67">
        <v>10165.29904</v>
      </c>
      <c r="L8" s="67">
        <v>7834.2395900000001</v>
      </c>
      <c r="M8" s="67">
        <f>L8/K8*100-100</f>
        <v>-22.931538372136274</v>
      </c>
      <c r="O8" s="15"/>
      <c r="P8" s="15"/>
      <c r="R8" s="604"/>
      <c r="S8" s="604"/>
      <c r="T8" s="604"/>
      <c r="U8" s="604"/>
      <c r="V8" s="604"/>
      <c r="W8" s="604"/>
      <c r="X8" s="300"/>
    </row>
    <row r="9" spans="2:24" s="22" customFormat="1" ht="15.75" customHeight="1">
      <c r="B9" s="24" t="s">
        <v>205</v>
      </c>
      <c r="C9" s="67">
        <v>3379.7550000000001</v>
      </c>
      <c r="D9" s="67">
        <v>8271.3004999999994</v>
      </c>
      <c r="E9" s="67">
        <v>560</v>
      </c>
      <c r="F9" s="67">
        <v>1226.5999999999999</v>
      </c>
      <c r="G9" s="67">
        <v>2760.22</v>
      </c>
      <c r="H9" s="67">
        <v>4790.9399999999996</v>
      </c>
      <c r="I9" s="67">
        <v>353.34602000000001</v>
      </c>
      <c r="J9" s="67">
        <v>100</v>
      </c>
      <c r="K9" s="67">
        <v>8486.4847499999996</v>
      </c>
      <c r="L9" s="67">
        <v>14581.501040000001</v>
      </c>
      <c r="M9" s="67">
        <f>L9/K9*100-100</f>
        <v>71.820270342205021</v>
      </c>
      <c r="O9" s="15"/>
      <c r="P9" s="15"/>
      <c r="Q9" s="440"/>
      <c r="R9" s="602"/>
      <c r="S9" s="602"/>
      <c r="T9" s="602"/>
      <c r="U9" s="604"/>
      <c r="V9" s="604"/>
      <c r="W9" s="604"/>
      <c r="X9" s="300"/>
    </row>
    <row r="10" spans="2:24" s="22" customFormat="1" ht="15.75" customHeight="1">
      <c r="B10" s="24" t="s">
        <v>206</v>
      </c>
      <c r="C10" s="67">
        <v>3719.50092</v>
      </c>
      <c r="D10" s="67">
        <v>9851.1512000000002</v>
      </c>
      <c r="E10" s="67">
        <v>420.28</v>
      </c>
      <c r="F10" s="67">
        <v>638.6</v>
      </c>
      <c r="G10" s="67">
        <v>2393.5</v>
      </c>
      <c r="H10" s="67">
        <v>4012.366</v>
      </c>
      <c r="I10" s="67">
        <v>287.00200000000001</v>
      </c>
      <c r="J10" s="67">
        <v>0</v>
      </c>
      <c r="K10" s="67">
        <v>7510.1323300000004</v>
      </c>
      <c r="L10" s="67">
        <v>14602.845460000002</v>
      </c>
      <c r="M10" s="67">
        <f>L10/K10*100-100</f>
        <v>94.441919507428992</v>
      </c>
      <c r="O10" s="15"/>
      <c r="P10" s="15"/>
      <c r="R10" s="604"/>
      <c r="S10" s="604"/>
      <c r="T10" s="604"/>
      <c r="U10" s="604"/>
      <c r="V10" s="604"/>
      <c r="W10" s="604"/>
      <c r="X10" s="300"/>
    </row>
    <row r="11" spans="2:24" s="22" customFormat="1" ht="15.75" customHeight="1">
      <c r="B11" s="24" t="s">
        <v>207</v>
      </c>
      <c r="C11" s="67">
        <v>5798.42</v>
      </c>
      <c r="D11" s="67">
        <v>9017.9599999999991</v>
      </c>
      <c r="E11" s="67">
        <v>1609.0840000000001</v>
      </c>
      <c r="F11" s="67">
        <v>1694.8</v>
      </c>
      <c r="G11" s="67">
        <v>4662.4799999999996</v>
      </c>
      <c r="H11" s="67">
        <v>5033.04</v>
      </c>
      <c r="I11" s="67">
        <v>140</v>
      </c>
      <c r="J11" s="67">
        <v>100</v>
      </c>
      <c r="K11" s="67">
        <v>12436.743660000002</v>
      </c>
      <c r="L11" s="67">
        <v>15988.013730000001</v>
      </c>
      <c r="M11" s="67">
        <f>L11/K11*100-100</f>
        <v>28.554661630776081</v>
      </c>
      <c r="O11" s="15"/>
      <c r="P11" s="15"/>
      <c r="R11" s="604"/>
      <c r="S11" s="604"/>
      <c r="T11" s="604"/>
      <c r="U11" s="604"/>
      <c r="V11" s="604"/>
      <c r="W11" s="604"/>
      <c r="X11" s="300"/>
    </row>
    <row r="12" spans="2:24" s="22" customFormat="1" ht="15.75" customHeight="1">
      <c r="B12" s="24" t="s">
        <v>208</v>
      </c>
      <c r="C12" s="67">
        <v>6504.28</v>
      </c>
      <c r="D12" s="67"/>
      <c r="E12" s="67">
        <v>2305</v>
      </c>
      <c r="F12" s="67"/>
      <c r="G12" s="67">
        <v>2149.424</v>
      </c>
      <c r="H12" s="67"/>
      <c r="I12" s="67">
        <v>170</v>
      </c>
      <c r="J12" s="67"/>
      <c r="K12" s="67">
        <v>11749</v>
      </c>
      <c r="L12" s="67"/>
      <c r="M12" s="67"/>
      <c r="O12" s="15"/>
      <c r="P12" s="15"/>
      <c r="R12" s="604"/>
      <c r="S12" s="604"/>
      <c r="T12" s="604"/>
      <c r="U12" s="604"/>
      <c r="V12" s="604"/>
      <c r="W12" s="604"/>
      <c r="X12" s="300"/>
    </row>
    <row r="13" spans="2:24" s="22" customFormat="1" ht="15.75" customHeight="1">
      <c r="B13" s="24" t="s">
        <v>209</v>
      </c>
      <c r="C13" s="67">
        <v>9515</v>
      </c>
      <c r="D13" s="67"/>
      <c r="E13" s="67">
        <v>1668</v>
      </c>
      <c r="F13" s="67"/>
      <c r="G13" s="67">
        <v>2867</v>
      </c>
      <c r="H13" s="67"/>
      <c r="I13" s="67">
        <v>53</v>
      </c>
      <c r="J13" s="67"/>
      <c r="K13" s="67">
        <v>14191</v>
      </c>
      <c r="L13" s="67"/>
      <c r="M13" s="67"/>
      <c r="O13" s="15"/>
      <c r="P13" s="15"/>
      <c r="R13" s="604"/>
      <c r="S13" s="604"/>
      <c r="T13" s="604"/>
      <c r="U13" s="604"/>
      <c r="V13" s="604"/>
      <c r="W13" s="604"/>
      <c r="X13" s="300"/>
    </row>
    <row r="14" spans="2:24" s="22" customFormat="1" ht="15.75" customHeight="1">
      <c r="B14" s="24" t="s">
        <v>210</v>
      </c>
      <c r="C14" s="67">
        <v>9964</v>
      </c>
      <c r="D14" s="67"/>
      <c r="E14" s="67">
        <v>1260</v>
      </c>
      <c r="F14" s="67"/>
      <c r="G14" s="67">
        <v>2622</v>
      </c>
      <c r="H14" s="67"/>
      <c r="I14" s="67">
        <v>56</v>
      </c>
      <c r="J14" s="67"/>
      <c r="K14" s="67">
        <v>14413</v>
      </c>
      <c r="L14" s="67"/>
      <c r="M14" s="67"/>
      <c r="O14" s="15"/>
      <c r="P14" s="15"/>
      <c r="R14" s="604"/>
      <c r="S14" s="604"/>
      <c r="T14" s="604"/>
      <c r="U14" s="604"/>
      <c r="V14" s="604"/>
      <c r="W14" s="604"/>
      <c r="X14" s="300"/>
    </row>
    <row r="15" spans="2:24" s="22" customFormat="1" ht="15.75" customHeight="1">
      <c r="B15" s="24" t="s">
        <v>211</v>
      </c>
      <c r="C15" s="67">
        <v>7205</v>
      </c>
      <c r="D15" s="67"/>
      <c r="E15" s="67">
        <v>868</v>
      </c>
      <c r="F15" s="67"/>
      <c r="G15" s="67">
        <v>1451</v>
      </c>
      <c r="H15" s="67"/>
      <c r="I15" s="67">
        <v>324</v>
      </c>
      <c r="J15" s="67"/>
      <c r="K15" s="67">
        <v>10322</v>
      </c>
      <c r="L15" s="67"/>
      <c r="M15" s="67"/>
      <c r="O15" s="15"/>
      <c r="P15" s="15"/>
      <c r="R15" s="604"/>
      <c r="S15" s="604"/>
      <c r="T15" s="604"/>
      <c r="U15" s="604"/>
      <c r="V15" s="604"/>
      <c r="W15" s="604"/>
      <c r="X15" s="300"/>
    </row>
    <row r="16" spans="2:24" s="22" customFormat="1" ht="15.75" customHeight="1">
      <c r="B16" s="24" t="s">
        <v>212</v>
      </c>
      <c r="C16" s="67">
        <v>9065.2199999999993</v>
      </c>
      <c r="D16" s="67"/>
      <c r="E16" s="67">
        <v>1189</v>
      </c>
      <c r="F16" s="67"/>
      <c r="G16" s="67">
        <v>3069.7</v>
      </c>
      <c r="H16" s="67"/>
      <c r="I16" s="67">
        <v>8</v>
      </c>
      <c r="J16" s="67"/>
      <c r="K16" s="67">
        <v>13685</v>
      </c>
      <c r="L16" s="67"/>
      <c r="M16" s="67"/>
      <c r="O16" s="15"/>
      <c r="P16" s="15"/>
      <c r="R16" s="604"/>
      <c r="S16" s="604"/>
      <c r="T16" s="604"/>
      <c r="U16" s="604"/>
      <c r="V16" s="604"/>
      <c r="W16" s="604"/>
      <c r="X16" s="300"/>
    </row>
    <row r="17" spans="2:24" s="22" customFormat="1" ht="15.75" customHeight="1">
      <c r="B17" s="24" t="s">
        <v>196</v>
      </c>
      <c r="C17" s="67">
        <v>6172.94</v>
      </c>
      <c r="D17" s="67"/>
      <c r="E17" s="67">
        <v>1389.24</v>
      </c>
      <c r="F17" s="67"/>
      <c r="G17" s="67">
        <v>1706.40948</v>
      </c>
      <c r="H17" s="67"/>
      <c r="I17" s="67">
        <v>144</v>
      </c>
      <c r="J17" s="67"/>
      <c r="K17" s="67">
        <v>9525.1349799999989</v>
      </c>
      <c r="L17" s="67"/>
      <c r="M17" s="67"/>
      <c r="O17" s="15"/>
      <c r="P17" s="15"/>
      <c r="R17" s="604"/>
      <c r="S17" s="604"/>
      <c r="T17" s="604"/>
      <c r="U17" s="604"/>
      <c r="V17" s="604"/>
      <c r="W17" s="604"/>
      <c r="X17" s="300"/>
    </row>
    <row r="18" spans="2:24" s="22" customFormat="1" ht="15.75" customHeight="1">
      <c r="B18" s="24" t="s">
        <v>197</v>
      </c>
      <c r="C18" s="67">
        <v>5579.29</v>
      </c>
      <c r="D18" s="67"/>
      <c r="E18" s="67">
        <v>2233.2399999999998</v>
      </c>
      <c r="F18" s="67"/>
      <c r="G18" s="67">
        <v>2434.6</v>
      </c>
      <c r="H18" s="67"/>
      <c r="I18" s="67">
        <v>50</v>
      </c>
      <c r="J18" s="67"/>
      <c r="K18" s="67">
        <v>10440</v>
      </c>
      <c r="L18" s="67"/>
      <c r="M18" s="67"/>
      <c r="O18" s="15"/>
      <c r="P18" s="15"/>
      <c r="R18" s="604"/>
      <c r="S18" s="604"/>
      <c r="T18" s="604"/>
      <c r="U18" s="604"/>
      <c r="V18" s="604"/>
      <c r="W18" s="604"/>
      <c r="X18" s="300"/>
    </row>
    <row r="19" spans="2:24" s="22" customFormat="1" ht="15.75" customHeight="1">
      <c r="B19" s="57" t="s">
        <v>198</v>
      </c>
      <c r="C19" s="67">
        <f t="shared" ref="C19:L19" si="0">SUM(C7:C18)</f>
        <v>72143.213919999995</v>
      </c>
      <c r="D19" s="67">
        <f t="shared" si="0"/>
        <v>34293.321799999998</v>
      </c>
      <c r="E19" s="67">
        <f t="shared" si="0"/>
        <v>14141.957999999999</v>
      </c>
      <c r="F19" s="67">
        <f t="shared" si="0"/>
        <v>5348.76026</v>
      </c>
      <c r="G19" s="67">
        <f t="shared" si="0"/>
        <v>31109.917479999996</v>
      </c>
      <c r="H19" s="67">
        <f t="shared" si="0"/>
        <v>20113.126</v>
      </c>
      <c r="I19" s="67">
        <f t="shared" si="0"/>
        <v>3184.3480199999999</v>
      </c>
      <c r="J19" s="67">
        <f t="shared" si="0"/>
        <v>350</v>
      </c>
      <c r="K19" s="67">
        <f t="shared" si="0"/>
        <v>131208.57454</v>
      </c>
      <c r="L19" s="67">
        <f t="shared" si="0"/>
        <v>60852.476560000003</v>
      </c>
      <c r="M19" s="67"/>
      <c r="O19" s="425"/>
      <c r="P19" s="25"/>
      <c r="R19" s="604"/>
      <c r="S19" s="604"/>
      <c r="T19" s="604"/>
      <c r="U19" s="604"/>
      <c r="V19" s="604"/>
      <c r="W19" s="604"/>
      <c r="X19" s="300"/>
    </row>
    <row r="20" spans="2:24" s="22" customFormat="1" ht="15.75" customHeight="1">
      <c r="B20" s="247" t="s">
        <v>218</v>
      </c>
      <c r="C20" s="221">
        <f>C19/K19</f>
        <v>0.54983612292812878</v>
      </c>
      <c r="D20" s="221">
        <f>D19/L19</f>
        <v>0.5635484985756839</v>
      </c>
      <c r="E20" s="221">
        <f>E19/K19</f>
        <v>0.10778226994371247</v>
      </c>
      <c r="F20" s="221">
        <f>F19/L19</f>
        <v>8.7897166432103546E-2</v>
      </c>
      <c r="G20" s="221">
        <f>G19/K19</f>
        <v>0.23710277768863258</v>
      </c>
      <c r="H20" s="221">
        <f>H19/L19</f>
        <v>0.33052271882753426</v>
      </c>
      <c r="I20" s="221">
        <f>I19/K19</f>
        <v>2.4269359157081807E-2</v>
      </c>
      <c r="J20" s="221">
        <f>J19/L19</f>
        <v>5.7516147211346957E-3</v>
      </c>
      <c r="K20" s="221">
        <f>+K19/K19</f>
        <v>1</v>
      </c>
      <c r="L20" s="221">
        <f>+L19/L19</f>
        <v>1</v>
      </c>
      <c r="M20" s="221"/>
      <c r="O20" s="390"/>
      <c r="P20"/>
      <c r="R20" s="604"/>
      <c r="S20" s="604"/>
      <c r="T20" s="604"/>
      <c r="U20" s="604"/>
      <c r="V20" s="604"/>
      <c r="W20" s="604"/>
      <c r="X20" s="300"/>
    </row>
    <row r="21" spans="2:24" s="22" customFormat="1" ht="23.25" customHeight="1">
      <c r="B21" s="994" t="s">
        <v>450</v>
      </c>
      <c r="C21" s="994"/>
      <c r="D21" s="994"/>
      <c r="E21" s="994"/>
      <c r="F21" s="994"/>
      <c r="G21" s="994"/>
      <c r="H21" s="994"/>
      <c r="I21" s="994"/>
      <c r="J21" s="994"/>
      <c r="K21" s="994"/>
      <c r="L21" s="994"/>
      <c r="M21" s="994"/>
      <c r="O21" s="299"/>
      <c r="P21"/>
      <c r="R21" s="604"/>
      <c r="S21" s="604"/>
      <c r="T21" s="604"/>
      <c r="U21" s="604"/>
      <c r="V21" s="604"/>
      <c r="W21" s="604"/>
      <c r="X21" s="300"/>
    </row>
    <row r="22" spans="2:24" ht="17.25" customHeight="1">
      <c r="B22" s="851"/>
      <c r="C22" s="851"/>
      <c r="D22" s="851"/>
      <c r="E22" s="851"/>
      <c r="F22" s="851"/>
      <c r="G22" s="851"/>
      <c r="H22" s="851"/>
      <c r="I22" s="851"/>
      <c r="J22" s="851"/>
      <c r="K22" s="851"/>
      <c r="L22" s="851"/>
      <c r="M22" s="851"/>
      <c r="P22" s="426"/>
    </row>
    <row r="23" spans="2:24" ht="15" customHeight="1">
      <c r="P23"/>
    </row>
    <row r="24" spans="2:24" ht="15" customHeight="1">
      <c r="P24"/>
    </row>
    <row r="25" spans="2:24" ht="15" customHeight="1">
      <c r="P25"/>
    </row>
    <row r="26" spans="2:24" ht="15" customHeight="1">
      <c r="P26"/>
    </row>
    <row r="27" spans="2:24" ht="15" customHeight="1">
      <c r="P27"/>
    </row>
    <row r="28" spans="2:24" ht="15" customHeight="1"/>
    <row r="29" spans="2:24" ht="15" customHeight="1"/>
    <row r="30" spans="2:24" ht="15" customHeight="1"/>
    <row r="32" spans="2:24" ht="15" customHeight="1"/>
    <row r="33" spans="2:28" ht="15" customHeight="1">
      <c r="AB33" s="9"/>
    </row>
    <row r="34" spans="2:28" ht="15" customHeight="1"/>
    <row r="35" spans="2:28" ht="15" customHeight="1"/>
    <row r="36" spans="2:28" s="701" customFormat="1" ht="15" customHeight="1">
      <c r="R36" s="702"/>
      <c r="S36" s="702"/>
      <c r="T36" s="702"/>
      <c r="U36" s="702"/>
      <c r="V36" s="702"/>
      <c r="W36" s="702"/>
      <c r="X36" s="703"/>
    </row>
    <row r="37" spans="2:28" s="701" customFormat="1" ht="15" customHeight="1">
      <c r="R37" s="702"/>
      <c r="S37" s="702"/>
      <c r="T37" s="702"/>
      <c r="U37" s="702"/>
      <c r="V37" s="702"/>
      <c r="W37" s="702"/>
      <c r="X37" s="703"/>
    </row>
    <row r="38" spans="2:28" s="701" customFormat="1">
      <c r="R38" s="702"/>
      <c r="S38" s="702"/>
      <c r="T38" s="702"/>
      <c r="U38" s="702"/>
      <c r="V38" s="702"/>
      <c r="W38" s="702"/>
      <c r="X38" s="703"/>
    </row>
    <row r="39" spans="2:28" s="701" customFormat="1" ht="15.75" customHeight="1">
      <c r="B39" s="989" t="s">
        <v>450</v>
      </c>
      <c r="C39" s="989"/>
      <c r="D39" s="989"/>
      <c r="E39" s="989"/>
      <c r="F39" s="989"/>
      <c r="G39" s="989"/>
      <c r="H39" s="989"/>
      <c r="I39" s="989"/>
      <c r="J39" s="989"/>
      <c r="K39" s="989"/>
      <c r="L39" s="989"/>
      <c r="M39" s="989"/>
      <c r="R39" s="702"/>
      <c r="S39" s="702"/>
      <c r="T39" s="702"/>
      <c r="U39" s="702"/>
      <c r="V39" s="702"/>
      <c r="W39" s="702"/>
      <c r="X39" s="703"/>
    </row>
    <row r="40" spans="2:28" s="701" customFormat="1">
      <c r="R40" s="702"/>
      <c r="S40" s="702"/>
      <c r="T40" s="702"/>
      <c r="U40" s="702"/>
      <c r="V40" s="702"/>
      <c r="W40" s="702"/>
      <c r="X40" s="703"/>
    </row>
    <row r="41" spans="2:28" s="701" customFormat="1">
      <c r="R41" s="702"/>
      <c r="S41" s="702"/>
      <c r="T41" s="702"/>
      <c r="U41" s="702"/>
      <c r="V41" s="702"/>
      <c r="W41" s="702"/>
      <c r="X41" s="703"/>
    </row>
    <row r="42" spans="2:28" s="701" customFormat="1">
      <c r="R42" s="702"/>
      <c r="S42" s="702"/>
      <c r="T42" s="702"/>
      <c r="U42" s="702"/>
      <c r="V42" s="702"/>
      <c r="W42" s="702"/>
      <c r="X42" s="703"/>
    </row>
    <row r="43" spans="2:28" s="701" customFormat="1">
      <c r="R43" s="702"/>
      <c r="S43" s="702"/>
      <c r="T43" s="702"/>
      <c r="U43" s="702"/>
      <c r="V43" s="702"/>
      <c r="W43" s="702"/>
      <c r="X43" s="703"/>
    </row>
    <row r="44" spans="2:28" s="701" customFormat="1">
      <c r="R44" s="702"/>
      <c r="S44" s="702"/>
      <c r="T44" s="702"/>
      <c r="U44" s="702"/>
      <c r="V44" s="702"/>
      <c r="W44" s="702"/>
      <c r="X44" s="703"/>
    </row>
    <row r="45" spans="2:28" s="701" customFormat="1">
      <c r="R45" s="702"/>
      <c r="S45" s="702"/>
      <c r="T45" s="702"/>
      <c r="U45" s="702"/>
      <c r="V45" s="702"/>
      <c r="W45" s="702"/>
      <c r="X45" s="703"/>
    </row>
    <row r="46" spans="2:28" s="701" customFormat="1">
      <c r="R46" s="702"/>
      <c r="S46" s="702"/>
      <c r="T46" s="702"/>
      <c r="U46" s="702"/>
      <c r="V46" s="702"/>
      <c r="W46" s="702"/>
      <c r="X46" s="703"/>
    </row>
    <row r="47" spans="2:28" s="701" customFormat="1">
      <c r="R47" s="702"/>
      <c r="S47" s="702"/>
      <c r="T47" s="702"/>
      <c r="U47" s="702"/>
      <c r="V47" s="702"/>
      <c r="W47" s="702"/>
      <c r="X47" s="703"/>
    </row>
    <row r="48" spans="2:28" s="701" customFormat="1">
      <c r="R48" s="702"/>
      <c r="S48" s="702"/>
      <c r="T48" s="702"/>
      <c r="U48" s="702"/>
      <c r="V48" s="702"/>
      <c r="W48" s="702"/>
      <c r="X48" s="703"/>
    </row>
    <row r="49" spans="18:24" s="701" customFormat="1">
      <c r="R49" s="702"/>
      <c r="S49" s="702"/>
      <c r="T49" s="702"/>
      <c r="U49" s="702"/>
      <c r="V49" s="702"/>
      <c r="W49" s="702"/>
      <c r="X49" s="703"/>
    </row>
    <row r="50" spans="18:24" s="701" customFormat="1">
      <c r="R50" s="702"/>
      <c r="S50" s="702"/>
      <c r="T50" s="702"/>
      <c r="U50" s="702"/>
      <c r="V50" s="702"/>
      <c r="W50" s="702"/>
      <c r="X50" s="703"/>
    </row>
    <row r="51" spans="18:24" s="701" customFormat="1">
      <c r="R51" s="702"/>
      <c r="S51" s="702"/>
      <c r="T51" s="702"/>
      <c r="U51" s="702"/>
      <c r="V51" s="702"/>
      <c r="W51" s="702"/>
      <c r="X51" s="703"/>
    </row>
    <row r="52" spans="18:24" s="701" customFormat="1">
      <c r="R52" s="702"/>
      <c r="S52" s="702"/>
      <c r="T52" s="702"/>
      <c r="U52" s="702"/>
      <c r="V52" s="702"/>
      <c r="W52" s="702"/>
      <c r="X52" s="703"/>
    </row>
    <row r="53" spans="18:24" s="701" customFormat="1">
      <c r="R53" s="702"/>
      <c r="S53" s="702"/>
      <c r="T53" s="702"/>
      <c r="U53" s="702"/>
      <c r="V53" s="702"/>
      <c r="W53" s="702"/>
      <c r="X53" s="703"/>
    </row>
    <row r="54" spans="18:24" s="701" customFormat="1">
      <c r="R54" s="702"/>
      <c r="S54" s="702"/>
      <c r="T54" s="702"/>
      <c r="U54" s="702"/>
      <c r="V54" s="702"/>
      <c r="W54" s="702"/>
      <c r="X54" s="703"/>
    </row>
    <row r="55" spans="18:24" s="701" customFormat="1">
      <c r="R55" s="702"/>
      <c r="S55" s="702"/>
      <c r="T55" s="702"/>
      <c r="U55" s="702"/>
      <c r="V55" s="702"/>
      <c r="W55" s="702"/>
      <c r="X55" s="703"/>
    </row>
    <row r="56" spans="18:24" s="701" customFormat="1">
      <c r="R56" s="702"/>
      <c r="S56" s="702"/>
      <c r="T56" s="702"/>
      <c r="U56" s="702"/>
      <c r="V56" s="702"/>
      <c r="W56" s="702"/>
      <c r="X56" s="703"/>
    </row>
    <row r="57" spans="18:24" s="701" customFormat="1">
      <c r="R57" s="702"/>
      <c r="S57" s="702"/>
      <c r="T57" s="702"/>
      <c r="U57" s="702"/>
      <c r="V57" s="702"/>
      <c r="W57" s="702"/>
      <c r="X57" s="703"/>
    </row>
    <row r="58" spans="18:24" s="701" customFormat="1">
      <c r="R58" s="702"/>
      <c r="S58" s="702"/>
      <c r="T58" s="702"/>
      <c r="U58" s="702"/>
      <c r="V58" s="702"/>
      <c r="W58" s="702"/>
      <c r="X58" s="703"/>
    </row>
    <row r="59" spans="18:24" s="701" customFormat="1">
      <c r="R59" s="702"/>
      <c r="S59" s="702"/>
      <c r="T59" s="702"/>
      <c r="U59" s="702"/>
      <c r="V59" s="702"/>
      <c r="W59" s="702"/>
      <c r="X59" s="703"/>
    </row>
    <row r="60" spans="18:24" s="701" customFormat="1">
      <c r="R60" s="702"/>
      <c r="S60" s="702"/>
      <c r="T60" s="702"/>
      <c r="U60" s="702"/>
      <c r="V60" s="702"/>
      <c r="W60" s="702"/>
      <c r="X60" s="703"/>
    </row>
    <row r="61" spans="18:24" s="701" customFormat="1">
      <c r="R61" s="702"/>
      <c r="S61" s="702"/>
      <c r="T61" s="702"/>
      <c r="U61" s="702"/>
      <c r="V61" s="702"/>
      <c r="W61" s="702"/>
      <c r="X61" s="703"/>
    </row>
    <row r="62" spans="18:24" s="701" customFormat="1">
      <c r="R62" s="702"/>
      <c r="S62" s="702"/>
      <c r="T62" s="702"/>
      <c r="U62" s="702"/>
      <c r="V62" s="702"/>
      <c r="W62" s="702"/>
      <c r="X62" s="703"/>
    </row>
    <row r="63" spans="18:24" s="701" customFormat="1">
      <c r="R63" s="702"/>
      <c r="S63" s="702"/>
      <c r="T63" s="702"/>
      <c r="U63" s="702"/>
      <c r="V63" s="702"/>
      <c r="W63" s="702"/>
      <c r="X63" s="703"/>
    </row>
    <row r="64" spans="18:24" s="701" customFormat="1">
      <c r="R64" s="702"/>
      <c r="S64" s="702"/>
      <c r="T64" s="702"/>
      <c r="U64" s="702"/>
      <c r="V64" s="702"/>
      <c r="W64" s="702"/>
      <c r="X64" s="703"/>
    </row>
    <row r="65" spans="18:24" s="701" customFormat="1">
      <c r="R65" s="702"/>
      <c r="S65" s="702"/>
      <c r="T65" s="702"/>
      <c r="U65" s="702"/>
      <c r="V65" s="702"/>
      <c r="W65" s="702"/>
      <c r="X65" s="703"/>
    </row>
    <row r="66" spans="18:24" s="701" customFormat="1">
      <c r="R66" s="702"/>
      <c r="S66" s="702"/>
      <c r="T66" s="702"/>
      <c r="U66" s="702"/>
      <c r="V66" s="702"/>
      <c r="W66" s="702"/>
      <c r="X66" s="703"/>
    </row>
    <row r="67" spans="18:24" s="701" customFormat="1">
      <c r="R67" s="702"/>
      <c r="S67" s="702"/>
      <c r="T67" s="702"/>
      <c r="U67" s="702"/>
      <c r="V67" s="702"/>
      <c r="W67" s="702"/>
      <c r="X67" s="703"/>
    </row>
    <row r="68" spans="18:24" s="701" customFormat="1">
      <c r="R68" s="702"/>
      <c r="S68" s="702"/>
      <c r="T68" s="702"/>
      <c r="U68" s="702"/>
      <c r="V68" s="702"/>
      <c r="W68" s="702"/>
      <c r="X68" s="703"/>
    </row>
    <row r="69" spans="18:24" s="701" customFormat="1">
      <c r="R69" s="702"/>
      <c r="S69" s="702"/>
      <c r="T69" s="702"/>
      <c r="U69" s="702"/>
      <c r="V69" s="702"/>
      <c r="W69" s="702"/>
      <c r="X69" s="703"/>
    </row>
    <row r="70" spans="18:24" s="701" customFormat="1">
      <c r="R70" s="702"/>
      <c r="S70" s="702"/>
      <c r="T70" s="702"/>
      <c r="U70" s="702"/>
      <c r="V70" s="702"/>
      <c r="W70" s="702"/>
      <c r="X70" s="703"/>
    </row>
    <row r="71" spans="18:24" s="701" customFormat="1">
      <c r="R71" s="702"/>
      <c r="S71" s="702"/>
      <c r="T71" s="702"/>
      <c r="U71" s="702"/>
      <c r="V71" s="702"/>
      <c r="W71" s="702"/>
      <c r="X71" s="703"/>
    </row>
    <row r="72" spans="18:24" s="701" customFormat="1">
      <c r="R72" s="702"/>
      <c r="S72" s="702"/>
      <c r="T72" s="702"/>
      <c r="U72" s="702"/>
      <c r="V72" s="702"/>
      <c r="W72" s="702"/>
      <c r="X72" s="703"/>
    </row>
    <row r="73" spans="18:24" s="701" customFormat="1">
      <c r="R73" s="702"/>
      <c r="S73" s="702"/>
      <c r="T73" s="702"/>
      <c r="U73" s="702"/>
      <c r="V73" s="702"/>
      <c r="W73" s="702"/>
      <c r="X73" s="703"/>
    </row>
    <row r="74" spans="18:24" s="701" customFormat="1">
      <c r="R74" s="702"/>
      <c r="S74" s="702"/>
      <c r="T74" s="702"/>
      <c r="U74" s="702"/>
      <c r="V74" s="702"/>
      <c r="W74" s="702"/>
      <c r="X74" s="703"/>
    </row>
    <row r="75" spans="18:24" s="701" customFormat="1">
      <c r="R75" s="702"/>
      <c r="S75" s="702"/>
      <c r="T75" s="702"/>
      <c r="U75" s="702"/>
      <c r="V75" s="702"/>
      <c r="W75" s="702"/>
      <c r="X75" s="703"/>
    </row>
    <row r="76" spans="18:24" s="701" customFormat="1">
      <c r="R76" s="702"/>
      <c r="S76" s="702"/>
      <c r="T76" s="702"/>
      <c r="U76" s="702"/>
      <c r="V76" s="702"/>
      <c r="W76" s="702"/>
      <c r="X76" s="703"/>
    </row>
    <row r="77" spans="18:24" s="701" customFormat="1">
      <c r="R77" s="702"/>
      <c r="S77" s="702"/>
      <c r="T77" s="702"/>
      <c r="U77" s="702"/>
      <c r="V77" s="702"/>
      <c r="W77" s="702"/>
      <c r="X77" s="703"/>
    </row>
    <row r="78" spans="18:24" s="701" customFormat="1">
      <c r="R78" s="702"/>
      <c r="S78" s="702"/>
      <c r="T78" s="702"/>
      <c r="U78" s="702"/>
      <c r="V78" s="702"/>
      <c r="W78" s="702"/>
      <c r="X78" s="703"/>
    </row>
    <row r="79" spans="18:24" s="701" customFormat="1">
      <c r="R79" s="702"/>
      <c r="S79" s="702"/>
      <c r="T79" s="702"/>
      <c r="U79" s="702"/>
      <c r="V79" s="702"/>
      <c r="W79" s="702"/>
      <c r="X79" s="703"/>
    </row>
    <row r="80" spans="18:24" s="701" customFormat="1">
      <c r="R80" s="702"/>
      <c r="S80" s="702"/>
      <c r="T80" s="702"/>
      <c r="U80" s="702"/>
      <c r="V80" s="702"/>
      <c r="W80" s="702"/>
      <c r="X80" s="703"/>
    </row>
    <row r="81" spans="18:24" s="701" customFormat="1">
      <c r="R81" s="702"/>
      <c r="S81" s="702"/>
      <c r="T81" s="702"/>
      <c r="U81" s="702"/>
      <c r="V81" s="702"/>
      <c r="W81" s="702"/>
      <c r="X81" s="703"/>
    </row>
    <row r="82" spans="18:24" s="701" customFormat="1">
      <c r="R82" s="702"/>
      <c r="S82" s="702"/>
      <c r="T82" s="702"/>
      <c r="U82" s="702"/>
      <c r="V82" s="702"/>
      <c r="W82" s="702"/>
      <c r="X82" s="703"/>
    </row>
    <row r="83" spans="18:24" s="701" customFormat="1">
      <c r="R83" s="702"/>
      <c r="S83" s="702"/>
      <c r="T83" s="702"/>
      <c r="U83" s="702"/>
      <c r="V83" s="702"/>
      <c r="W83" s="702"/>
      <c r="X83" s="703"/>
    </row>
    <row r="84" spans="18:24" s="701" customFormat="1">
      <c r="R84" s="702"/>
      <c r="S84" s="702"/>
      <c r="T84" s="702"/>
      <c r="U84" s="702"/>
      <c r="V84" s="702"/>
      <c r="W84" s="702"/>
      <c r="X84" s="703"/>
    </row>
    <row r="85" spans="18:24" s="701" customFormat="1">
      <c r="R85" s="702"/>
      <c r="S85" s="702"/>
      <c r="T85" s="702"/>
      <c r="U85" s="702"/>
      <c r="V85" s="702"/>
      <c r="W85" s="702"/>
      <c r="X85" s="703"/>
    </row>
    <row r="86" spans="18:24" s="701" customFormat="1">
      <c r="R86" s="702"/>
      <c r="S86" s="702"/>
      <c r="T86" s="702"/>
      <c r="U86" s="702"/>
      <c r="V86" s="702"/>
      <c r="W86" s="702"/>
      <c r="X86" s="703"/>
    </row>
    <row r="87" spans="18:24" s="701" customFormat="1">
      <c r="R87" s="702"/>
      <c r="S87" s="702"/>
      <c r="T87" s="702"/>
      <c r="U87" s="702"/>
      <c r="V87" s="702"/>
      <c r="W87" s="702"/>
      <c r="X87" s="703"/>
    </row>
    <row r="88" spans="18:24" s="701" customFormat="1">
      <c r="R88" s="702"/>
      <c r="S88" s="702"/>
      <c r="T88" s="702"/>
      <c r="U88" s="702"/>
      <c r="V88" s="702"/>
      <c r="W88" s="702"/>
      <c r="X88" s="703"/>
    </row>
    <row r="89" spans="18:24" s="701" customFormat="1">
      <c r="R89" s="702"/>
      <c r="S89" s="702"/>
      <c r="T89" s="702"/>
      <c r="U89" s="702"/>
      <c r="V89" s="702"/>
      <c r="W89" s="702"/>
      <c r="X89" s="703"/>
    </row>
    <row r="90" spans="18:24" s="701" customFormat="1">
      <c r="R90" s="702"/>
      <c r="S90" s="702"/>
      <c r="T90" s="702"/>
      <c r="U90" s="702"/>
      <c r="V90" s="702"/>
      <c r="W90" s="702"/>
      <c r="X90" s="703"/>
    </row>
    <row r="91" spans="18:24" s="701" customFormat="1">
      <c r="R91" s="702"/>
      <c r="S91" s="702"/>
      <c r="T91" s="702"/>
      <c r="U91" s="702"/>
      <c r="V91" s="702"/>
      <c r="W91" s="702"/>
      <c r="X91" s="703"/>
    </row>
    <row r="92" spans="18:24" s="701" customFormat="1">
      <c r="R92" s="702"/>
      <c r="S92" s="702"/>
      <c r="T92" s="702"/>
      <c r="U92" s="702"/>
      <c r="V92" s="702"/>
      <c r="W92" s="702"/>
      <c r="X92" s="703"/>
    </row>
    <row r="93" spans="18:24" s="701" customFormat="1">
      <c r="R93" s="702"/>
      <c r="S93" s="702"/>
      <c r="T93" s="702"/>
      <c r="U93" s="702"/>
      <c r="V93" s="702"/>
      <c r="W93" s="702"/>
      <c r="X93" s="703"/>
    </row>
    <row r="94" spans="18:24" s="701" customFormat="1">
      <c r="R94" s="702"/>
      <c r="S94" s="702"/>
      <c r="T94" s="702"/>
      <c r="U94" s="702"/>
      <c r="V94" s="702"/>
      <c r="W94" s="702"/>
      <c r="X94" s="703"/>
    </row>
    <row r="95" spans="18:24" s="701" customFormat="1">
      <c r="R95" s="702"/>
      <c r="S95" s="702"/>
      <c r="T95" s="702"/>
      <c r="U95" s="702"/>
      <c r="V95" s="702"/>
      <c r="W95" s="702"/>
      <c r="X95" s="703"/>
    </row>
    <row r="96" spans="18:24" s="701" customFormat="1">
      <c r="R96" s="702"/>
      <c r="S96" s="702"/>
      <c r="T96" s="702"/>
      <c r="U96" s="702"/>
      <c r="V96" s="702"/>
      <c r="W96" s="702"/>
      <c r="X96" s="703"/>
    </row>
    <row r="97" spans="18:24" s="701" customFormat="1">
      <c r="R97" s="702"/>
      <c r="S97" s="702"/>
      <c r="T97" s="702"/>
      <c r="U97" s="702"/>
      <c r="V97" s="702"/>
      <c r="W97" s="702"/>
      <c r="X97" s="703"/>
    </row>
    <row r="98" spans="18:24" s="701" customFormat="1">
      <c r="R98" s="702"/>
      <c r="S98" s="702"/>
      <c r="T98" s="702"/>
      <c r="U98" s="702"/>
      <c r="V98" s="702"/>
      <c r="W98" s="702"/>
      <c r="X98" s="703"/>
    </row>
    <row r="99" spans="18:24" s="701" customFormat="1">
      <c r="R99" s="702"/>
      <c r="S99" s="702"/>
      <c r="T99" s="702"/>
      <c r="U99" s="702"/>
      <c r="V99" s="702"/>
      <c r="W99" s="702"/>
      <c r="X99" s="703"/>
    </row>
    <row r="100" spans="18:24" s="701" customFormat="1">
      <c r="R100" s="702"/>
      <c r="S100" s="702"/>
      <c r="T100" s="702"/>
      <c r="U100" s="702"/>
      <c r="V100" s="702"/>
      <c r="W100" s="702"/>
      <c r="X100" s="703"/>
    </row>
    <row r="101" spans="18:24" s="701" customFormat="1">
      <c r="R101" s="702"/>
      <c r="S101" s="702"/>
      <c r="T101" s="702"/>
      <c r="U101" s="702"/>
      <c r="V101" s="702"/>
      <c r="W101" s="702"/>
      <c r="X101" s="703"/>
    </row>
    <row r="102" spans="18:24" s="701" customFormat="1">
      <c r="R102" s="702"/>
      <c r="S102" s="702"/>
      <c r="T102" s="702"/>
      <c r="U102" s="702"/>
      <c r="V102" s="702"/>
      <c r="W102" s="702"/>
      <c r="X102" s="703"/>
    </row>
    <row r="103" spans="18:24" s="701" customFormat="1">
      <c r="R103" s="702"/>
      <c r="S103" s="702"/>
      <c r="T103" s="702"/>
      <c r="U103" s="702"/>
      <c r="V103" s="702"/>
      <c r="W103" s="702"/>
      <c r="X103" s="703"/>
    </row>
    <row r="104" spans="18:24" s="701" customFormat="1">
      <c r="R104" s="702"/>
      <c r="S104" s="702"/>
      <c r="T104" s="702"/>
      <c r="U104" s="702"/>
      <c r="V104" s="702"/>
      <c r="W104" s="702"/>
      <c r="X104" s="703"/>
    </row>
    <row r="105" spans="18:24" s="701" customFormat="1">
      <c r="R105" s="702"/>
      <c r="S105" s="702"/>
      <c r="T105" s="702"/>
      <c r="U105" s="702"/>
      <c r="V105" s="702"/>
      <c r="W105" s="702"/>
      <c r="X105" s="703"/>
    </row>
    <row r="106" spans="18:24" s="701" customFormat="1">
      <c r="R106" s="702"/>
      <c r="S106" s="702"/>
      <c r="T106" s="702"/>
      <c r="U106" s="702"/>
      <c r="V106" s="702"/>
      <c r="W106" s="702"/>
      <c r="X106" s="703"/>
    </row>
    <row r="107" spans="18:24" s="701" customFormat="1">
      <c r="R107" s="702"/>
      <c r="S107" s="702"/>
      <c r="T107" s="702"/>
      <c r="U107" s="702"/>
      <c r="V107" s="702"/>
      <c r="W107" s="702"/>
      <c r="X107" s="703"/>
    </row>
    <row r="108" spans="18:24" s="701" customFormat="1">
      <c r="R108" s="702"/>
      <c r="S108" s="702"/>
      <c r="T108" s="702"/>
      <c r="U108" s="702"/>
      <c r="V108" s="702"/>
      <c r="W108" s="702"/>
      <c r="X108" s="703"/>
    </row>
    <row r="109" spans="18:24" s="701" customFormat="1">
      <c r="R109" s="702"/>
      <c r="S109" s="702"/>
      <c r="T109" s="702"/>
      <c r="U109" s="702"/>
      <c r="V109" s="702"/>
      <c r="W109" s="702"/>
      <c r="X109" s="703"/>
    </row>
    <row r="110" spans="18:24" s="701" customFormat="1">
      <c r="R110" s="702"/>
      <c r="S110" s="702"/>
      <c r="T110" s="702"/>
      <c r="U110" s="702"/>
      <c r="V110" s="702"/>
      <c r="W110" s="702"/>
      <c r="X110" s="703"/>
    </row>
    <row r="111" spans="18:24" s="701" customFormat="1">
      <c r="R111" s="702"/>
      <c r="S111" s="702"/>
      <c r="T111" s="702"/>
      <c r="U111" s="702"/>
      <c r="V111" s="702"/>
      <c r="W111" s="702"/>
      <c r="X111" s="703"/>
    </row>
    <row r="112" spans="18:24" s="701" customFormat="1">
      <c r="R112" s="702"/>
      <c r="S112" s="702"/>
      <c r="T112" s="702"/>
      <c r="U112" s="702"/>
      <c r="V112" s="702"/>
      <c r="W112" s="702"/>
      <c r="X112" s="703"/>
    </row>
    <row r="113" spans="18:24" s="701" customFormat="1">
      <c r="R113" s="702"/>
      <c r="S113" s="702"/>
      <c r="T113" s="702"/>
      <c r="U113" s="702"/>
      <c r="V113" s="702"/>
      <c r="W113" s="702"/>
      <c r="X113" s="703"/>
    </row>
    <row r="114" spans="18:24" s="701" customFormat="1">
      <c r="R114" s="702"/>
      <c r="S114" s="702"/>
      <c r="T114" s="702"/>
      <c r="U114" s="702"/>
      <c r="V114" s="702"/>
      <c r="W114" s="702"/>
      <c r="X114" s="703"/>
    </row>
    <row r="115" spans="18:24" s="701" customFormat="1">
      <c r="R115" s="702"/>
      <c r="S115" s="702"/>
      <c r="T115" s="702"/>
      <c r="U115" s="702"/>
      <c r="V115" s="702"/>
      <c r="W115" s="702"/>
      <c r="X115" s="703"/>
    </row>
    <row r="116" spans="18:24" s="701" customFormat="1">
      <c r="R116" s="702"/>
      <c r="S116" s="702"/>
      <c r="T116" s="702"/>
      <c r="U116" s="702"/>
      <c r="V116" s="702"/>
      <c r="W116" s="702"/>
      <c r="X116" s="703"/>
    </row>
    <row r="117" spans="18:24" s="701" customFormat="1">
      <c r="R117" s="702"/>
      <c r="S117" s="702"/>
      <c r="T117" s="702"/>
      <c r="U117" s="702"/>
      <c r="V117" s="702"/>
      <c r="W117" s="702"/>
      <c r="X117" s="703"/>
    </row>
    <row r="118" spans="18:24" s="701" customFormat="1">
      <c r="R118" s="702"/>
      <c r="S118" s="702"/>
      <c r="T118" s="702"/>
      <c r="U118" s="702"/>
      <c r="V118" s="702"/>
      <c r="W118" s="702"/>
      <c r="X118" s="703"/>
    </row>
    <row r="119" spans="18:24" s="701" customFormat="1">
      <c r="R119" s="702"/>
      <c r="S119" s="702"/>
      <c r="T119" s="702"/>
      <c r="U119" s="702"/>
      <c r="V119" s="702"/>
      <c r="W119" s="702"/>
      <c r="X119" s="703"/>
    </row>
    <row r="120" spans="18:24" s="701" customFormat="1">
      <c r="R120" s="702"/>
      <c r="S120" s="702"/>
      <c r="T120" s="702"/>
      <c r="U120" s="702"/>
      <c r="V120" s="702"/>
      <c r="W120" s="702"/>
      <c r="X120" s="703"/>
    </row>
    <row r="121" spans="18:24" s="701" customFormat="1">
      <c r="R121" s="702"/>
      <c r="S121" s="702"/>
      <c r="T121" s="702"/>
      <c r="U121" s="702"/>
      <c r="V121" s="702"/>
      <c r="W121" s="702"/>
      <c r="X121" s="703"/>
    </row>
    <row r="122" spans="18:24" s="701" customFormat="1">
      <c r="R122" s="702"/>
      <c r="S122" s="702"/>
      <c r="T122" s="702"/>
      <c r="U122" s="702"/>
      <c r="V122" s="702"/>
      <c r="W122" s="702"/>
      <c r="X122" s="703"/>
    </row>
    <row r="123" spans="18:24" s="701" customFormat="1">
      <c r="R123" s="702"/>
      <c r="S123" s="702"/>
      <c r="T123" s="702"/>
      <c r="U123" s="702"/>
      <c r="V123" s="702"/>
      <c r="W123" s="702"/>
      <c r="X123" s="703"/>
    </row>
    <row r="124" spans="18:24" s="701" customFormat="1">
      <c r="R124" s="702"/>
      <c r="S124" s="702"/>
      <c r="T124" s="702"/>
      <c r="U124" s="702"/>
      <c r="V124" s="702"/>
      <c r="W124" s="702"/>
      <c r="X124" s="703"/>
    </row>
    <row r="125" spans="18:24" s="701" customFormat="1">
      <c r="R125" s="702"/>
      <c r="S125" s="702"/>
      <c r="T125" s="702"/>
      <c r="U125" s="702"/>
      <c r="V125" s="702"/>
      <c r="W125" s="702"/>
      <c r="X125" s="703"/>
    </row>
    <row r="126" spans="18:24" s="701" customFormat="1">
      <c r="R126" s="702"/>
      <c r="S126" s="702"/>
      <c r="T126" s="702"/>
      <c r="U126" s="702"/>
      <c r="V126" s="702"/>
      <c r="W126" s="702"/>
      <c r="X126" s="703"/>
    </row>
    <row r="127" spans="18:24" s="701" customFormat="1">
      <c r="R127" s="702"/>
      <c r="S127" s="702"/>
      <c r="T127" s="702"/>
      <c r="U127" s="702"/>
      <c r="V127" s="702"/>
      <c r="W127" s="702"/>
      <c r="X127" s="703"/>
    </row>
    <row r="128" spans="18:24" s="701" customFormat="1">
      <c r="R128" s="702"/>
      <c r="S128" s="702"/>
      <c r="T128" s="702"/>
      <c r="U128" s="702"/>
      <c r="V128" s="702"/>
      <c r="W128" s="702"/>
      <c r="X128" s="703"/>
    </row>
    <row r="129" spans="18:24" s="701" customFormat="1">
      <c r="R129" s="702"/>
      <c r="S129" s="702"/>
      <c r="T129" s="702"/>
      <c r="U129" s="702"/>
      <c r="V129" s="702"/>
      <c r="W129" s="702"/>
      <c r="X129" s="703"/>
    </row>
    <row r="130" spans="18:24" s="701" customFormat="1">
      <c r="R130" s="702"/>
      <c r="S130" s="702"/>
      <c r="T130" s="702"/>
      <c r="U130" s="702"/>
      <c r="V130" s="702"/>
      <c r="W130" s="702"/>
      <c r="X130" s="703"/>
    </row>
    <row r="131" spans="18:24" s="701" customFormat="1">
      <c r="R131" s="702"/>
      <c r="S131" s="702"/>
      <c r="T131" s="702"/>
      <c r="U131" s="702"/>
      <c r="V131" s="702"/>
      <c r="W131" s="702"/>
      <c r="X131" s="703"/>
    </row>
    <row r="132" spans="18:24" s="701" customFormat="1">
      <c r="R132" s="702"/>
      <c r="S132" s="702"/>
      <c r="T132" s="702"/>
      <c r="U132" s="702"/>
      <c r="V132" s="702"/>
      <c r="W132" s="702"/>
      <c r="X132" s="703"/>
    </row>
    <row r="133" spans="18:24" s="701" customFormat="1">
      <c r="R133" s="702"/>
      <c r="S133" s="702"/>
      <c r="T133" s="702"/>
      <c r="U133" s="702"/>
      <c r="V133" s="702"/>
      <c r="W133" s="702"/>
      <c r="X133" s="703"/>
    </row>
    <row r="134" spans="18:24" s="701" customFormat="1">
      <c r="R134" s="702"/>
      <c r="S134" s="702"/>
      <c r="T134" s="702"/>
      <c r="U134" s="702"/>
      <c r="V134" s="702"/>
      <c r="W134" s="702"/>
      <c r="X134" s="703"/>
    </row>
    <row r="135" spans="18:24" s="701" customFormat="1">
      <c r="R135" s="702"/>
      <c r="S135" s="702"/>
      <c r="T135" s="702"/>
      <c r="U135" s="702"/>
      <c r="V135" s="702"/>
      <c r="W135" s="702"/>
      <c r="X135" s="703"/>
    </row>
    <row r="136" spans="18:24" s="701" customFormat="1">
      <c r="R136" s="702"/>
      <c r="S136" s="702"/>
      <c r="T136" s="702"/>
      <c r="U136" s="702"/>
      <c r="V136" s="702"/>
      <c r="W136" s="702"/>
      <c r="X136" s="703"/>
    </row>
    <row r="137" spans="18:24" s="701" customFormat="1">
      <c r="R137" s="702"/>
      <c r="S137" s="702"/>
      <c r="T137" s="702"/>
      <c r="U137" s="702"/>
      <c r="V137" s="702"/>
      <c r="W137" s="702"/>
      <c r="X137" s="703"/>
    </row>
    <row r="138" spans="18:24" s="701" customFormat="1">
      <c r="R138" s="702"/>
      <c r="S138" s="702"/>
      <c r="T138" s="702"/>
      <c r="U138" s="702"/>
      <c r="V138" s="702"/>
      <c r="W138" s="702"/>
      <c r="X138" s="703"/>
    </row>
    <row r="139" spans="18:24" s="701" customFormat="1">
      <c r="R139" s="702"/>
      <c r="S139" s="702"/>
      <c r="T139" s="702"/>
      <c r="U139" s="702"/>
      <c r="V139" s="702"/>
      <c r="W139" s="702"/>
      <c r="X139" s="703"/>
    </row>
    <row r="140" spans="18:24" s="701" customFormat="1">
      <c r="R140" s="702"/>
      <c r="S140" s="702"/>
      <c r="T140" s="702"/>
      <c r="U140" s="702"/>
      <c r="V140" s="702"/>
      <c r="W140" s="702"/>
      <c r="X140" s="703"/>
    </row>
    <row r="141" spans="18:24" s="701" customFormat="1">
      <c r="R141" s="702"/>
      <c r="S141" s="702"/>
      <c r="T141" s="702"/>
      <c r="U141" s="702"/>
      <c r="V141" s="702"/>
      <c r="W141" s="702"/>
      <c r="X141" s="703"/>
    </row>
    <row r="142" spans="18:24" s="701" customFormat="1">
      <c r="R142" s="702"/>
      <c r="S142" s="702"/>
      <c r="T142" s="702"/>
      <c r="U142" s="702"/>
      <c r="V142" s="702"/>
      <c r="W142" s="702"/>
      <c r="X142" s="703"/>
    </row>
    <row r="143" spans="18:24" s="701" customFormat="1">
      <c r="R143" s="702"/>
      <c r="S143" s="702"/>
      <c r="T143" s="702"/>
      <c r="U143" s="702"/>
      <c r="V143" s="702"/>
      <c r="W143" s="702"/>
      <c r="X143" s="703"/>
    </row>
    <row r="144" spans="18:24" s="701" customFormat="1">
      <c r="R144" s="702"/>
      <c r="S144" s="702"/>
      <c r="T144" s="702"/>
      <c r="U144" s="702"/>
      <c r="V144" s="702"/>
      <c r="W144" s="702"/>
      <c r="X144" s="703"/>
    </row>
    <row r="145" spans="18:24" s="701" customFormat="1">
      <c r="R145" s="702"/>
      <c r="S145" s="702"/>
      <c r="T145" s="702"/>
      <c r="U145" s="702"/>
      <c r="V145" s="702"/>
      <c r="W145" s="702"/>
      <c r="X145" s="703"/>
    </row>
    <row r="146" spans="18:24" s="701" customFormat="1">
      <c r="R146" s="702"/>
      <c r="S146" s="702"/>
      <c r="T146" s="702"/>
      <c r="U146" s="702"/>
      <c r="V146" s="702"/>
      <c r="W146" s="702"/>
      <c r="X146" s="703"/>
    </row>
    <row r="147" spans="18:24" s="701" customFormat="1">
      <c r="R147" s="702"/>
      <c r="S147" s="702"/>
      <c r="T147" s="702"/>
      <c r="U147" s="702"/>
      <c r="V147" s="702"/>
      <c r="W147" s="702"/>
      <c r="X147" s="703"/>
    </row>
    <row r="148" spans="18:24" s="701" customFormat="1">
      <c r="R148" s="702"/>
      <c r="S148" s="702"/>
      <c r="T148" s="702"/>
      <c r="U148" s="702"/>
      <c r="V148" s="702"/>
      <c r="W148" s="702"/>
      <c r="X148" s="703"/>
    </row>
    <row r="149" spans="18:24" s="701" customFormat="1">
      <c r="R149" s="702"/>
      <c r="S149" s="702"/>
      <c r="T149" s="702"/>
      <c r="U149" s="702"/>
      <c r="V149" s="702"/>
      <c r="W149" s="702"/>
      <c r="X149" s="703"/>
    </row>
    <row r="150" spans="18:24" s="701" customFormat="1">
      <c r="R150" s="702"/>
      <c r="S150" s="702"/>
      <c r="T150" s="702"/>
      <c r="U150" s="702"/>
      <c r="V150" s="702"/>
      <c r="W150" s="702"/>
      <c r="X150" s="703"/>
    </row>
    <row r="151" spans="18:24" s="701" customFormat="1">
      <c r="R151" s="702"/>
      <c r="S151" s="702"/>
      <c r="T151" s="702"/>
      <c r="U151" s="702"/>
      <c r="V151" s="702"/>
      <c r="W151" s="702"/>
      <c r="X151" s="703"/>
    </row>
    <row r="152" spans="18:24" s="701" customFormat="1">
      <c r="R152" s="702"/>
      <c r="S152" s="702"/>
      <c r="T152" s="702"/>
      <c r="U152" s="702"/>
      <c r="V152" s="702"/>
      <c r="W152" s="702"/>
      <c r="X152" s="703"/>
    </row>
    <row r="153" spans="18:24" s="701" customFormat="1">
      <c r="R153" s="702"/>
      <c r="S153" s="702"/>
      <c r="T153" s="702"/>
      <c r="U153" s="702"/>
      <c r="V153" s="702"/>
      <c r="W153" s="702"/>
      <c r="X153" s="703"/>
    </row>
    <row r="154" spans="18:24" s="701" customFormat="1">
      <c r="R154" s="702"/>
      <c r="S154" s="702"/>
      <c r="T154" s="702"/>
      <c r="U154" s="702"/>
      <c r="V154" s="702"/>
      <c r="W154" s="702"/>
      <c r="X154" s="703"/>
    </row>
    <row r="155" spans="18:24" s="701" customFormat="1">
      <c r="R155" s="702"/>
      <c r="S155" s="702"/>
      <c r="T155" s="702"/>
      <c r="U155" s="702"/>
      <c r="V155" s="702"/>
      <c r="W155" s="702"/>
      <c r="X155" s="703"/>
    </row>
    <row r="156" spans="18:24" s="701" customFormat="1">
      <c r="R156" s="702"/>
      <c r="S156" s="702"/>
      <c r="T156" s="702"/>
      <c r="U156" s="702"/>
      <c r="V156" s="702"/>
      <c r="W156" s="702"/>
      <c r="X156" s="703"/>
    </row>
    <row r="157" spans="18:24" s="701" customFormat="1">
      <c r="R157" s="702"/>
      <c r="S157" s="702"/>
      <c r="T157" s="702"/>
      <c r="U157" s="702"/>
      <c r="V157" s="702"/>
      <c r="W157" s="702"/>
      <c r="X157" s="703"/>
    </row>
    <row r="158" spans="18:24" s="701" customFormat="1">
      <c r="R158" s="702"/>
      <c r="S158" s="702"/>
      <c r="T158" s="702"/>
      <c r="U158" s="702"/>
      <c r="V158" s="702"/>
      <c r="W158" s="702"/>
      <c r="X158" s="703"/>
    </row>
    <row r="159" spans="18:24" s="701" customFormat="1">
      <c r="R159" s="702"/>
      <c r="S159" s="702"/>
      <c r="T159" s="702"/>
      <c r="U159" s="702"/>
      <c r="V159" s="702"/>
      <c r="W159" s="702"/>
      <c r="X159" s="703"/>
    </row>
    <row r="160" spans="18:24" s="701" customFormat="1">
      <c r="R160" s="702"/>
      <c r="S160" s="702"/>
      <c r="T160" s="702"/>
      <c r="U160" s="702"/>
      <c r="V160" s="702"/>
      <c r="W160" s="702"/>
      <c r="X160" s="703"/>
    </row>
    <row r="161" spans="18:24" s="701" customFormat="1">
      <c r="R161" s="702"/>
      <c r="S161" s="702"/>
      <c r="T161" s="702"/>
      <c r="U161" s="702"/>
      <c r="V161" s="702"/>
      <c r="W161" s="702"/>
      <c r="X161" s="703"/>
    </row>
    <row r="162" spans="18:24" s="701" customFormat="1">
      <c r="R162" s="702"/>
      <c r="S162" s="702"/>
      <c r="T162" s="702"/>
      <c r="U162" s="702"/>
      <c r="V162" s="702"/>
      <c r="W162" s="702"/>
      <c r="X162" s="703"/>
    </row>
    <row r="163" spans="18:24" s="701" customFormat="1">
      <c r="R163" s="702"/>
      <c r="S163" s="702"/>
      <c r="T163" s="702"/>
      <c r="U163" s="702"/>
      <c r="V163" s="702"/>
      <c r="W163" s="702"/>
      <c r="X163" s="703"/>
    </row>
    <row r="164" spans="18:24" s="701" customFormat="1">
      <c r="R164" s="702"/>
      <c r="S164" s="702"/>
      <c r="T164" s="702"/>
      <c r="U164" s="702"/>
      <c r="V164" s="702"/>
      <c r="W164" s="702"/>
      <c r="X164" s="703"/>
    </row>
    <row r="165" spans="18:24" s="701" customFormat="1">
      <c r="R165" s="702"/>
      <c r="S165" s="702"/>
      <c r="T165" s="702"/>
      <c r="U165" s="702"/>
      <c r="V165" s="702"/>
      <c r="W165" s="702"/>
      <c r="X165" s="703"/>
    </row>
    <row r="166" spans="18:24" s="701" customFormat="1">
      <c r="R166" s="702"/>
      <c r="S166" s="702"/>
      <c r="T166" s="702"/>
      <c r="U166" s="702"/>
      <c r="V166" s="702"/>
      <c r="W166" s="702"/>
      <c r="X166" s="703"/>
    </row>
    <row r="167" spans="18:24" s="701" customFormat="1">
      <c r="R167" s="702"/>
      <c r="S167" s="702"/>
      <c r="T167" s="702"/>
      <c r="U167" s="702"/>
      <c r="V167" s="702"/>
      <c r="W167" s="702"/>
      <c r="X167" s="703"/>
    </row>
    <row r="168" spans="18:24" s="701" customFormat="1">
      <c r="R168" s="702"/>
      <c r="S168" s="702"/>
      <c r="T168" s="702"/>
      <c r="U168" s="702"/>
      <c r="V168" s="702"/>
      <c r="W168" s="702"/>
      <c r="X168" s="703"/>
    </row>
    <row r="169" spans="18:24" s="701" customFormat="1">
      <c r="R169" s="702"/>
      <c r="S169" s="702"/>
      <c r="T169" s="702"/>
      <c r="U169" s="702"/>
      <c r="V169" s="702"/>
      <c r="W169" s="702"/>
      <c r="X169" s="703"/>
    </row>
    <row r="170" spans="18:24" s="701" customFormat="1">
      <c r="R170" s="702"/>
      <c r="S170" s="702"/>
      <c r="T170" s="702"/>
      <c r="U170" s="702"/>
      <c r="V170" s="702"/>
      <c r="W170" s="702"/>
      <c r="X170" s="703"/>
    </row>
    <row r="171" spans="18:24" s="701" customFormat="1">
      <c r="R171" s="702"/>
      <c r="S171" s="702"/>
      <c r="T171" s="702"/>
      <c r="U171" s="702"/>
      <c r="V171" s="702"/>
      <c r="W171" s="702"/>
      <c r="X171" s="703"/>
    </row>
    <row r="172" spans="18:24" s="701" customFormat="1">
      <c r="R172" s="702"/>
      <c r="S172" s="702"/>
      <c r="T172" s="702"/>
      <c r="U172" s="702"/>
      <c r="V172" s="702"/>
      <c r="W172" s="702"/>
      <c r="X172" s="703"/>
    </row>
    <row r="173" spans="18:24" s="701" customFormat="1">
      <c r="R173" s="702"/>
      <c r="S173" s="702"/>
      <c r="T173" s="702"/>
      <c r="U173" s="702"/>
      <c r="V173" s="702"/>
      <c r="W173" s="702"/>
      <c r="X173" s="703"/>
    </row>
    <row r="174" spans="18:24" s="701" customFormat="1">
      <c r="R174" s="702"/>
      <c r="S174" s="702"/>
      <c r="T174" s="702"/>
      <c r="U174" s="702"/>
      <c r="V174" s="702"/>
      <c r="W174" s="702"/>
      <c r="X174" s="703"/>
    </row>
    <row r="175" spans="18:24" s="701" customFormat="1">
      <c r="R175" s="702"/>
      <c r="S175" s="702"/>
      <c r="T175" s="702"/>
      <c r="U175" s="702"/>
      <c r="V175" s="702"/>
      <c r="W175" s="702"/>
      <c r="X175" s="703"/>
    </row>
    <row r="176" spans="18:24" s="701" customFormat="1">
      <c r="R176" s="702"/>
      <c r="S176" s="702"/>
      <c r="T176" s="702"/>
      <c r="U176" s="702"/>
      <c r="V176" s="702"/>
      <c r="W176" s="702"/>
      <c r="X176" s="703"/>
    </row>
    <row r="177" spans="18:24" s="701" customFormat="1">
      <c r="R177" s="702"/>
      <c r="S177" s="702"/>
      <c r="T177" s="702"/>
      <c r="U177" s="702"/>
      <c r="V177" s="702"/>
      <c r="W177" s="702"/>
      <c r="X177" s="703"/>
    </row>
    <row r="178" spans="18:24" s="701" customFormat="1">
      <c r="R178" s="702"/>
      <c r="S178" s="702"/>
      <c r="T178" s="702"/>
      <c r="U178" s="702"/>
      <c r="V178" s="702"/>
      <c r="W178" s="702"/>
      <c r="X178" s="703"/>
    </row>
    <row r="179" spans="18:24" s="701" customFormat="1">
      <c r="R179" s="702"/>
      <c r="S179" s="702"/>
      <c r="T179" s="702"/>
      <c r="U179" s="702"/>
      <c r="V179" s="702"/>
      <c r="W179" s="702"/>
      <c r="X179" s="703"/>
    </row>
    <row r="180" spans="18:24" s="701" customFormat="1">
      <c r="R180" s="702"/>
      <c r="S180" s="702"/>
      <c r="T180" s="702"/>
      <c r="U180" s="702"/>
      <c r="V180" s="702"/>
      <c r="W180" s="702"/>
      <c r="X180" s="703"/>
    </row>
    <row r="181" spans="18:24" s="701" customFormat="1">
      <c r="R181" s="702"/>
      <c r="S181" s="702"/>
      <c r="T181" s="702"/>
      <c r="U181" s="702"/>
      <c r="V181" s="702"/>
      <c r="W181" s="702"/>
      <c r="X181" s="703"/>
    </row>
    <row r="182" spans="18:24" s="701" customFormat="1">
      <c r="R182" s="702"/>
      <c r="S182" s="702"/>
      <c r="T182" s="702"/>
      <c r="U182" s="702"/>
      <c r="V182" s="702"/>
      <c r="W182" s="702"/>
      <c r="X182" s="703"/>
    </row>
    <row r="183" spans="18:24" s="701" customFormat="1">
      <c r="R183" s="702"/>
      <c r="S183" s="702"/>
      <c r="T183" s="702"/>
      <c r="U183" s="702"/>
      <c r="V183" s="702"/>
      <c r="W183" s="702"/>
      <c r="X183" s="703"/>
    </row>
    <row r="184" spans="18:24" s="701" customFormat="1">
      <c r="R184" s="702"/>
      <c r="S184" s="702"/>
      <c r="T184" s="702"/>
      <c r="U184" s="702"/>
      <c r="V184" s="702"/>
      <c r="W184" s="702"/>
      <c r="X184" s="703"/>
    </row>
    <row r="185" spans="18:24" s="701" customFormat="1">
      <c r="R185" s="702"/>
      <c r="S185" s="702"/>
      <c r="T185" s="702"/>
      <c r="U185" s="702"/>
      <c r="V185" s="702"/>
      <c r="W185" s="702"/>
      <c r="X185" s="703"/>
    </row>
    <row r="186" spans="18:24" s="701" customFormat="1">
      <c r="R186" s="702"/>
      <c r="S186" s="702"/>
      <c r="T186" s="702"/>
      <c r="U186" s="702"/>
      <c r="V186" s="702"/>
      <c r="W186" s="702"/>
      <c r="X186" s="703"/>
    </row>
    <row r="187" spans="18:24" s="701" customFormat="1">
      <c r="R187" s="702"/>
      <c r="S187" s="702"/>
      <c r="T187" s="702"/>
      <c r="U187" s="702"/>
      <c r="V187" s="702"/>
      <c r="W187" s="702"/>
      <c r="X187" s="703"/>
    </row>
    <row r="188" spans="18:24" s="701" customFormat="1">
      <c r="R188" s="702"/>
      <c r="S188" s="702"/>
      <c r="T188" s="702"/>
      <c r="U188" s="702"/>
      <c r="V188" s="702"/>
      <c r="W188" s="702"/>
      <c r="X188" s="703"/>
    </row>
    <row r="189" spans="18:24" s="701" customFormat="1">
      <c r="R189" s="702"/>
      <c r="S189" s="702"/>
      <c r="T189" s="702"/>
      <c r="U189" s="702"/>
      <c r="V189" s="702"/>
      <c r="W189" s="702"/>
      <c r="X189" s="703"/>
    </row>
    <row r="190" spans="18:24" s="701" customFormat="1">
      <c r="R190" s="702"/>
      <c r="S190" s="702"/>
      <c r="T190" s="702"/>
      <c r="U190" s="702"/>
      <c r="V190" s="702"/>
      <c r="W190" s="702"/>
      <c r="X190" s="703"/>
    </row>
    <row r="191" spans="18:24" s="701" customFormat="1">
      <c r="R191" s="702"/>
      <c r="S191" s="702"/>
      <c r="T191" s="702"/>
      <c r="U191" s="702"/>
      <c r="V191" s="702"/>
      <c r="W191" s="702"/>
      <c r="X191" s="703"/>
    </row>
    <row r="192" spans="18:24" s="701" customFormat="1">
      <c r="R192" s="702"/>
      <c r="S192" s="702"/>
      <c r="T192" s="702"/>
      <c r="U192" s="702"/>
      <c r="V192" s="702"/>
      <c r="W192" s="702"/>
      <c r="X192" s="703"/>
    </row>
    <row r="193" spans="18:24" s="701" customFormat="1">
      <c r="R193" s="702"/>
      <c r="S193" s="702"/>
      <c r="T193" s="702"/>
      <c r="U193" s="702"/>
      <c r="V193" s="702"/>
      <c r="W193" s="702"/>
      <c r="X193" s="703"/>
    </row>
    <row r="194" spans="18:24" s="701" customFormat="1">
      <c r="R194" s="702"/>
      <c r="S194" s="702"/>
      <c r="T194" s="702"/>
      <c r="U194" s="702"/>
      <c r="V194" s="702"/>
      <c r="W194" s="702"/>
      <c r="X194" s="703"/>
    </row>
    <row r="195" spans="18:24" s="701" customFormat="1">
      <c r="R195" s="702"/>
      <c r="S195" s="702"/>
      <c r="T195" s="702"/>
      <c r="U195" s="702"/>
      <c r="V195" s="702"/>
      <c r="W195" s="702"/>
      <c r="X195" s="703"/>
    </row>
    <row r="196" spans="18:24" s="701" customFormat="1">
      <c r="R196" s="702"/>
      <c r="S196" s="702"/>
      <c r="T196" s="702"/>
      <c r="U196" s="702"/>
      <c r="V196" s="702"/>
      <c r="W196" s="702"/>
      <c r="X196" s="703"/>
    </row>
    <row r="197" spans="18:24" s="701" customFormat="1">
      <c r="R197" s="702"/>
      <c r="S197" s="702"/>
      <c r="T197" s="702"/>
      <c r="U197" s="702"/>
      <c r="V197" s="702"/>
      <c r="W197" s="702"/>
      <c r="X197" s="703"/>
    </row>
    <row r="198" spans="18:24" s="701" customFormat="1">
      <c r="R198" s="702"/>
      <c r="S198" s="702"/>
      <c r="T198" s="702"/>
      <c r="U198" s="702"/>
      <c r="V198" s="702"/>
      <c r="W198" s="702"/>
      <c r="X198" s="703"/>
    </row>
    <row r="199" spans="18:24" s="701" customFormat="1">
      <c r="R199" s="702"/>
      <c r="S199" s="702"/>
      <c r="T199" s="702"/>
      <c r="U199" s="702"/>
      <c r="V199" s="702"/>
      <c r="W199" s="702"/>
      <c r="X199" s="703"/>
    </row>
    <row r="200" spans="18:24" s="701" customFormat="1">
      <c r="R200" s="702"/>
      <c r="S200" s="702"/>
      <c r="T200" s="702"/>
      <c r="U200" s="702"/>
      <c r="V200" s="702"/>
      <c r="W200" s="702"/>
      <c r="X200" s="703"/>
    </row>
    <row r="201" spans="18:24" s="701" customFormat="1">
      <c r="R201" s="702"/>
      <c r="S201" s="702"/>
      <c r="T201" s="702"/>
      <c r="U201" s="702"/>
      <c r="V201" s="702"/>
      <c r="W201" s="702"/>
      <c r="X201" s="703"/>
    </row>
    <row r="202" spans="18:24" s="701" customFormat="1">
      <c r="R202" s="702"/>
      <c r="S202" s="702"/>
      <c r="T202" s="702"/>
      <c r="U202" s="702"/>
      <c r="V202" s="702"/>
      <c r="W202" s="702"/>
      <c r="X202" s="703"/>
    </row>
    <row r="203" spans="18:24" s="701" customFormat="1">
      <c r="R203" s="702"/>
      <c r="S203" s="702"/>
      <c r="T203" s="702"/>
      <c r="U203" s="702"/>
      <c r="V203" s="702"/>
      <c r="W203" s="702"/>
      <c r="X203" s="703"/>
    </row>
    <row r="204" spans="18:24" s="701" customFormat="1">
      <c r="R204" s="702"/>
      <c r="S204" s="702"/>
      <c r="T204" s="702"/>
      <c r="U204" s="702"/>
      <c r="V204" s="702"/>
      <c r="W204" s="702"/>
      <c r="X204" s="703"/>
    </row>
    <row r="205" spans="18:24" s="701" customFormat="1">
      <c r="R205" s="702"/>
      <c r="S205" s="702"/>
      <c r="T205" s="702"/>
      <c r="U205" s="702"/>
      <c r="V205" s="702"/>
      <c r="W205" s="702"/>
      <c r="X205" s="703"/>
    </row>
    <row r="206" spans="18:24" s="701" customFormat="1">
      <c r="R206" s="702"/>
      <c r="S206" s="702"/>
      <c r="T206" s="702"/>
      <c r="U206" s="702"/>
      <c r="V206" s="702"/>
      <c r="W206" s="702"/>
      <c r="X206" s="703"/>
    </row>
    <row r="207" spans="18:24" s="701" customFormat="1">
      <c r="R207" s="702"/>
      <c r="S207" s="702"/>
      <c r="T207" s="702"/>
      <c r="U207" s="702"/>
      <c r="V207" s="702"/>
      <c r="W207" s="702"/>
      <c r="X207" s="703"/>
    </row>
    <row r="208" spans="18:24" s="701" customFormat="1">
      <c r="R208" s="702"/>
      <c r="S208" s="702"/>
      <c r="T208" s="702"/>
      <c r="U208" s="702"/>
      <c r="V208" s="702"/>
      <c r="W208" s="702"/>
      <c r="X208" s="703"/>
    </row>
    <row r="209" spans="18:24" s="701" customFormat="1">
      <c r="R209" s="702"/>
      <c r="S209" s="702"/>
      <c r="T209" s="702"/>
      <c r="U209" s="702"/>
      <c r="V209" s="702"/>
      <c r="W209" s="702"/>
      <c r="X209" s="703"/>
    </row>
    <row r="210" spans="18:24" s="701" customFormat="1">
      <c r="R210" s="702"/>
      <c r="S210" s="702"/>
      <c r="T210" s="702"/>
      <c r="U210" s="702"/>
      <c r="V210" s="702"/>
      <c r="W210" s="702"/>
      <c r="X210" s="703"/>
    </row>
    <row r="211" spans="18:24" s="701" customFormat="1">
      <c r="R211" s="702"/>
      <c r="S211" s="702"/>
      <c r="T211" s="702"/>
      <c r="U211" s="702"/>
      <c r="V211" s="702"/>
      <c r="W211" s="702"/>
      <c r="X211" s="703"/>
    </row>
    <row r="212" spans="18:24" s="701" customFormat="1">
      <c r="R212" s="702"/>
      <c r="S212" s="702"/>
      <c r="T212" s="702"/>
      <c r="U212" s="702"/>
      <c r="V212" s="702"/>
      <c r="W212" s="702"/>
      <c r="X212" s="703"/>
    </row>
    <row r="213" spans="18:24" s="701" customFormat="1">
      <c r="R213" s="702"/>
      <c r="S213" s="702"/>
      <c r="T213" s="702"/>
      <c r="U213" s="702"/>
      <c r="V213" s="702"/>
      <c r="W213" s="702"/>
      <c r="X213" s="703"/>
    </row>
    <row r="214" spans="18:24" s="701" customFormat="1">
      <c r="R214" s="702"/>
      <c r="S214" s="702"/>
      <c r="T214" s="702"/>
      <c r="U214" s="702"/>
      <c r="V214" s="702"/>
      <c r="W214" s="702"/>
      <c r="X214" s="703"/>
    </row>
    <row r="215" spans="18:24" s="701" customFormat="1">
      <c r="R215" s="702"/>
      <c r="S215" s="702"/>
      <c r="T215" s="702"/>
      <c r="U215" s="702"/>
      <c r="V215" s="702"/>
      <c r="W215" s="702"/>
      <c r="X215" s="703"/>
    </row>
    <row r="216" spans="18:24" s="701" customFormat="1">
      <c r="R216" s="702"/>
      <c r="S216" s="702"/>
      <c r="T216" s="702"/>
      <c r="U216" s="702"/>
      <c r="V216" s="702"/>
      <c r="W216" s="702"/>
      <c r="X216" s="703"/>
    </row>
    <row r="217" spans="18:24" s="701" customFormat="1">
      <c r="R217" s="702"/>
      <c r="S217" s="702"/>
      <c r="T217" s="702"/>
      <c r="U217" s="702"/>
      <c r="V217" s="702"/>
      <c r="W217" s="702"/>
      <c r="X217" s="703"/>
    </row>
    <row r="218" spans="18:24" s="701" customFormat="1">
      <c r="R218" s="702"/>
      <c r="S218" s="702"/>
      <c r="T218" s="702"/>
      <c r="U218" s="702"/>
      <c r="V218" s="702"/>
      <c r="W218" s="702"/>
      <c r="X218" s="703"/>
    </row>
    <row r="219" spans="18:24" s="701" customFormat="1">
      <c r="R219" s="702"/>
      <c r="S219" s="702"/>
      <c r="T219" s="702"/>
      <c r="U219" s="702"/>
      <c r="V219" s="702"/>
      <c r="W219" s="702"/>
      <c r="X219" s="703"/>
    </row>
    <row r="220" spans="18:24" s="701" customFormat="1">
      <c r="R220" s="702"/>
      <c r="S220" s="702"/>
      <c r="T220" s="702"/>
      <c r="U220" s="702"/>
      <c r="V220" s="702"/>
      <c r="W220" s="702"/>
      <c r="X220" s="703"/>
    </row>
    <row r="221" spans="18:24" s="701" customFormat="1">
      <c r="R221" s="702"/>
      <c r="S221" s="702"/>
      <c r="T221" s="702"/>
      <c r="U221" s="702"/>
      <c r="V221" s="702"/>
      <c r="W221" s="702"/>
      <c r="X221" s="703"/>
    </row>
    <row r="222" spans="18:24" s="701" customFormat="1">
      <c r="R222" s="702"/>
      <c r="S222" s="702"/>
      <c r="T222" s="702"/>
      <c r="U222" s="702"/>
      <c r="V222" s="702"/>
      <c r="W222" s="702"/>
      <c r="X222" s="703"/>
    </row>
    <row r="223" spans="18:24" s="701" customFormat="1">
      <c r="R223" s="702"/>
      <c r="S223" s="702"/>
      <c r="T223" s="702"/>
      <c r="U223" s="702"/>
      <c r="V223" s="702"/>
      <c r="W223" s="702"/>
      <c r="X223" s="703"/>
    </row>
    <row r="224" spans="18:24" s="701" customFormat="1">
      <c r="R224" s="702"/>
      <c r="S224" s="702"/>
      <c r="T224" s="702"/>
      <c r="U224" s="702"/>
      <c r="V224" s="702"/>
      <c r="W224" s="702"/>
      <c r="X224" s="703"/>
    </row>
    <row r="225" spans="18:24" s="701" customFormat="1">
      <c r="R225" s="702"/>
      <c r="S225" s="702"/>
      <c r="T225" s="702"/>
      <c r="U225" s="702"/>
      <c r="V225" s="702"/>
      <c r="W225" s="702"/>
      <c r="X225" s="703"/>
    </row>
    <row r="226" spans="18:24" s="701" customFormat="1">
      <c r="R226" s="702"/>
      <c r="S226" s="702"/>
      <c r="T226" s="702"/>
      <c r="U226" s="702"/>
      <c r="V226" s="702"/>
      <c r="W226" s="702"/>
      <c r="X226" s="703"/>
    </row>
    <row r="227" spans="18:24" s="701" customFormat="1">
      <c r="R227" s="702"/>
      <c r="S227" s="702"/>
      <c r="T227" s="702"/>
      <c r="U227" s="702"/>
      <c r="V227" s="702"/>
      <c r="W227" s="702"/>
      <c r="X227" s="703"/>
    </row>
    <row r="228" spans="18:24" s="701" customFormat="1">
      <c r="R228" s="702"/>
      <c r="S228" s="702"/>
      <c r="T228" s="702"/>
      <c r="U228" s="702"/>
      <c r="V228" s="702"/>
      <c r="W228" s="702"/>
      <c r="X228" s="703"/>
    </row>
    <row r="229" spans="18:24" s="701" customFormat="1">
      <c r="R229" s="702"/>
      <c r="S229" s="702"/>
      <c r="T229" s="702"/>
      <c r="U229" s="702"/>
      <c r="V229" s="702"/>
      <c r="W229" s="702"/>
      <c r="X229" s="703"/>
    </row>
    <row r="230" spans="18:24" s="701" customFormat="1">
      <c r="R230" s="702"/>
      <c r="S230" s="702"/>
      <c r="T230" s="702"/>
      <c r="U230" s="702"/>
      <c r="V230" s="702"/>
      <c r="W230" s="702"/>
      <c r="X230" s="703"/>
    </row>
    <row r="231" spans="18:24" s="701" customFormat="1">
      <c r="R231" s="702"/>
      <c r="S231" s="702"/>
      <c r="T231" s="702"/>
      <c r="U231" s="702"/>
      <c r="V231" s="702"/>
      <c r="W231" s="702"/>
      <c r="X231" s="703"/>
    </row>
    <row r="232" spans="18:24" s="701" customFormat="1">
      <c r="R232" s="702"/>
      <c r="S232" s="702"/>
      <c r="T232" s="702"/>
      <c r="U232" s="702"/>
      <c r="V232" s="702"/>
      <c r="W232" s="702"/>
      <c r="X232" s="703"/>
    </row>
    <row r="233" spans="18:24" s="701" customFormat="1">
      <c r="R233" s="702"/>
      <c r="S233" s="702"/>
      <c r="T233" s="702"/>
      <c r="U233" s="702"/>
      <c r="V233" s="702"/>
      <c r="W233" s="702"/>
      <c r="X233" s="703"/>
    </row>
    <row r="234" spans="18:24" s="701" customFormat="1">
      <c r="R234" s="702"/>
      <c r="S234" s="702"/>
      <c r="T234" s="702"/>
      <c r="U234" s="702"/>
      <c r="V234" s="702"/>
      <c r="W234" s="702"/>
      <c r="X234" s="703"/>
    </row>
    <row r="235" spans="18:24" s="701" customFormat="1">
      <c r="R235" s="702"/>
      <c r="S235" s="702"/>
      <c r="T235" s="702"/>
      <c r="U235" s="702"/>
      <c r="V235" s="702"/>
      <c r="W235" s="702"/>
      <c r="X235" s="703"/>
    </row>
    <row r="236" spans="18:24" s="701" customFormat="1">
      <c r="R236" s="702"/>
      <c r="S236" s="702"/>
      <c r="T236" s="702"/>
      <c r="U236" s="702"/>
      <c r="V236" s="702"/>
      <c r="W236" s="702"/>
      <c r="X236" s="703"/>
    </row>
    <row r="237" spans="18:24" s="701" customFormat="1">
      <c r="R237" s="702"/>
      <c r="S237" s="702"/>
      <c r="T237" s="702"/>
      <c r="U237" s="702"/>
      <c r="V237" s="702"/>
      <c r="W237" s="702"/>
      <c r="X237" s="703"/>
    </row>
    <row r="238" spans="18:24" s="701" customFormat="1">
      <c r="R238" s="702"/>
      <c r="S238" s="702"/>
      <c r="T238" s="702"/>
      <c r="U238" s="702"/>
      <c r="V238" s="702"/>
      <c r="W238" s="702"/>
      <c r="X238" s="703"/>
    </row>
    <row r="239" spans="18:24" s="701" customFormat="1">
      <c r="R239" s="702"/>
      <c r="S239" s="702"/>
      <c r="T239" s="702"/>
      <c r="U239" s="702"/>
      <c r="V239" s="702"/>
      <c r="W239" s="702"/>
      <c r="X239" s="703"/>
    </row>
    <row r="240" spans="18:24" s="701" customFormat="1">
      <c r="R240" s="702"/>
      <c r="S240" s="702"/>
      <c r="T240" s="702"/>
      <c r="U240" s="702"/>
      <c r="V240" s="702"/>
      <c r="W240" s="702"/>
      <c r="X240" s="703"/>
    </row>
    <row r="241" spans="18:24" s="701" customFormat="1">
      <c r="R241" s="702"/>
      <c r="S241" s="702"/>
      <c r="T241" s="702"/>
      <c r="U241" s="702"/>
      <c r="V241" s="702"/>
      <c r="W241" s="702"/>
      <c r="X241" s="703"/>
    </row>
    <row r="242" spans="18:24" s="701" customFormat="1">
      <c r="R242" s="702"/>
      <c r="S242" s="702"/>
      <c r="T242" s="702"/>
      <c r="U242" s="702"/>
      <c r="V242" s="702"/>
      <c r="W242" s="702"/>
      <c r="X242" s="703"/>
    </row>
    <row r="243" spans="18:24" s="701" customFormat="1">
      <c r="R243" s="702"/>
      <c r="S243" s="702"/>
      <c r="T243" s="702"/>
      <c r="U243" s="702"/>
      <c r="V243" s="702"/>
      <c r="W243" s="702"/>
      <c r="X243" s="703"/>
    </row>
    <row r="244" spans="18:24" s="701" customFormat="1">
      <c r="R244" s="702"/>
      <c r="S244" s="702"/>
      <c r="T244" s="702"/>
      <c r="U244" s="702"/>
      <c r="V244" s="702"/>
      <c r="W244" s="702"/>
      <c r="X244" s="703"/>
    </row>
    <row r="245" spans="18:24" s="701" customFormat="1">
      <c r="R245" s="702"/>
      <c r="S245" s="702"/>
      <c r="T245" s="702"/>
      <c r="U245" s="702"/>
      <c r="V245" s="702"/>
      <c r="W245" s="702"/>
      <c r="X245" s="703"/>
    </row>
    <row r="246" spans="18:24" s="701" customFormat="1">
      <c r="R246" s="702"/>
      <c r="S246" s="702"/>
      <c r="T246" s="702"/>
      <c r="U246" s="702"/>
      <c r="V246" s="702"/>
      <c r="W246" s="702"/>
      <c r="X246" s="703"/>
    </row>
    <row r="247" spans="18:24" s="701" customFormat="1">
      <c r="R247" s="702"/>
      <c r="S247" s="702"/>
      <c r="T247" s="702"/>
      <c r="U247" s="702"/>
      <c r="V247" s="702"/>
      <c r="W247" s="702"/>
      <c r="X247" s="703"/>
    </row>
    <row r="248" spans="18:24" s="701" customFormat="1">
      <c r="R248" s="702"/>
      <c r="S248" s="702"/>
      <c r="T248" s="702"/>
      <c r="U248" s="702"/>
      <c r="V248" s="702"/>
      <c r="W248" s="702"/>
      <c r="X248" s="703"/>
    </row>
    <row r="249" spans="18:24" s="701" customFormat="1">
      <c r="R249" s="702"/>
      <c r="S249" s="702"/>
      <c r="T249" s="702"/>
      <c r="U249" s="702"/>
      <c r="V249" s="702"/>
      <c r="W249" s="702"/>
      <c r="X249" s="703"/>
    </row>
    <row r="250" spans="18:24" s="701" customFormat="1">
      <c r="R250" s="702"/>
      <c r="S250" s="702"/>
      <c r="T250" s="702"/>
      <c r="U250" s="702"/>
      <c r="V250" s="702"/>
      <c r="W250" s="702"/>
      <c r="X250" s="703"/>
    </row>
    <row r="251" spans="18:24" s="701" customFormat="1">
      <c r="R251" s="702"/>
      <c r="S251" s="702"/>
      <c r="T251" s="702"/>
      <c r="U251" s="702"/>
      <c r="V251" s="702"/>
      <c r="W251" s="702"/>
      <c r="X251" s="703"/>
    </row>
    <row r="252" spans="18:24" s="701" customFormat="1">
      <c r="R252" s="702"/>
      <c r="S252" s="702"/>
      <c r="T252" s="702"/>
      <c r="U252" s="702"/>
      <c r="V252" s="702"/>
      <c r="W252" s="702"/>
      <c r="X252" s="703"/>
    </row>
    <row r="253" spans="18:24" s="701" customFormat="1">
      <c r="R253" s="702"/>
      <c r="S253" s="702"/>
      <c r="T253" s="702"/>
      <c r="U253" s="702"/>
      <c r="V253" s="702"/>
      <c r="W253" s="702"/>
      <c r="X253" s="703"/>
    </row>
    <row r="254" spans="18:24" s="701" customFormat="1">
      <c r="R254" s="702"/>
      <c r="S254" s="702"/>
      <c r="T254" s="702"/>
      <c r="U254" s="702"/>
      <c r="V254" s="702"/>
      <c r="W254" s="702"/>
      <c r="X254" s="703"/>
    </row>
    <row r="255" spans="18:24" s="701" customFormat="1">
      <c r="R255" s="702"/>
      <c r="S255" s="702"/>
      <c r="T255" s="702"/>
      <c r="U255" s="702"/>
      <c r="V255" s="702"/>
      <c r="W255" s="702"/>
      <c r="X255" s="703"/>
    </row>
    <row r="256" spans="18:24" s="701" customFormat="1">
      <c r="R256" s="702"/>
      <c r="S256" s="702"/>
      <c r="T256" s="702"/>
      <c r="U256" s="702"/>
      <c r="V256" s="702"/>
      <c r="W256" s="702"/>
      <c r="X256" s="703"/>
    </row>
    <row r="257" spans="18:24" s="701" customFormat="1">
      <c r="R257" s="702"/>
      <c r="S257" s="702"/>
      <c r="T257" s="702"/>
      <c r="U257" s="702"/>
      <c r="V257" s="702"/>
      <c r="W257" s="702"/>
      <c r="X257" s="703"/>
    </row>
    <row r="258" spans="18:24" s="701" customFormat="1">
      <c r="R258" s="702"/>
      <c r="S258" s="702"/>
      <c r="T258" s="702"/>
      <c r="U258" s="702"/>
      <c r="V258" s="702"/>
      <c r="W258" s="702"/>
      <c r="X258" s="703"/>
    </row>
    <row r="259" spans="18:24" s="701" customFormat="1">
      <c r="R259" s="702"/>
      <c r="S259" s="702"/>
      <c r="T259" s="702"/>
      <c r="U259" s="702"/>
      <c r="V259" s="702"/>
      <c r="W259" s="702"/>
      <c r="X259" s="703"/>
    </row>
    <row r="260" spans="18:24" s="701" customFormat="1">
      <c r="R260" s="702"/>
      <c r="S260" s="702"/>
      <c r="T260" s="702"/>
      <c r="U260" s="702"/>
      <c r="V260" s="702"/>
      <c r="W260" s="702"/>
      <c r="X260" s="703"/>
    </row>
    <row r="261" spans="18:24" s="701" customFormat="1">
      <c r="R261" s="702"/>
      <c r="S261" s="702"/>
      <c r="T261" s="702"/>
      <c r="U261" s="702"/>
      <c r="V261" s="702"/>
      <c r="W261" s="702"/>
      <c r="X261" s="703"/>
    </row>
    <row r="262" spans="18:24" s="701" customFormat="1">
      <c r="R262" s="702"/>
      <c r="S262" s="702"/>
      <c r="T262" s="702"/>
      <c r="U262" s="702"/>
      <c r="V262" s="702"/>
      <c r="W262" s="702"/>
      <c r="X262" s="703"/>
    </row>
    <row r="263" spans="18:24" s="701" customFormat="1">
      <c r="R263" s="702"/>
      <c r="S263" s="702"/>
      <c r="T263" s="702"/>
      <c r="U263" s="702"/>
      <c r="V263" s="702"/>
      <c r="W263" s="702"/>
      <c r="X263" s="703"/>
    </row>
    <row r="264" spans="18:24" s="701" customFormat="1">
      <c r="R264" s="702"/>
      <c r="S264" s="702"/>
      <c r="T264" s="702"/>
      <c r="U264" s="702"/>
      <c r="V264" s="702"/>
      <c r="W264" s="702"/>
      <c r="X264" s="703"/>
    </row>
    <row r="265" spans="18:24" s="701" customFormat="1">
      <c r="R265" s="702"/>
      <c r="S265" s="702"/>
      <c r="T265" s="702"/>
      <c r="U265" s="702"/>
      <c r="V265" s="702"/>
      <c r="W265" s="702"/>
      <c r="X265" s="703"/>
    </row>
    <row r="266" spans="18:24" s="701" customFormat="1">
      <c r="R266" s="702"/>
      <c r="S266" s="702"/>
      <c r="T266" s="702"/>
      <c r="U266" s="702"/>
      <c r="V266" s="702"/>
      <c r="W266" s="702"/>
      <c r="X266" s="703"/>
    </row>
    <row r="267" spans="18:24" s="701" customFormat="1">
      <c r="R267" s="702"/>
      <c r="S267" s="702"/>
      <c r="T267" s="702"/>
      <c r="U267" s="702"/>
      <c r="V267" s="702"/>
      <c r="W267" s="702"/>
      <c r="X267" s="703"/>
    </row>
    <row r="268" spans="18:24" s="701" customFormat="1">
      <c r="R268" s="702"/>
      <c r="S268" s="702"/>
      <c r="T268" s="702"/>
      <c r="U268" s="702"/>
      <c r="V268" s="702"/>
      <c r="W268" s="702"/>
      <c r="X268" s="703"/>
    </row>
    <row r="269" spans="18:24" s="701" customFormat="1">
      <c r="R269" s="702"/>
      <c r="S269" s="702"/>
      <c r="T269" s="702"/>
      <c r="U269" s="702"/>
      <c r="V269" s="702"/>
      <c r="W269" s="702"/>
      <c r="X269" s="703"/>
    </row>
    <row r="270" spans="18:24" s="701" customFormat="1">
      <c r="R270" s="702"/>
      <c r="S270" s="702"/>
      <c r="T270" s="702"/>
      <c r="U270" s="702"/>
      <c r="V270" s="702"/>
      <c r="W270" s="702"/>
      <c r="X270" s="703"/>
    </row>
    <row r="271" spans="18:24" s="701" customFormat="1">
      <c r="R271" s="702"/>
      <c r="S271" s="702"/>
      <c r="T271" s="702"/>
      <c r="U271" s="702"/>
      <c r="V271" s="702"/>
      <c r="W271" s="702"/>
      <c r="X271" s="703"/>
    </row>
    <row r="272" spans="18:24" s="701" customFormat="1">
      <c r="R272" s="702"/>
      <c r="S272" s="702"/>
      <c r="T272" s="702"/>
      <c r="U272" s="702"/>
      <c r="V272" s="702"/>
      <c r="W272" s="702"/>
      <c r="X272" s="703"/>
    </row>
    <row r="273" spans="18:24" s="701" customFormat="1">
      <c r="R273" s="702"/>
      <c r="S273" s="702"/>
      <c r="T273" s="702"/>
      <c r="U273" s="702"/>
      <c r="V273" s="702"/>
      <c r="W273" s="702"/>
      <c r="X273" s="703"/>
    </row>
    <row r="274" spans="18:24" s="701" customFormat="1">
      <c r="R274" s="702"/>
      <c r="S274" s="702"/>
      <c r="T274" s="702"/>
      <c r="U274" s="702"/>
      <c r="V274" s="702"/>
      <c r="W274" s="702"/>
      <c r="X274" s="703"/>
    </row>
    <row r="275" spans="18:24" s="701" customFormat="1">
      <c r="R275" s="702"/>
      <c r="S275" s="702"/>
      <c r="T275" s="702"/>
      <c r="U275" s="702"/>
      <c r="V275" s="702"/>
      <c r="W275" s="702"/>
      <c r="X275" s="703"/>
    </row>
    <row r="276" spans="18:24" s="701" customFormat="1">
      <c r="R276" s="702"/>
      <c r="S276" s="702"/>
      <c r="T276" s="702"/>
      <c r="U276" s="702"/>
      <c r="V276" s="702"/>
      <c r="W276" s="702"/>
      <c r="X276" s="703"/>
    </row>
    <row r="277" spans="18:24" s="701" customFormat="1">
      <c r="R277" s="702"/>
      <c r="S277" s="702"/>
      <c r="T277" s="702"/>
      <c r="U277" s="702"/>
      <c r="V277" s="702"/>
      <c r="W277" s="702"/>
      <c r="X277" s="703"/>
    </row>
    <row r="278" spans="18:24" s="701" customFormat="1">
      <c r="R278" s="702"/>
      <c r="S278" s="702"/>
      <c r="T278" s="702"/>
      <c r="U278" s="702"/>
      <c r="V278" s="702"/>
      <c r="W278" s="702"/>
      <c r="X278" s="703"/>
    </row>
    <row r="279" spans="18:24" s="701" customFormat="1">
      <c r="R279" s="702"/>
      <c r="S279" s="702"/>
      <c r="T279" s="702"/>
      <c r="U279" s="702"/>
      <c r="V279" s="702"/>
      <c r="W279" s="702"/>
      <c r="X279" s="703"/>
    </row>
    <row r="280" spans="18:24" s="701" customFormat="1">
      <c r="R280" s="702"/>
      <c r="S280" s="702"/>
      <c r="T280" s="702"/>
      <c r="U280" s="702"/>
      <c r="V280" s="702"/>
      <c r="W280" s="702"/>
      <c r="X280" s="703"/>
    </row>
    <row r="281" spans="18:24" s="701" customFormat="1">
      <c r="R281" s="702"/>
      <c r="S281" s="702"/>
      <c r="T281" s="702"/>
      <c r="U281" s="702"/>
      <c r="V281" s="702"/>
      <c r="W281" s="702"/>
      <c r="X281" s="703"/>
    </row>
    <row r="282" spans="18:24" s="701" customFormat="1">
      <c r="R282" s="702"/>
      <c r="S282" s="702"/>
      <c r="T282" s="702"/>
      <c r="U282" s="702"/>
      <c r="V282" s="702"/>
      <c r="W282" s="702"/>
      <c r="X282" s="703"/>
    </row>
    <row r="283" spans="18:24" s="701" customFormat="1">
      <c r="R283" s="702"/>
      <c r="S283" s="702"/>
      <c r="T283" s="702"/>
      <c r="U283" s="702"/>
      <c r="V283" s="702"/>
      <c r="W283" s="702"/>
      <c r="X283" s="703"/>
    </row>
    <row r="284" spans="18:24" s="701" customFormat="1">
      <c r="R284" s="702"/>
      <c r="S284" s="702"/>
      <c r="T284" s="702"/>
      <c r="U284" s="702"/>
      <c r="V284" s="702"/>
      <c r="W284" s="702"/>
      <c r="X284" s="703"/>
    </row>
    <row r="285" spans="18:24" s="701" customFormat="1">
      <c r="R285" s="702"/>
      <c r="S285" s="702"/>
      <c r="T285" s="702"/>
      <c r="U285" s="702"/>
      <c r="V285" s="702"/>
      <c r="W285" s="702"/>
      <c r="X285" s="703"/>
    </row>
    <row r="286" spans="18:24" s="701" customFormat="1">
      <c r="R286" s="702"/>
      <c r="S286" s="702"/>
      <c r="T286" s="702"/>
      <c r="U286" s="702"/>
      <c r="V286" s="702"/>
      <c r="W286" s="702"/>
      <c r="X286" s="703"/>
    </row>
    <row r="287" spans="18:24" s="701" customFormat="1">
      <c r="R287" s="702"/>
      <c r="S287" s="702"/>
      <c r="T287" s="702"/>
      <c r="U287" s="702"/>
      <c r="V287" s="702"/>
      <c r="W287" s="702"/>
      <c r="X287" s="703"/>
    </row>
    <row r="288" spans="18:24" s="701" customFormat="1">
      <c r="R288" s="702"/>
      <c r="S288" s="702"/>
      <c r="T288" s="702"/>
      <c r="U288" s="702"/>
      <c r="V288" s="702"/>
      <c r="W288" s="702"/>
      <c r="X288" s="703"/>
    </row>
    <row r="289" spans="18:24" s="701" customFormat="1">
      <c r="R289" s="702"/>
      <c r="S289" s="702"/>
      <c r="T289" s="702"/>
      <c r="U289" s="702"/>
      <c r="V289" s="702"/>
      <c r="W289" s="702"/>
      <c r="X289" s="703"/>
    </row>
    <row r="290" spans="18:24" s="701" customFormat="1">
      <c r="R290" s="702"/>
      <c r="S290" s="702"/>
      <c r="T290" s="702"/>
      <c r="U290" s="702"/>
      <c r="V290" s="702"/>
      <c r="W290" s="702"/>
      <c r="X290" s="703"/>
    </row>
    <row r="291" spans="18:24" s="701" customFormat="1">
      <c r="R291" s="702"/>
      <c r="S291" s="702"/>
      <c r="T291" s="702"/>
      <c r="U291" s="702"/>
      <c r="V291" s="702"/>
      <c r="W291" s="702"/>
      <c r="X291" s="703"/>
    </row>
    <row r="292" spans="18:24" s="701" customFormat="1">
      <c r="R292" s="702"/>
      <c r="S292" s="702"/>
      <c r="T292" s="702"/>
      <c r="U292" s="702"/>
      <c r="V292" s="702"/>
      <c r="W292" s="702"/>
      <c r="X292" s="703"/>
    </row>
    <row r="293" spans="18:24" s="701" customFormat="1">
      <c r="R293" s="702"/>
      <c r="S293" s="702"/>
      <c r="T293" s="702"/>
      <c r="U293" s="702"/>
      <c r="V293" s="702"/>
      <c r="W293" s="702"/>
      <c r="X293" s="703"/>
    </row>
    <row r="294" spans="18:24" s="701" customFormat="1">
      <c r="R294" s="702"/>
      <c r="S294" s="702"/>
      <c r="T294" s="702"/>
      <c r="U294" s="702"/>
      <c r="V294" s="702"/>
      <c r="W294" s="702"/>
      <c r="X294" s="703"/>
    </row>
    <row r="295" spans="18:24" s="701" customFormat="1">
      <c r="R295" s="702"/>
      <c r="S295" s="702"/>
      <c r="T295" s="702"/>
      <c r="U295" s="702"/>
      <c r="V295" s="702"/>
      <c r="W295" s="702"/>
      <c r="X295" s="703"/>
    </row>
    <row r="296" spans="18:24" s="701" customFormat="1">
      <c r="R296" s="702"/>
      <c r="S296" s="702"/>
      <c r="T296" s="702"/>
      <c r="U296" s="702"/>
      <c r="V296" s="702"/>
      <c r="W296" s="702"/>
      <c r="X296" s="703"/>
    </row>
    <row r="297" spans="18:24" s="701" customFormat="1">
      <c r="R297" s="702"/>
      <c r="S297" s="702"/>
      <c r="T297" s="702"/>
      <c r="U297" s="702"/>
      <c r="V297" s="702"/>
      <c r="W297" s="702"/>
      <c r="X297" s="703"/>
    </row>
    <row r="298" spans="18:24" s="701" customFormat="1">
      <c r="R298" s="702"/>
      <c r="S298" s="702"/>
      <c r="T298" s="702"/>
      <c r="U298" s="702"/>
      <c r="V298" s="702"/>
      <c r="W298" s="702"/>
      <c r="X298" s="703"/>
    </row>
    <row r="299" spans="18:24" s="701" customFormat="1">
      <c r="R299" s="702"/>
      <c r="S299" s="702"/>
      <c r="T299" s="702"/>
      <c r="U299" s="702"/>
      <c r="V299" s="702"/>
      <c r="W299" s="702"/>
      <c r="X299" s="703"/>
    </row>
    <row r="300" spans="18:24" s="701" customFormat="1">
      <c r="R300" s="702"/>
      <c r="S300" s="702"/>
      <c r="T300" s="702"/>
      <c r="U300" s="702"/>
      <c r="V300" s="702"/>
      <c r="W300" s="702"/>
      <c r="X300" s="703"/>
    </row>
    <row r="301" spans="18:24" s="701" customFormat="1">
      <c r="R301" s="702"/>
      <c r="S301" s="702"/>
      <c r="T301" s="702"/>
      <c r="U301" s="702"/>
      <c r="V301" s="702"/>
      <c r="W301" s="702"/>
      <c r="X301" s="703"/>
    </row>
    <row r="302" spans="18:24" s="701" customFormat="1">
      <c r="R302" s="702"/>
      <c r="S302" s="702"/>
      <c r="T302" s="702"/>
      <c r="U302" s="702"/>
      <c r="V302" s="702"/>
      <c r="W302" s="702"/>
      <c r="X302" s="703"/>
    </row>
    <row r="303" spans="18:24" s="701" customFormat="1">
      <c r="R303" s="702"/>
      <c r="S303" s="702"/>
      <c r="T303" s="702"/>
      <c r="U303" s="702"/>
      <c r="V303" s="702"/>
      <c r="W303" s="702"/>
      <c r="X303" s="703"/>
    </row>
    <row r="304" spans="18:24" s="701" customFormat="1">
      <c r="R304" s="702"/>
      <c r="S304" s="702"/>
      <c r="T304" s="702"/>
      <c r="U304" s="702"/>
      <c r="V304" s="702"/>
      <c r="W304" s="702"/>
      <c r="X304" s="703"/>
    </row>
    <row r="305" spans="18:24" s="701" customFormat="1">
      <c r="R305" s="702"/>
      <c r="S305" s="702"/>
      <c r="T305" s="702"/>
      <c r="U305" s="702"/>
      <c r="V305" s="702"/>
      <c r="W305" s="702"/>
      <c r="X305" s="703"/>
    </row>
    <row r="306" spans="18:24" s="701" customFormat="1">
      <c r="R306" s="702"/>
      <c r="S306" s="702"/>
      <c r="T306" s="702"/>
      <c r="U306" s="702"/>
      <c r="V306" s="702"/>
      <c r="W306" s="702"/>
      <c r="X306" s="703"/>
    </row>
    <row r="307" spans="18:24" s="701" customFormat="1">
      <c r="R307" s="702"/>
      <c r="S307" s="702"/>
      <c r="T307" s="702"/>
      <c r="U307" s="702"/>
      <c r="V307" s="702"/>
      <c r="W307" s="702"/>
      <c r="X307" s="703"/>
    </row>
    <row r="308" spans="18:24" s="701" customFormat="1">
      <c r="R308" s="702"/>
      <c r="S308" s="702"/>
      <c r="T308" s="702"/>
      <c r="U308" s="702"/>
      <c r="V308" s="702"/>
      <c r="W308" s="702"/>
      <c r="X308" s="703"/>
    </row>
    <row r="309" spans="18:24" s="701" customFormat="1">
      <c r="R309" s="702"/>
      <c r="S309" s="702"/>
      <c r="T309" s="702"/>
      <c r="U309" s="702"/>
      <c r="V309" s="702"/>
      <c r="W309" s="702"/>
      <c r="X309" s="703"/>
    </row>
    <row r="310" spans="18:24" s="701" customFormat="1">
      <c r="R310" s="702"/>
      <c r="S310" s="702"/>
      <c r="T310" s="702"/>
      <c r="U310" s="702"/>
      <c r="V310" s="702"/>
      <c r="W310" s="702"/>
      <c r="X310" s="703"/>
    </row>
    <row r="311" spans="18:24" s="701" customFormat="1">
      <c r="R311" s="702"/>
      <c r="S311" s="702"/>
      <c r="T311" s="702"/>
      <c r="U311" s="702"/>
      <c r="V311" s="702"/>
      <c r="W311" s="702"/>
      <c r="X311" s="703"/>
    </row>
    <row r="312" spans="18:24" s="701" customFormat="1">
      <c r="R312" s="702"/>
      <c r="S312" s="702"/>
      <c r="T312" s="702"/>
      <c r="U312" s="702"/>
      <c r="V312" s="702"/>
      <c r="W312" s="702"/>
      <c r="X312" s="703"/>
    </row>
    <row r="313" spans="18:24" s="701" customFormat="1">
      <c r="R313" s="702"/>
      <c r="S313" s="702"/>
      <c r="T313" s="702"/>
      <c r="U313" s="702"/>
      <c r="V313" s="702"/>
      <c r="W313" s="702"/>
      <c r="X313" s="703"/>
    </row>
    <row r="314" spans="18:24" s="701" customFormat="1">
      <c r="R314" s="702"/>
      <c r="S314" s="702"/>
      <c r="T314" s="702"/>
      <c r="U314" s="702"/>
      <c r="V314" s="702"/>
      <c r="W314" s="702"/>
      <c r="X314" s="703"/>
    </row>
    <row r="315" spans="18:24" s="701" customFormat="1">
      <c r="R315" s="702"/>
      <c r="S315" s="702"/>
      <c r="T315" s="702"/>
      <c r="U315" s="702"/>
      <c r="V315" s="702"/>
      <c r="W315" s="702"/>
      <c r="X315" s="703"/>
    </row>
    <row r="316" spans="18:24" s="701" customFormat="1">
      <c r="R316" s="702"/>
      <c r="S316" s="702"/>
      <c r="T316" s="702"/>
      <c r="U316" s="702"/>
      <c r="V316" s="702"/>
      <c r="W316" s="702"/>
      <c r="X316" s="703"/>
    </row>
    <row r="317" spans="18:24" s="701" customFormat="1">
      <c r="R317" s="702"/>
      <c r="S317" s="702"/>
      <c r="T317" s="702"/>
      <c r="U317" s="702"/>
      <c r="V317" s="702"/>
      <c r="W317" s="702"/>
      <c r="X317" s="703"/>
    </row>
    <row r="318" spans="18:24" s="701" customFormat="1">
      <c r="R318" s="702"/>
      <c r="S318" s="702"/>
      <c r="T318" s="702"/>
      <c r="U318" s="702"/>
      <c r="V318" s="702"/>
      <c r="W318" s="702"/>
      <c r="X318" s="703"/>
    </row>
    <row r="319" spans="18:24" s="701" customFormat="1">
      <c r="R319" s="702"/>
      <c r="S319" s="702"/>
      <c r="T319" s="702"/>
      <c r="U319" s="702"/>
      <c r="V319" s="702"/>
      <c r="W319" s="702"/>
      <c r="X319" s="703"/>
    </row>
    <row r="320" spans="18:24" s="701" customFormat="1">
      <c r="R320" s="702"/>
      <c r="S320" s="702"/>
      <c r="T320" s="702"/>
      <c r="U320" s="702"/>
      <c r="V320" s="702"/>
      <c r="W320" s="702"/>
      <c r="X320" s="703"/>
    </row>
    <row r="321" spans="18:24" s="701" customFormat="1">
      <c r="R321" s="702"/>
      <c r="S321" s="702"/>
      <c r="T321" s="702"/>
      <c r="U321" s="702"/>
      <c r="V321" s="702"/>
      <c r="W321" s="702"/>
      <c r="X321" s="703"/>
    </row>
    <row r="322" spans="18:24" s="701" customFormat="1">
      <c r="R322" s="702"/>
      <c r="S322" s="702"/>
      <c r="T322" s="702"/>
      <c r="U322" s="702"/>
      <c r="V322" s="702"/>
      <c r="W322" s="702"/>
      <c r="X322" s="703"/>
    </row>
    <row r="323" spans="18:24" s="701" customFormat="1">
      <c r="R323" s="702"/>
      <c r="S323" s="702"/>
      <c r="T323" s="702"/>
      <c r="U323" s="702"/>
      <c r="V323" s="702"/>
      <c r="W323" s="702"/>
      <c r="X323" s="703"/>
    </row>
    <row r="324" spans="18:24" s="701" customFormat="1">
      <c r="R324" s="702"/>
      <c r="S324" s="702"/>
      <c r="T324" s="702"/>
      <c r="U324" s="702"/>
      <c r="V324" s="702"/>
      <c r="W324" s="702"/>
      <c r="X324" s="703"/>
    </row>
    <row r="325" spans="18:24" s="701" customFormat="1">
      <c r="R325" s="702"/>
      <c r="S325" s="702"/>
      <c r="T325" s="702"/>
      <c r="U325" s="702"/>
      <c r="V325" s="702"/>
      <c r="W325" s="702"/>
      <c r="X325" s="703"/>
    </row>
    <row r="326" spans="18:24" s="701" customFormat="1">
      <c r="R326" s="702"/>
      <c r="S326" s="702"/>
      <c r="T326" s="702"/>
      <c r="U326" s="702"/>
      <c r="V326" s="702"/>
      <c r="W326" s="702"/>
      <c r="X326" s="703"/>
    </row>
    <row r="327" spans="18:24" s="701" customFormat="1">
      <c r="R327" s="702"/>
      <c r="S327" s="702"/>
      <c r="T327" s="702"/>
      <c r="U327" s="702"/>
      <c r="V327" s="702"/>
      <c r="W327" s="702"/>
      <c r="X327" s="703"/>
    </row>
    <row r="328" spans="18:24" s="701" customFormat="1">
      <c r="R328" s="702"/>
      <c r="S328" s="702"/>
      <c r="T328" s="702"/>
      <c r="U328" s="702"/>
      <c r="V328" s="702"/>
      <c r="W328" s="702"/>
      <c r="X328" s="703"/>
    </row>
    <row r="329" spans="18:24" s="701" customFormat="1">
      <c r="R329" s="702"/>
      <c r="S329" s="702"/>
      <c r="T329" s="702"/>
      <c r="U329" s="702"/>
      <c r="V329" s="702"/>
      <c r="W329" s="702"/>
      <c r="X329" s="703"/>
    </row>
    <row r="330" spans="18:24" s="701" customFormat="1">
      <c r="R330" s="702"/>
      <c r="S330" s="702"/>
      <c r="T330" s="702"/>
      <c r="U330" s="702"/>
      <c r="V330" s="702"/>
      <c r="W330" s="702"/>
      <c r="X330" s="703"/>
    </row>
    <row r="331" spans="18:24" s="701" customFormat="1">
      <c r="R331" s="702"/>
      <c r="S331" s="702"/>
      <c r="T331" s="702"/>
      <c r="U331" s="702"/>
      <c r="V331" s="702"/>
      <c r="W331" s="702"/>
      <c r="X331" s="703"/>
    </row>
    <row r="332" spans="18:24" s="701" customFormat="1">
      <c r="R332" s="702"/>
      <c r="S332" s="702"/>
      <c r="T332" s="702"/>
      <c r="U332" s="702"/>
      <c r="V332" s="702"/>
      <c r="W332" s="702"/>
      <c r="X332" s="703"/>
    </row>
    <row r="333" spans="18:24" s="701" customFormat="1">
      <c r="R333" s="702"/>
      <c r="S333" s="702"/>
      <c r="T333" s="702"/>
      <c r="U333" s="702"/>
      <c r="V333" s="702"/>
      <c r="W333" s="702"/>
      <c r="X333" s="703"/>
    </row>
    <row r="334" spans="18:24" s="701" customFormat="1">
      <c r="R334" s="702"/>
      <c r="S334" s="702"/>
      <c r="T334" s="702"/>
      <c r="U334" s="702"/>
      <c r="V334" s="702"/>
      <c r="W334" s="702"/>
      <c r="X334" s="703"/>
    </row>
    <row r="335" spans="18:24" s="701" customFormat="1">
      <c r="R335" s="702"/>
      <c r="S335" s="702"/>
      <c r="T335" s="702"/>
      <c r="U335" s="702"/>
      <c r="V335" s="702"/>
      <c r="W335" s="702"/>
      <c r="X335" s="703"/>
    </row>
    <row r="336" spans="18:24" s="701" customFormat="1">
      <c r="R336" s="702"/>
      <c r="S336" s="702"/>
      <c r="T336" s="702"/>
      <c r="U336" s="702"/>
      <c r="V336" s="702"/>
      <c r="W336" s="702"/>
      <c r="X336" s="703"/>
    </row>
    <row r="337" spans="18:24" s="701" customFormat="1">
      <c r="R337" s="702"/>
      <c r="S337" s="702"/>
      <c r="T337" s="702"/>
      <c r="U337" s="702"/>
      <c r="V337" s="702"/>
      <c r="W337" s="702"/>
      <c r="X337" s="703"/>
    </row>
    <row r="338" spans="18:24" s="701" customFormat="1">
      <c r="R338" s="702"/>
      <c r="S338" s="702"/>
      <c r="T338" s="702"/>
      <c r="U338" s="702"/>
      <c r="V338" s="702"/>
      <c r="W338" s="702"/>
      <c r="X338" s="703"/>
    </row>
    <row r="339" spans="18:24" s="701" customFormat="1">
      <c r="R339" s="702"/>
      <c r="S339" s="702"/>
      <c r="T339" s="702"/>
      <c r="U339" s="702"/>
      <c r="V339" s="702"/>
      <c r="W339" s="702"/>
      <c r="X339" s="703"/>
    </row>
    <row r="340" spans="18:24" s="701" customFormat="1">
      <c r="R340" s="702"/>
      <c r="S340" s="702"/>
      <c r="T340" s="702"/>
      <c r="U340" s="702"/>
      <c r="V340" s="702"/>
      <c r="W340" s="702"/>
      <c r="X340" s="703"/>
    </row>
    <row r="341" spans="18:24" s="701" customFormat="1">
      <c r="R341" s="702"/>
      <c r="S341" s="702"/>
      <c r="T341" s="702"/>
      <c r="U341" s="702"/>
      <c r="V341" s="702"/>
      <c r="W341" s="702"/>
      <c r="X341" s="703"/>
    </row>
    <row r="342" spans="18:24" s="701" customFormat="1">
      <c r="R342" s="702"/>
      <c r="S342" s="702"/>
      <c r="T342" s="702"/>
      <c r="U342" s="702"/>
      <c r="V342" s="702"/>
      <c r="W342" s="702"/>
      <c r="X342" s="703"/>
    </row>
    <row r="343" spans="18:24" s="701" customFormat="1">
      <c r="R343" s="702"/>
      <c r="S343" s="702"/>
      <c r="T343" s="702"/>
      <c r="U343" s="702"/>
      <c r="V343" s="702"/>
      <c r="W343" s="702"/>
      <c r="X343" s="703"/>
    </row>
    <row r="344" spans="18:24" s="701" customFormat="1">
      <c r="R344" s="702"/>
      <c r="S344" s="702"/>
      <c r="T344" s="702"/>
      <c r="U344" s="702"/>
      <c r="V344" s="702"/>
      <c r="W344" s="702"/>
      <c r="X344" s="703"/>
    </row>
    <row r="345" spans="18:24" s="701" customFormat="1">
      <c r="R345" s="702"/>
      <c r="S345" s="702"/>
      <c r="T345" s="702"/>
      <c r="U345" s="702"/>
      <c r="V345" s="702"/>
      <c r="W345" s="702"/>
      <c r="X345" s="703"/>
    </row>
    <row r="346" spans="18:24" s="701" customFormat="1">
      <c r="R346" s="702"/>
      <c r="S346" s="702"/>
      <c r="T346" s="702"/>
      <c r="U346" s="702"/>
      <c r="V346" s="702"/>
      <c r="W346" s="702"/>
      <c r="X346" s="703"/>
    </row>
    <row r="347" spans="18:24" s="701" customFormat="1">
      <c r="R347" s="702"/>
      <c r="S347" s="702"/>
      <c r="T347" s="702"/>
      <c r="U347" s="702"/>
      <c r="V347" s="702"/>
      <c r="W347" s="702"/>
      <c r="X347" s="703"/>
    </row>
    <row r="348" spans="18:24" s="701" customFormat="1">
      <c r="R348" s="702"/>
      <c r="S348" s="702"/>
      <c r="T348" s="702"/>
      <c r="U348" s="702"/>
      <c r="V348" s="702"/>
      <c r="W348" s="702"/>
      <c r="X348" s="703"/>
    </row>
    <row r="349" spans="18:24" s="701" customFormat="1">
      <c r="R349" s="702"/>
      <c r="S349" s="702"/>
      <c r="T349" s="702"/>
      <c r="U349" s="702"/>
      <c r="V349" s="702"/>
      <c r="W349" s="702"/>
      <c r="X349" s="703"/>
    </row>
    <row r="350" spans="18:24" s="701" customFormat="1">
      <c r="R350" s="702"/>
      <c r="S350" s="702"/>
      <c r="T350" s="702"/>
      <c r="U350" s="702"/>
      <c r="V350" s="702"/>
      <c r="W350" s="702"/>
      <c r="X350" s="703"/>
    </row>
    <row r="351" spans="18:24" s="701" customFormat="1">
      <c r="R351" s="702"/>
      <c r="S351" s="702"/>
      <c r="T351" s="702"/>
      <c r="U351" s="702"/>
      <c r="V351" s="702"/>
      <c r="W351" s="702"/>
      <c r="X351" s="703"/>
    </row>
    <row r="352" spans="18:24" s="701" customFormat="1">
      <c r="R352" s="702"/>
      <c r="S352" s="702"/>
      <c r="T352" s="702"/>
      <c r="U352" s="702"/>
      <c r="V352" s="702"/>
      <c r="W352" s="702"/>
      <c r="X352" s="703"/>
    </row>
    <row r="353" spans="18:24" s="701" customFormat="1">
      <c r="R353" s="702"/>
      <c r="S353" s="702"/>
      <c r="T353" s="702"/>
      <c r="U353" s="702"/>
      <c r="V353" s="702"/>
      <c r="W353" s="702"/>
      <c r="X353" s="703"/>
    </row>
    <row r="354" spans="18:24" s="701" customFormat="1">
      <c r="R354" s="702"/>
      <c r="S354" s="702"/>
      <c r="T354" s="702"/>
      <c r="U354" s="702"/>
      <c r="V354" s="702"/>
      <c r="W354" s="702"/>
      <c r="X354" s="703"/>
    </row>
    <row r="355" spans="18:24" s="701" customFormat="1">
      <c r="R355" s="702"/>
      <c r="S355" s="702"/>
      <c r="T355" s="702"/>
      <c r="U355" s="702"/>
      <c r="V355" s="702"/>
      <c r="W355" s="702"/>
      <c r="X355" s="703"/>
    </row>
    <row r="356" spans="18:24" s="701" customFormat="1">
      <c r="R356" s="702"/>
      <c r="S356" s="702"/>
      <c r="T356" s="702"/>
      <c r="U356" s="702"/>
      <c r="V356" s="702"/>
      <c r="W356" s="702"/>
      <c r="X356" s="703"/>
    </row>
    <row r="357" spans="18:24" s="701" customFormat="1">
      <c r="R357" s="702"/>
      <c r="S357" s="702"/>
      <c r="T357" s="702"/>
      <c r="U357" s="702"/>
      <c r="V357" s="702"/>
      <c r="W357" s="702"/>
      <c r="X357" s="703"/>
    </row>
    <row r="358" spans="18:24" s="701" customFormat="1">
      <c r="R358" s="702"/>
      <c r="S358" s="702"/>
      <c r="T358" s="702"/>
      <c r="U358" s="702"/>
      <c r="V358" s="702"/>
      <c r="W358" s="702"/>
      <c r="X358" s="703"/>
    </row>
    <row r="359" spans="18:24" s="701" customFormat="1">
      <c r="R359" s="702"/>
      <c r="S359" s="702"/>
      <c r="T359" s="702"/>
      <c r="U359" s="702"/>
      <c r="V359" s="702"/>
      <c r="W359" s="702"/>
      <c r="X359" s="703"/>
    </row>
    <row r="360" spans="18:24" s="701" customFormat="1">
      <c r="R360" s="702"/>
      <c r="S360" s="702"/>
      <c r="T360" s="702"/>
      <c r="U360" s="702"/>
      <c r="V360" s="702"/>
      <c r="W360" s="702"/>
      <c r="X360" s="703"/>
    </row>
    <row r="361" spans="18:24" s="701" customFormat="1">
      <c r="R361" s="702"/>
      <c r="S361" s="702"/>
      <c r="T361" s="702"/>
      <c r="U361" s="702"/>
      <c r="V361" s="702"/>
      <c r="W361" s="702"/>
      <c r="X361" s="703"/>
    </row>
    <row r="362" spans="18:24" s="701" customFormat="1">
      <c r="R362" s="702"/>
      <c r="S362" s="702"/>
      <c r="T362" s="702"/>
      <c r="U362" s="702"/>
      <c r="V362" s="702"/>
      <c r="W362" s="702"/>
      <c r="X362" s="703"/>
    </row>
    <row r="363" spans="18:24" s="701" customFormat="1">
      <c r="R363" s="702"/>
      <c r="S363" s="702"/>
      <c r="T363" s="702"/>
      <c r="U363" s="702"/>
      <c r="V363" s="702"/>
      <c r="W363" s="702"/>
      <c r="X363" s="703"/>
    </row>
    <row r="364" spans="18:24" s="701" customFormat="1">
      <c r="R364" s="702"/>
      <c r="S364" s="702"/>
      <c r="T364" s="702"/>
      <c r="U364" s="702"/>
      <c r="V364" s="702"/>
      <c r="W364" s="702"/>
      <c r="X364" s="703"/>
    </row>
    <row r="365" spans="18:24" s="701" customFormat="1">
      <c r="R365" s="702"/>
      <c r="S365" s="702"/>
      <c r="T365" s="702"/>
      <c r="U365" s="702"/>
      <c r="V365" s="702"/>
      <c r="W365" s="702"/>
      <c r="X365" s="703"/>
    </row>
    <row r="366" spans="18:24" s="701" customFormat="1">
      <c r="R366" s="702"/>
      <c r="S366" s="702"/>
      <c r="T366" s="702"/>
      <c r="U366" s="702"/>
      <c r="V366" s="702"/>
      <c r="W366" s="702"/>
      <c r="X366" s="703"/>
    </row>
    <row r="367" spans="18:24" s="701" customFormat="1">
      <c r="R367" s="702"/>
      <c r="S367" s="702"/>
      <c r="T367" s="702"/>
      <c r="U367" s="702"/>
      <c r="V367" s="702"/>
      <c r="W367" s="702"/>
      <c r="X367" s="703"/>
    </row>
    <row r="368" spans="18:24" s="701" customFormat="1">
      <c r="R368" s="702"/>
      <c r="S368" s="702"/>
      <c r="T368" s="702"/>
      <c r="U368" s="702"/>
      <c r="V368" s="702"/>
      <c r="W368" s="702"/>
      <c r="X368" s="703"/>
    </row>
    <row r="369" spans="18:24" s="701" customFormat="1">
      <c r="R369" s="702"/>
      <c r="S369" s="702"/>
      <c r="T369" s="702"/>
      <c r="U369" s="702"/>
      <c r="V369" s="702"/>
      <c r="W369" s="702"/>
      <c r="X369" s="703"/>
    </row>
    <row r="370" spans="18:24" s="701" customFormat="1">
      <c r="R370" s="702"/>
      <c r="S370" s="702"/>
      <c r="T370" s="702"/>
      <c r="U370" s="702"/>
      <c r="V370" s="702"/>
      <c r="W370" s="702"/>
      <c r="X370" s="703"/>
    </row>
    <row r="371" spans="18:24" s="701" customFormat="1">
      <c r="R371" s="702"/>
      <c r="S371" s="702"/>
      <c r="T371" s="702"/>
      <c r="U371" s="702"/>
      <c r="V371" s="702"/>
      <c r="W371" s="702"/>
      <c r="X371" s="703"/>
    </row>
    <row r="372" spans="18:24" s="701" customFormat="1">
      <c r="R372" s="702"/>
      <c r="S372" s="702"/>
      <c r="T372" s="702"/>
      <c r="U372" s="702"/>
      <c r="V372" s="702"/>
      <c r="W372" s="702"/>
      <c r="X372" s="703"/>
    </row>
    <row r="373" spans="18:24" s="701" customFormat="1">
      <c r="R373" s="702"/>
      <c r="S373" s="702"/>
      <c r="T373" s="702"/>
      <c r="U373" s="702"/>
      <c r="V373" s="702"/>
      <c r="W373" s="702"/>
      <c r="X373" s="703"/>
    </row>
    <row r="374" spans="18:24" s="701" customFormat="1">
      <c r="R374" s="702"/>
      <c r="S374" s="702"/>
      <c r="T374" s="702"/>
      <c r="U374" s="702"/>
      <c r="V374" s="702"/>
      <c r="W374" s="702"/>
      <c r="X374" s="703"/>
    </row>
    <row r="375" spans="18:24" s="701" customFormat="1">
      <c r="R375" s="702"/>
      <c r="S375" s="702"/>
      <c r="T375" s="702"/>
      <c r="U375" s="702"/>
      <c r="V375" s="702"/>
      <c r="W375" s="702"/>
      <c r="X375" s="703"/>
    </row>
    <row r="376" spans="18:24" s="701" customFormat="1">
      <c r="R376" s="702"/>
      <c r="S376" s="702"/>
      <c r="T376" s="702"/>
      <c r="U376" s="702"/>
      <c r="V376" s="702"/>
      <c r="W376" s="702"/>
      <c r="X376" s="703"/>
    </row>
    <row r="377" spans="18:24" s="701" customFormat="1">
      <c r="R377" s="702"/>
      <c r="S377" s="702"/>
      <c r="T377" s="702"/>
      <c r="U377" s="702"/>
      <c r="V377" s="702"/>
      <c r="W377" s="702"/>
      <c r="X377" s="703"/>
    </row>
    <row r="378" spans="18:24" s="701" customFormat="1">
      <c r="R378" s="702"/>
      <c r="S378" s="702"/>
      <c r="T378" s="702"/>
      <c r="U378" s="702"/>
      <c r="V378" s="702"/>
      <c r="W378" s="702"/>
      <c r="X378" s="703"/>
    </row>
    <row r="379" spans="18:24" s="701" customFormat="1">
      <c r="R379" s="702"/>
      <c r="S379" s="702"/>
      <c r="T379" s="702"/>
      <c r="U379" s="702"/>
      <c r="V379" s="702"/>
      <c r="W379" s="702"/>
      <c r="X379" s="703"/>
    </row>
    <row r="380" spans="18:24" s="701" customFormat="1">
      <c r="R380" s="702"/>
      <c r="S380" s="702"/>
      <c r="T380" s="702"/>
      <c r="U380" s="702"/>
      <c r="V380" s="702"/>
      <c r="W380" s="702"/>
      <c r="X380" s="703"/>
    </row>
    <row r="381" spans="18:24" s="701" customFormat="1">
      <c r="R381" s="702"/>
      <c r="S381" s="702"/>
      <c r="T381" s="702"/>
      <c r="U381" s="702"/>
      <c r="V381" s="702"/>
      <c r="W381" s="702"/>
      <c r="X381" s="703"/>
    </row>
    <row r="382" spans="18:24" s="701" customFormat="1">
      <c r="R382" s="702"/>
      <c r="S382" s="702"/>
      <c r="T382" s="702"/>
      <c r="U382" s="702"/>
      <c r="V382" s="702"/>
      <c r="W382" s="702"/>
      <c r="X382" s="703"/>
    </row>
    <row r="383" spans="18:24" s="701" customFormat="1">
      <c r="R383" s="702"/>
      <c r="S383" s="702"/>
      <c r="T383" s="702"/>
      <c r="U383" s="702"/>
      <c r="V383" s="702"/>
      <c r="W383" s="702"/>
      <c r="X383" s="703"/>
    </row>
    <row r="384" spans="18:24" s="701" customFormat="1">
      <c r="R384" s="702"/>
      <c r="S384" s="702"/>
      <c r="T384" s="702"/>
      <c r="U384" s="702"/>
      <c r="V384" s="702"/>
      <c r="W384" s="702"/>
      <c r="X384" s="703"/>
    </row>
    <row r="385" spans="18:24" s="701" customFormat="1">
      <c r="R385" s="702"/>
      <c r="S385" s="702"/>
      <c r="T385" s="702"/>
      <c r="U385" s="702"/>
      <c r="V385" s="702"/>
      <c r="W385" s="702"/>
      <c r="X385" s="703"/>
    </row>
    <row r="386" spans="18:24" s="701" customFormat="1">
      <c r="R386" s="702"/>
      <c r="S386" s="702"/>
      <c r="T386" s="702"/>
      <c r="U386" s="702"/>
      <c r="V386" s="702"/>
      <c r="W386" s="702"/>
      <c r="X386" s="703"/>
    </row>
    <row r="387" spans="18:24" s="701" customFormat="1">
      <c r="R387" s="702"/>
      <c r="S387" s="702"/>
      <c r="T387" s="702"/>
      <c r="U387" s="702"/>
      <c r="V387" s="702"/>
      <c r="W387" s="702"/>
      <c r="X387" s="703"/>
    </row>
    <row r="388" spans="18:24" s="701" customFormat="1">
      <c r="R388" s="702"/>
      <c r="S388" s="702"/>
      <c r="T388" s="702"/>
      <c r="U388" s="702"/>
      <c r="V388" s="702"/>
      <c r="W388" s="702"/>
      <c r="X388" s="703"/>
    </row>
    <row r="389" spans="18:24" s="701" customFormat="1">
      <c r="R389" s="702"/>
      <c r="S389" s="702"/>
      <c r="T389" s="702"/>
      <c r="U389" s="702"/>
      <c r="V389" s="702"/>
      <c r="W389" s="702"/>
      <c r="X389" s="703"/>
    </row>
    <row r="390" spans="18:24" s="701" customFormat="1">
      <c r="R390" s="702"/>
      <c r="S390" s="702"/>
      <c r="T390" s="702"/>
      <c r="U390" s="702"/>
      <c r="V390" s="702"/>
      <c r="W390" s="702"/>
      <c r="X390" s="703"/>
    </row>
    <row r="391" spans="18:24" s="701" customFormat="1">
      <c r="R391" s="702"/>
      <c r="S391" s="702"/>
      <c r="T391" s="702"/>
      <c r="U391" s="702"/>
      <c r="V391" s="702"/>
      <c r="W391" s="702"/>
      <c r="X391" s="703"/>
    </row>
    <row r="392" spans="18:24" s="701" customFormat="1">
      <c r="R392" s="702"/>
      <c r="S392" s="702"/>
      <c r="T392" s="702"/>
      <c r="U392" s="702"/>
      <c r="V392" s="702"/>
      <c r="W392" s="702"/>
      <c r="X392" s="703"/>
    </row>
    <row r="393" spans="18:24" s="701" customFormat="1">
      <c r="R393" s="702"/>
      <c r="S393" s="702"/>
      <c r="T393" s="702"/>
      <c r="U393" s="702"/>
      <c r="V393" s="702"/>
      <c r="W393" s="702"/>
      <c r="X393" s="703"/>
    </row>
    <row r="394" spans="18:24" s="701" customFormat="1">
      <c r="R394" s="702"/>
      <c r="S394" s="702"/>
      <c r="T394" s="702"/>
      <c r="U394" s="702"/>
      <c r="V394" s="702"/>
      <c r="W394" s="702"/>
      <c r="X394" s="703"/>
    </row>
    <row r="395" spans="18:24" s="701" customFormat="1">
      <c r="R395" s="702"/>
      <c r="S395" s="702"/>
      <c r="T395" s="702"/>
      <c r="U395" s="702"/>
      <c r="V395" s="702"/>
      <c r="W395" s="702"/>
      <c r="X395" s="703"/>
    </row>
    <row r="396" spans="18:24" s="701" customFormat="1">
      <c r="R396" s="702"/>
      <c r="S396" s="702"/>
      <c r="T396" s="702"/>
      <c r="U396" s="702"/>
      <c r="V396" s="702"/>
      <c r="W396" s="702"/>
      <c r="X396" s="703"/>
    </row>
    <row r="397" spans="18:24" s="701" customFormat="1">
      <c r="R397" s="702"/>
      <c r="S397" s="702"/>
      <c r="T397" s="702"/>
      <c r="U397" s="702"/>
      <c r="V397" s="702"/>
      <c r="W397" s="702"/>
      <c r="X397" s="703"/>
    </row>
    <row r="398" spans="18:24" s="701" customFormat="1">
      <c r="R398" s="702"/>
      <c r="S398" s="702"/>
      <c r="T398" s="702"/>
      <c r="U398" s="702"/>
      <c r="V398" s="702"/>
      <c r="W398" s="702"/>
      <c r="X398" s="703"/>
    </row>
    <row r="399" spans="18:24" s="701" customFormat="1">
      <c r="R399" s="702"/>
      <c r="S399" s="702"/>
      <c r="T399" s="702"/>
      <c r="U399" s="702"/>
      <c r="V399" s="702"/>
      <c r="W399" s="702"/>
      <c r="X399" s="703"/>
    </row>
    <row r="400" spans="18:24" s="701" customFormat="1">
      <c r="R400" s="702"/>
      <c r="S400" s="702"/>
      <c r="T400" s="702"/>
      <c r="U400" s="702"/>
      <c r="V400" s="702"/>
      <c r="W400" s="702"/>
      <c r="X400" s="703"/>
    </row>
    <row r="401" spans="18:24" s="701" customFormat="1">
      <c r="R401" s="702"/>
      <c r="S401" s="702"/>
      <c r="T401" s="702"/>
      <c r="U401" s="702"/>
      <c r="V401" s="702"/>
      <c r="W401" s="702"/>
      <c r="X401" s="703"/>
    </row>
    <row r="402" spans="18:24" s="701" customFormat="1">
      <c r="R402" s="702"/>
      <c r="S402" s="702"/>
      <c r="T402" s="702"/>
      <c r="U402" s="702"/>
      <c r="V402" s="702"/>
      <c r="W402" s="702"/>
      <c r="X402" s="703"/>
    </row>
    <row r="403" spans="18:24" s="701" customFormat="1">
      <c r="R403" s="702"/>
      <c r="S403" s="702"/>
      <c r="T403" s="702"/>
      <c r="U403" s="702"/>
      <c r="V403" s="702"/>
      <c r="W403" s="702"/>
      <c r="X403" s="703"/>
    </row>
    <row r="404" spans="18:24" s="701" customFormat="1">
      <c r="R404" s="702"/>
      <c r="S404" s="702"/>
      <c r="T404" s="702"/>
      <c r="U404" s="702"/>
      <c r="V404" s="702"/>
      <c r="W404" s="702"/>
      <c r="X404" s="703"/>
    </row>
    <row r="405" spans="18:24" s="701" customFormat="1">
      <c r="R405" s="702"/>
      <c r="S405" s="702"/>
      <c r="T405" s="702"/>
      <c r="U405" s="702"/>
      <c r="V405" s="702"/>
      <c r="W405" s="702"/>
      <c r="X405" s="703"/>
    </row>
    <row r="406" spans="18:24" s="701" customFormat="1">
      <c r="R406" s="702"/>
      <c r="S406" s="702"/>
      <c r="T406" s="702"/>
      <c r="U406" s="702"/>
      <c r="V406" s="702"/>
      <c r="W406" s="702"/>
      <c r="X406" s="703"/>
    </row>
    <row r="407" spans="18:24" s="701" customFormat="1">
      <c r="R407" s="702"/>
      <c r="S407" s="702"/>
      <c r="T407" s="702"/>
      <c r="U407" s="702"/>
      <c r="V407" s="702"/>
      <c r="W407" s="702"/>
      <c r="X407" s="703"/>
    </row>
    <row r="408" spans="18:24" s="701" customFormat="1">
      <c r="R408" s="702"/>
      <c r="S408" s="702"/>
      <c r="T408" s="702"/>
      <c r="U408" s="702"/>
      <c r="V408" s="702"/>
      <c r="W408" s="702"/>
      <c r="X408" s="703"/>
    </row>
    <row r="409" spans="18:24" s="701" customFormat="1">
      <c r="R409" s="702"/>
      <c r="S409" s="702"/>
      <c r="T409" s="702"/>
      <c r="U409" s="702"/>
      <c r="V409" s="702"/>
      <c r="W409" s="702"/>
      <c r="X409" s="703"/>
    </row>
    <row r="410" spans="18:24" s="701" customFormat="1">
      <c r="R410" s="702"/>
      <c r="S410" s="702"/>
      <c r="T410" s="702"/>
      <c r="U410" s="702"/>
      <c r="V410" s="702"/>
      <c r="W410" s="702"/>
      <c r="X410" s="703"/>
    </row>
    <row r="411" spans="18:24" s="701" customFormat="1">
      <c r="R411" s="702"/>
      <c r="S411" s="702"/>
      <c r="T411" s="702"/>
      <c r="U411" s="702"/>
      <c r="V411" s="702"/>
      <c r="W411" s="702"/>
      <c r="X411" s="703"/>
    </row>
    <row r="412" spans="18:24" s="701" customFormat="1">
      <c r="R412" s="702"/>
      <c r="S412" s="702"/>
      <c r="T412" s="702"/>
      <c r="U412" s="702"/>
      <c r="V412" s="702"/>
      <c r="W412" s="702"/>
      <c r="X412" s="703"/>
    </row>
    <row r="413" spans="18:24" s="701" customFormat="1">
      <c r="R413" s="702"/>
      <c r="S413" s="702"/>
      <c r="T413" s="702"/>
      <c r="U413" s="702"/>
      <c r="V413" s="702"/>
      <c r="W413" s="702"/>
      <c r="X413" s="703"/>
    </row>
    <row r="414" spans="18:24" s="701" customFormat="1">
      <c r="R414" s="702"/>
      <c r="S414" s="702"/>
      <c r="T414" s="702"/>
      <c r="U414" s="702"/>
      <c r="V414" s="702"/>
      <c r="W414" s="702"/>
      <c r="X414" s="703"/>
    </row>
    <row r="415" spans="18:24" s="701" customFormat="1">
      <c r="R415" s="702"/>
      <c r="S415" s="702"/>
      <c r="T415" s="702"/>
      <c r="U415" s="702"/>
      <c r="V415" s="702"/>
      <c r="W415" s="702"/>
      <c r="X415" s="703"/>
    </row>
    <row r="416" spans="18:24" s="701" customFormat="1">
      <c r="R416" s="702"/>
      <c r="S416" s="702"/>
      <c r="T416" s="702"/>
      <c r="U416" s="702"/>
      <c r="V416" s="702"/>
      <c r="W416" s="702"/>
      <c r="X416" s="703"/>
    </row>
    <row r="417" spans="18:24" s="701" customFormat="1">
      <c r="R417" s="702"/>
      <c r="S417" s="702"/>
      <c r="T417" s="702"/>
      <c r="U417" s="702"/>
      <c r="V417" s="702"/>
      <c r="W417" s="702"/>
      <c r="X417" s="703"/>
    </row>
    <row r="418" spans="18:24" s="701" customFormat="1">
      <c r="R418" s="702"/>
      <c r="S418" s="702"/>
      <c r="T418" s="702"/>
      <c r="U418" s="702"/>
      <c r="V418" s="702"/>
      <c r="W418" s="702"/>
      <c r="X418" s="703"/>
    </row>
    <row r="419" spans="18:24" s="701" customFormat="1">
      <c r="R419" s="702"/>
      <c r="S419" s="702"/>
      <c r="T419" s="702"/>
      <c r="U419" s="702"/>
      <c r="V419" s="702"/>
      <c r="W419" s="702"/>
      <c r="X419" s="703"/>
    </row>
    <row r="420" spans="18:24" s="701" customFormat="1">
      <c r="R420" s="702"/>
      <c r="S420" s="702"/>
      <c r="T420" s="702"/>
      <c r="U420" s="702"/>
      <c r="V420" s="702"/>
      <c r="W420" s="702"/>
      <c r="X420" s="703"/>
    </row>
    <row r="421" spans="18:24" s="701" customFormat="1">
      <c r="R421" s="702"/>
      <c r="S421" s="702"/>
      <c r="T421" s="702"/>
      <c r="U421" s="702"/>
      <c r="V421" s="702"/>
      <c r="W421" s="702"/>
      <c r="X421" s="703"/>
    </row>
    <row r="422" spans="18:24" s="701" customFormat="1">
      <c r="R422" s="702"/>
      <c r="S422" s="702"/>
      <c r="T422" s="702"/>
      <c r="U422" s="702"/>
      <c r="V422" s="702"/>
      <c r="W422" s="702"/>
      <c r="X422" s="703"/>
    </row>
    <row r="423" spans="18:24" s="701" customFormat="1">
      <c r="R423" s="702"/>
      <c r="S423" s="702"/>
      <c r="T423" s="702"/>
      <c r="U423" s="702"/>
      <c r="V423" s="702"/>
      <c r="W423" s="702"/>
      <c r="X423" s="703"/>
    </row>
    <row r="424" spans="18:24" s="701" customFormat="1">
      <c r="R424" s="702"/>
      <c r="S424" s="702"/>
      <c r="T424" s="702"/>
      <c r="U424" s="702"/>
      <c r="V424" s="702"/>
      <c r="W424" s="702"/>
      <c r="X424" s="703"/>
    </row>
    <row r="425" spans="18:24" s="701" customFormat="1">
      <c r="R425" s="702"/>
      <c r="S425" s="702"/>
      <c r="T425" s="702"/>
      <c r="U425" s="702"/>
      <c r="V425" s="702"/>
      <c r="W425" s="702"/>
      <c r="X425" s="703"/>
    </row>
    <row r="426" spans="18:24" s="701" customFormat="1">
      <c r="R426" s="702"/>
      <c r="S426" s="702"/>
      <c r="T426" s="702"/>
      <c r="U426" s="702"/>
      <c r="V426" s="702"/>
      <c r="W426" s="702"/>
      <c r="X426" s="703"/>
    </row>
    <row r="427" spans="18:24" s="701" customFormat="1">
      <c r="R427" s="702"/>
      <c r="S427" s="702"/>
      <c r="T427" s="702"/>
      <c r="U427" s="702"/>
      <c r="V427" s="702"/>
      <c r="W427" s="702"/>
      <c r="X427" s="703"/>
    </row>
    <row r="428" spans="18:24" s="701" customFormat="1">
      <c r="R428" s="702"/>
      <c r="S428" s="702"/>
      <c r="T428" s="702"/>
      <c r="U428" s="702"/>
      <c r="V428" s="702"/>
      <c r="W428" s="702"/>
      <c r="X428" s="703"/>
    </row>
    <row r="429" spans="18:24" s="701" customFormat="1">
      <c r="R429" s="702"/>
      <c r="S429" s="702"/>
      <c r="T429" s="702"/>
      <c r="U429" s="702"/>
      <c r="V429" s="702"/>
      <c r="W429" s="702"/>
      <c r="X429" s="703"/>
    </row>
    <row r="430" spans="18:24" s="701" customFormat="1">
      <c r="R430" s="702"/>
      <c r="S430" s="702"/>
      <c r="T430" s="702"/>
      <c r="U430" s="702"/>
      <c r="V430" s="702"/>
      <c r="W430" s="702"/>
      <c r="X430" s="703"/>
    </row>
    <row r="431" spans="18:24" s="701" customFormat="1">
      <c r="R431" s="702"/>
      <c r="S431" s="702"/>
      <c r="T431" s="702"/>
      <c r="U431" s="702"/>
      <c r="V431" s="702"/>
      <c r="W431" s="702"/>
      <c r="X431" s="703"/>
    </row>
    <row r="432" spans="18:24" s="701" customFormat="1">
      <c r="R432" s="702"/>
      <c r="S432" s="702"/>
      <c r="T432" s="702"/>
      <c r="U432" s="702"/>
      <c r="V432" s="702"/>
      <c r="W432" s="702"/>
      <c r="X432" s="703"/>
    </row>
    <row r="433" spans="18:24" s="701" customFormat="1">
      <c r="R433" s="702"/>
      <c r="S433" s="702"/>
      <c r="T433" s="702"/>
      <c r="U433" s="702"/>
      <c r="V433" s="702"/>
      <c r="W433" s="702"/>
      <c r="X433" s="703"/>
    </row>
    <row r="434" spans="18:24" s="701" customFormat="1">
      <c r="R434" s="702"/>
      <c r="S434" s="702"/>
      <c r="T434" s="702"/>
      <c r="U434" s="702"/>
      <c r="V434" s="702"/>
      <c r="W434" s="702"/>
      <c r="X434" s="703"/>
    </row>
    <row r="435" spans="18:24" s="701" customFormat="1">
      <c r="R435" s="702"/>
      <c r="S435" s="702"/>
      <c r="T435" s="702"/>
      <c r="U435" s="702"/>
      <c r="V435" s="702"/>
      <c r="W435" s="702"/>
      <c r="X435" s="703"/>
    </row>
    <row r="436" spans="18:24" s="701" customFormat="1">
      <c r="R436" s="702"/>
      <c r="S436" s="702"/>
      <c r="T436" s="702"/>
      <c r="U436" s="702"/>
      <c r="V436" s="702"/>
      <c r="W436" s="702"/>
      <c r="X436" s="703"/>
    </row>
    <row r="437" spans="18:24" s="701" customFormat="1">
      <c r="R437" s="702"/>
      <c r="S437" s="702"/>
      <c r="T437" s="702"/>
      <c r="U437" s="702"/>
      <c r="V437" s="702"/>
      <c r="W437" s="702"/>
      <c r="X437" s="703"/>
    </row>
    <row r="438" spans="18:24" s="701" customFormat="1">
      <c r="R438" s="702"/>
      <c r="S438" s="702"/>
      <c r="T438" s="702"/>
      <c r="U438" s="702"/>
      <c r="V438" s="702"/>
      <c r="W438" s="702"/>
      <c r="X438" s="703"/>
    </row>
    <row r="439" spans="18:24" s="701" customFormat="1">
      <c r="R439" s="702"/>
      <c r="S439" s="702"/>
      <c r="T439" s="702"/>
      <c r="U439" s="702"/>
      <c r="V439" s="702"/>
      <c r="W439" s="702"/>
      <c r="X439" s="703"/>
    </row>
    <row r="440" spans="18:24" s="701" customFormat="1">
      <c r="R440" s="702"/>
      <c r="S440" s="702"/>
      <c r="T440" s="702"/>
      <c r="U440" s="702"/>
      <c r="V440" s="702"/>
      <c r="W440" s="702"/>
      <c r="X440" s="703"/>
    </row>
    <row r="441" spans="18:24" s="701" customFormat="1">
      <c r="R441" s="702"/>
      <c r="S441" s="702"/>
      <c r="T441" s="702"/>
      <c r="U441" s="702"/>
      <c r="V441" s="702"/>
      <c r="W441" s="702"/>
      <c r="X441" s="703"/>
    </row>
    <row r="442" spans="18:24" s="701" customFormat="1">
      <c r="R442" s="702"/>
      <c r="S442" s="702"/>
      <c r="T442" s="702"/>
      <c r="U442" s="702"/>
      <c r="V442" s="702"/>
      <c r="W442" s="702"/>
      <c r="X442" s="703"/>
    </row>
    <row r="443" spans="18:24" s="701" customFormat="1">
      <c r="R443" s="702"/>
      <c r="S443" s="702"/>
      <c r="T443" s="702"/>
      <c r="U443" s="702"/>
      <c r="V443" s="702"/>
      <c r="W443" s="702"/>
      <c r="X443" s="703"/>
    </row>
    <row r="444" spans="18:24" s="701" customFormat="1">
      <c r="R444" s="702"/>
      <c r="S444" s="702"/>
      <c r="T444" s="702"/>
      <c r="U444" s="702"/>
      <c r="V444" s="702"/>
      <c r="W444" s="702"/>
      <c r="X444" s="703"/>
    </row>
    <row r="445" spans="18:24" s="701" customFormat="1">
      <c r="R445" s="702"/>
      <c r="S445" s="702"/>
      <c r="T445" s="702"/>
      <c r="U445" s="702"/>
      <c r="V445" s="702"/>
      <c r="W445" s="702"/>
      <c r="X445" s="703"/>
    </row>
    <row r="446" spans="18:24" s="701" customFormat="1">
      <c r="R446" s="702"/>
      <c r="S446" s="702"/>
      <c r="T446" s="702"/>
      <c r="U446" s="702"/>
      <c r="V446" s="702"/>
      <c r="W446" s="702"/>
      <c r="X446" s="703"/>
    </row>
    <row r="447" spans="18:24" s="701" customFormat="1">
      <c r="R447" s="702"/>
      <c r="S447" s="702"/>
      <c r="T447" s="702"/>
      <c r="U447" s="702"/>
      <c r="V447" s="702"/>
      <c r="W447" s="702"/>
      <c r="X447" s="703"/>
    </row>
    <row r="448" spans="18:24" s="701" customFormat="1">
      <c r="R448" s="702"/>
      <c r="S448" s="702"/>
      <c r="T448" s="702"/>
      <c r="U448" s="702"/>
      <c r="V448" s="702"/>
      <c r="W448" s="702"/>
      <c r="X448" s="703"/>
    </row>
    <row r="449" spans="18:24" s="701" customFormat="1">
      <c r="R449" s="702"/>
      <c r="S449" s="702"/>
      <c r="T449" s="702"/>
      <c r="U449" s="702"/>
      <c r="V449" s="702"/>
      <c r="W449" s="702"/>
      <c r="X449" s="703"/>
    </row>
    <row r="450" spans="18:24" s="701" customFormat="1">
      <c r="R450" s="702"/>
      <c r="S450" s="702"/>
      <c r="T450" s="702"/>
      <c r="U450" s="702"/>
      <c r="V450" s="702"/>
      <c r="W450" s="702"/>
      <c r="X450" s="703"/>
    </row>
    <row r="451" spans="18:24" s="701" customFormat="1">
      <c r="R451" s="702"/>
      <c r="S451" s="702"/>
      <c r="T451" s="702"/>
      <c r="U451" s="702"/>
      <c r="V451" s="702"/>
      <c r="W451" s="702"/>
      <c r="X451" s="703"/>
    </row>
    <row r="452" spans="18:24" s="701" customFormat="1">
      <c r="R452" s="702"/>
      <c r="S452" s="702"/>
      <c r="T452" s="702"/>
      <c r="U452" s="702"/>
      <c r="V452" s="702"/>
      <c r="W452" s="702"/>
      <c r="X452" s="703"/>
    </row>
    <row r="453" spans="18:24" s="701" customFormat="1">
      <c r="R453" s="702"/>
      <c r="S453" s="702"/>
      <c r="T453" s="702"/>
      <c r="U453" s="702"/>
      <c r="V453" s="702"/>
      <c r="W453" s="702"/>
      <c r="X453" s="703"/>
    </row>
    <row r="454" spans="18:24" s="701" customFormat="1">
      <c r="R454" s="702"/>
      <c r="S454" s="702"/>
      <c r="T454" s="702"/>
      <c r="U454" s="702"/>
      <c r="V454" s="702"/>
      <c r="W454" s="702"/>
      <c r="X454" s="703"/>
    </row>
    <row r="455" spans="18:24" s="701" customFormat="1">
      <c r="R455" s="702"/>
      <c r="S455" s="702"/>
      <c r="T455" s="702"/>
      <c r="U455" s="702"/>
      <c r="V455" s="702"/>
      <c r="W455" s="702"/>
      <c r="X455" s="703"/>
    </row>
    <row r="456" spans="18:24" s="701" customFormat="1">
      <c r="R456" s="702"/>
      <c r="S456" s="702"/>
      <c r="T456" s="702"/>
      <c r="U456" s="702"/>
      <c r="V456" s="702"/>
      <c r="W456" s="702"/>
      <c r="X456" s="703"/>
    </row>
    <row r="457" spans="18:24" s="701" customFormat="1">
      <c r="R457" s="702"/>
      <c r="S457" s="702"/>
      <c r="T457" s="702"/>
      <c r="U457" s="702"/>
      <c r="V457" s="702"/>
      <c r="W457" s="702"/>
      <c r="X457" s="703"/>
    </row>
    <row r="458" spans="18:24" s="701" customFormat="1">
      <c r="R458" s="702"/>
      <c r="S458" s="702"/>
      <c r="T458" s="702"/>
      <c r="U458" s="702"/>
      <c r="V458" s="702"/>
      <c r="W458" s="702"/>
      <c r="X458" s="703"/>
    </row>
    <row r="459" spans="18:24" s="701" customFormat="1">
      <c r="R459" s="702"/>
      <c r="S459" s="702"/>
      <c r="T459" s="702"/>
      <c r="U459" s="702"/>
      <c r="V459" s="702"/>
      <c r="W459" s="702"/>
      <c r="X459" s="703"/>
    </row>
    <row r="460" spans="18:24" s="701" customFormat="1">
      <c r="R460" s="702"/>
      <c r="S460" s="702"/>
      <c r="T460" s="702"/>
      <c r="U460" s="702"/>
      <c r="V460" s="702"/>
      <c r="W460" s="702"/>
      <c r="X460" s="703"/>
    </row>
    <row r="461" spans="18:24" s="701" customFormat="1">
      <c r="R461" s="702"/>
      <c r="S461" s="702"/>
      <c r="T461" s="702"/>
      <c r="U461" s="702"/>
      <c r="V461" s="702"/>
      <c r="W461" s="702"/>
      <c r="X461" s="703"/>
    </row>
    <row r="462" spans="18:24" s="701" customFormat="1">
      <c r="R462" s="702"/>
      <c r="S462" s="702"/>
      <c r="T462" s="702"/>
      <c r="U462" s="702"/>
      <c r="V462" s="702"/>
      <c r="W462" s="702"/>
      <c r="X462" s="703"/>
    </row>
    <row r="463" spans="18:24" s="701" customFormat="1">
      <c r="R463" s="702"/>
      <c r="S463" s="702"/>
      <c r="T463" s="702"/>
      <c r="U463" s="702"/>
      <c r="V463" s="702"/>
      <c r="W463" s="702"/>
      <c r="X463" s="703"/>
    </row>
    <row r="464" spans="18:24" s="701" customFormat="1">
      <c r="R464" s="702"/>
      <c r="S464" s="702"/>
      <c r="T464" s="702"/>
      <c r="U464" s="702"/>
      <c r="V464" s="702"/>
      <c r="W464" s="702"/>
      <c r="X464" s="703"/>
    </row>
    <row r="465" spans="18:24" s="701" customFormat="1">
      <c r="R465" s="702"/>
      <c r="S465" s="702"/>
      <c r="T465" s="702"/>
      <c r="U465" s="702"/>
      <c r="V465" s="702"/>
      <c r="W465" s="702"/>
      <c r="X465" s="703"/>
    </row>
    <row r="466" spans="18:24" s="701" customFormat="1">
      <c r="R466" s="702"/>
      <c r="S466" s="702"/>
      <c r="T466" s="702"/>
      <c r="U466" s="702"/>
      <c r="V466" s="702"/>
      <c r="W466" s="702"/>
      <c r="X466" s="703"/>
    </row>
    <row r="467" spans="18:24" s="701" customFormat="1">
      <c r="R467" s="702"/>
      <c r="S467" s="702"/>
      <c r="T467" s="702"/>
      <c r="U467" s="702"/>
      <c r="V467" s="702"/>
      <c r="W467" s="702"/>
      <c r="X467" s="703"/>
    </row>
    <row r="468" spans="18:24" s="701" customFormat="1">
      <c r="R468" s="702"/>
      <c r="S468" s="702"/>
      <c r="T468" s="702"/>
      <c r="U468" s="702"/>
      <c r="V468" s="702"/>
      <c r="W468" s="702"/>
      <c r="X468" s="703"/>
    </row>
    <row r="469" spans="18:24" s="701" customFormat="1">
      <c r="R469" s="702"/>
      <c r="S469" s="702"/>
      <c r="T469" s="702"/>
      <c r="U469" s="702"/>
      <c r="V469" s="702"/>
      <c r="W469" s="702"/>
      <c r="X469" s="703"/>
    </row>
    <row r="470" spans="18:24" s="701" customFormat="1">
      <c r="R470" s="702"/>
      <c r="S470" s="702"/>
      <c r="T470" s="702"/>
      <c r="U470" s="702"/>
      <c r="V470" s="702"/>
      <c r="W470" s="702"/>
      <c r="X470" s="703"/>
    </row>
    <row r="471" spans="18:24" s="701" customFormat="1">
      <c r="R471" s="702"/>
      <c r="S471" s="702"/>
      <c r="T471" s="702"/>
      <c r="U471" s="702"/>
      <c r="V471" s="702"/>
      <c r="W471" s="702"/>
      <c r="X471" s="703"/>
    </row>
    <row r="472" spans="18:24" s="701" customFormat="1">
      <c r="R472" s="702"/>
      <c r="S472" s="702"/>
      <c r="T472" s="702"/>
      <c r="U472" s="702"/>
      <c r="V472" s="702"/>
      <c r="W472" s="702"/>
      <c r="X472" s="703"/>
    </row>
    <row r="473" spans="18:24" s="701" customFormat="1">
      <c r="R473" s="702"/>
      <c r="S473" s="702"/>
      <c r="T473" s="702"/>
      <c r="U473" s="702"/>
      <c r="V473" s="702"/>
      <c r="W473" s="702"/>
      <c r="X473" s="703"/>
    </row>
    <row r="474" spans="18:24" s="701" customFormat="1">
      <c r="R474" s="702"/>
      <c r="S474" s="702"/>
      <c r="T474" s="702"/>
      <c r="U474" s="702"/>
      <c r="V474" s="702"/>
      <c r="W474" s="702"/>
      <c r="X474" s="703"/>
    </row>
    <row r="475" spans="18:24" s="701" customFormat="1">
      <c r="R475" s="702"/>
      <c r="S475" s="702"/>
      <c r="T475" s="702"/>
      <c r="U475" s="702"/>
      <c r="V475" s="702"/>
      <c r="W475" s="702"/>
      <c r="X475" s="703"/>
    </row>
    <row r="476" spans="18:24" s="701" customFormat="1">
      <c r="R476" s="702"/>
      <c r="S476" s="702"/>
      <c r="T476" s="702"/>
      <c r="U476" s="702"/>
      <c r="V476" s="702"/>
      <c r="W476" s="702"/>
      <c r="X476" s="703"/>
    </row>
    <row r="477" spans="18:24" s="701" customFormat="1">
      <c r="R477" s="702"/>
      <c r="S477" s="702"/>
      <c r="T477" s="702"/>
      <c r="U477" s="702"/>
      <c r="V477" s="702"/>
      <c r="W477" s="702"/>
      <c r="X477" s="703"/>
    </row>
    <row r="478" spans="18:24" s="701" customFormat="1">
      <c r="R478" s="702"/>
      <c r="S478" s="702"/>
      <c r="T478" s="702"/>
      <c r="U478" s="702"/>
      <c r="V478" s="702"/>
      <c r="W478" s="702"/>
      <c r="X478" s="703"/>
    </row>
    <row r="479" spans="18:24" s="701" customFormat="1">
      <c r="R479" s="702"/>
      <c r="S479" s="702"/>
      <c r="T479" s="702"/>
      <c r="U479" s="702"/>
      <c r="V479" s="702"/>
      <c r="W479" s="702"/>
      <c r="X479" s="703"/>
    </row>
    <row r="480" spans="18:24" s="701" customFormat="1">
      <c r="R480" s="702"/>
      <c r="S480" s="702"/>
      <c r="T480" s="702"/>
      <c r="U480" s="702"/>
      <c r="V480" s="702"/>
      <c r="W480" s="702"/>
      <c r="X480" s="703"/>
    </row>
    <row r="481" spans="18:24" s="701" customFormat="1">
      <c r="R481" s="702"/>
      <c r="S481" s="702"/>
      <c r="T481" s="702"/>
      <c r="U481" s="702"/>
      <c r="V481" s="702"/>
      <c r="W481" s="702"/>
      <c r="X481" s="703"/>
    </row>
    <row r="482" spans="18:24" s="701" customFormat="1">
      <c r="R482" s="702"/>
      <c r="S482" s="702"/>
      <c r="T482" s="702"/>
      <c r="U482" s="702"/>
      <c r="V482" s="702"/>
      <c r="W482" s="702"/>
      <c r="X482" s="703"/>
    </row>
    <row r="483" spans="18:24" s="701" customFormat="1">
      <c r="R483" s="702"/>
      <c r="S483" s="702"/>
      <c r="T483" s="702"/>
      <c r="U483" s="702"/>
      <c r="V483" s="702"/>
      <c r="W483" s="702"/>
      <c r="X483" s="703"/>
    </row>
    <row r="484" spans="18:24" s="701" customFormat="1">
      <c r="R484" s="702"/>
      <c r="S484" s="702"/>
      <c r="T484" s="702"/>
      <c r="U484" s="702"/>
      <c r="V484" s="702"/>
      <c r="W484" s="702"/>
      <c r="X484" s="703"/>
    </row>
    <row r="485" spans="18:24" s="701" customFormat="1">
      <c r="R485" s="702"/>
      <c r="S485" s="702"/>
      <c r="T485" s="702"/>
      <c r="U485" s="702"/>
      <c r="V485" s="702"/>
      <c r="W485" s="702"/>
      <c r="X485" s="703"/>
    </row>
    <row r="486" spans="18:24" s="701" customFormat="1">
      <c r="R486" s="702"/>
      <c r="S486" s="702"/>
      <c r="T486" s="702"/>
      <c r="U486" s="702"/>
      <c r="V486" s="702"/>
      <c r="W486" s="702"/>
      <c r="X486" s="703"/>
    </row>
    <row r="487" spans="18:24" s="701" customFormat="1">
      <c r="R487" s="702"/>
      <c r="S487" s="702"/>
      <c r="T487" s="702"/>
      <c r="U487" s="702"/>
      <c r="V487" s="702"/>
      <c r="W487" s="702"/>
      <c r="X487" s="703"/>
    </row>
    <row r="488" spans="18:24" s="701" customFormat="1">
      <c r="R488" s="702"/>
      <c r="S488" s="702"/>
      <c r="T488" s="702"/>
      <c r="U488" s="702"/>
      <c r="V488" s="702"/>
      <c r="W488" s="702"/>
      <c r="X488" s="703"/>
    </row>
    <row r="489" spans="18:24" s="701" customFormat="1">
      <c r="R489" s="702"/>
      <c r="S489" s="702"/>
      <c r="T489" s="702"/>
      <c r="U489" s="702"/>
      <c r="V489" s="702"/>
      <c r="W489" s="702"/>
      <c r="X489" s="703"/>
    </row>
    <row r="490" spans="18:24" s="701" customFormat="1">
      <c r="R490" s="702"/>
      <c r="S490" s="702"/>
      <c r="T490" s="702"/>
      <c r="U490" s="702"/>
      <c r="V490" s="702"/>
      <c r="W490" s="702"/>
      <c r="X490" s="703"/>
    </row>
    <row r="491" spans="18:24" s="701" customFormat="1">
      <c r="R491" s="702"/>
      <c r="S491" s="702"/>
      <c r="T491" s="702"/>
      <c r="U491" s="702"/>
      <c r="V491" s="702"/>
      <c r="W491" s="702"/>
      <c r="X491" s="703"/>
    </row>
    <row r="492" spans="18:24" s="701" customFormat="1">
      <c r="R492" s="702"/>
      <c r="S492" s="702"/>
      <c r="T492" s="702"/>
      <c r="U492" s="702"/>
      <c r="V492" s="702"/>
      <c r="W492" s="702"/>
      <c r="X492" s="703"/>
    </row>
    <row r="493" spans="18:24" s="701" customFormat="1">
      <c r="R493" s="702"/>
      <c r="S493" s="702"/>
      <c r="T493" s="702"/>
      <c r="U493" s="702"/>
      <c r="V493" s="702"/>
      <c r="W493" s="702"/>
      <c r="X493" s="703"/>
    </row>
    <row r="494" spans="18:24" s="701" customFormat="1">
      <c r="R494" s="702"/>
      <c r="S494" s="702"/>
      <c r="T494" s="702"/>
      <c r="U494" s="702"/>
      <c r="V494" s="702"/>
      <c r="W494" s="702"/>
      <c r="X494" s="703"/>
    </row>
    <row r="495" spans="18:24" s="701" customFormat="1">
      <c r="R495" s="702"/>
      <c r="S495" s="702"/>
      <c r="T495" s="702"/>
      <c r="U495" s="702"/>
      <c r="V495" s="702"/>
      <c r="W495" s="702"/>
      <c r="X495" s="703"/>
    </row>
    <row r="496" spans="18:24" s="701" customFormat="1">
      <c r="R496" s="702"/>
      <c r="S496" s="702"/>
      <c r="T496" s="702"/>
      <c r="U496" s="702"/>
      <c r="V496" s="702"/>
      <c r="W496" s="702"/>
      <c r="X496" s="703"/>
    </row>
    <row r="497" spans="18:24" s="701" customFormat="1">
      <c r="R497" s="702"/>
      <c r="S497" s="702"/>
      <c r="T497" s="702"/>
      <c r="U497" s="702"/>
      <c r="V497" s="702"/>
      <c r="W497" s="702"/>
      <c r="X497" s="703"/>
    </row>
    <row r="498" spans="18:24" s="701" customFormat="1">
      <c r="R498" s="702"/>
      <c r="S498" s="702"/>
      <c r="T498" s="702"/>
      <c r="U498" s="702"/>
      <c r="V498" s="702"/>
      <c r="W498" s="702"/>
      <c r="X498" s="703"/>
    </row>
    <row r="499" spans="18:24" s="701" customFormat="1">
      <c r="R499" s="702"/>
      <c r="S499" s="702"/>
      <c r="T499" s="702"/>
      <c r="U499" s="702"/>
      <c r="V499" s="702"/>
      <c r="W499" s="702"/>
      <c r="X499" s="703"/>
    </row>
    <row r="500" spans="18:24" s="701" customFormat="1">
      <c r="R500" s="702"/>
      <c r="S500" s="702"/>
      <c r="T500" s="702"/>
      <c r="U500" s="702"/>
      <c r="V500" s="702"/>
      <c r="W500" s="702"/>
      <c r="X500" s="703"/>
    </row>
    <row r="501" spans="18:24" s="701" customFormat="1">
      <c r="R501" s="702"/>
      <c r="S501" s="702"/>
      <c r="T501" s="702"/>
      <c r="U501" s="702"/>
      <c r="V501" s="702"/>
      <c r="W501" s="702"/>
      <c r="X501" s="703"/>
    </row>
    <row r="502" spans="18:24" s="701" customFormat="1">
      <c r="R502" s="702"/>
      <c r="S502" s="702"/>
      <c r="T502" s="702"/>
      <c r="U502" s="702"/>
      <c r="V502" s="702"/>
      <c r="W502" s="702"/>
      <c r="X502" s="703"/>
    </row>
    <row r="503" spans="18:24" s="701" customFormat="1">
      <c r="R503" s="702"/>
      <c r="S503" s="702"/>
      <c r="T503" s="702"/>
      <c r="U503" s="702"/>
      <c r="V503" s="702"/>
      <c r="W503" s="702"/>
      <c r="X503" s="703"/>
    </row>
    <row r="504" spans="18:24" s="701" customFormat="1">
      <c r="R504" s="702"/>
      <c r="S504" s="702"/>
      <c r="T504" s="702"/>
      <c r="U504" s="702"/>
      <c r="V504" s="702"/>
      <c r="W504" s="702"/>
      <c r="X504" s="703"/>
    </row>
    <row r="505" spans="18:24" s="701" customFormat="1">
      <c r="R505" s="702"/>
      <c r="S505" s="702"/>
      <c r="T505" s="702"/>
      <c r="U505" s="702"/>
      <c r="V505" s="702"/>
      <c r="W505" s="702"/>
      <c r="X505" s="703"/>
    </row>
    <row r="506" spans="18:24" s="701" customFormat="1">
      <c r="R506" s="702"/>
      <c r="S506" s="702"/>
      <c r="T506" s="702"/>
      <c r="U506" s="702"/>
      <c r="V506" s="702"/>
      <c r="W506" s="702"/>
      <c r="X506" s="703"/>
    </row>
    <row r="507" spans="18:24" s="701" customFormat="1">
      <c r="R507" s="702"/>
      <c r="S507" s="702"/>
      <c r="T507" s="702"/>
      <c r="U507" s="702"/>
      <c r="V507" s="702"/>
      <c r="W507" s="702"/>
      <c r="X507" s="703"/>
    </row>
    <row r="508" spans="18:24" s="701" customFormat="1">
      <c r="R508" s="702"/>
      <c r="S508" s="702"/>
      <c r="T508" s="702"/>
      <c r="U508" s="702"/>
      <c r="V508" s="702"/>
      <c r="W508" s="702"/>
      <c r="X508" s="703"/>
    </row>
    <row r="509" spans="18:24" s="701" customFormat="1">
      <c r="R509" s="702"/>
      <c r="S509" s="702"/>
      <c r="T509" s="702"/>
      <c r="U509" s="702"/>
      <c r="V509" s="702"/>
      <c r="W509" s="702"/>
      <c r="X509" s="703"/>
    </row>
    <row r="510" spans="18:24" s="701" customFormat="1">
      <c r="R510" s="702"/>
      <c r="S510" s="702"/>
      <c r="T510" s="702"/>
      <c r="U510" s="702"/>
      <c r="V510" s="702"/>
      <c r="W510" s="702"/>
      <c r="X510" s="703"/>
    </row>
    <row r="511" spans="18:24" s="701" customFormat="1">
      <c r="R511" s="702"/>
      <c r="S511" s="702"/>
      <c r="T511" s="702"/>
      <c r="U511" s="702"/>
      <c r="V511" s="702"/>
      <c r="W511" s="702"/>
      <c r="X511" s="703"/>
    </row>
    <row r="512" spans="18:24" s="701" customFormat="1">
      <c r="R512" s="702"/>
      <c r="S512" s="702"/>
      <c r="T512" s="702"/>
      <c r="U512" s="702"/>
      <c r="V512" s="702"/>
      <c r="W512" s="702"/>
      <c r="X512" s="703"/>
    </row>
    <row r="513" spans="18:24" s="701" customFormat="1">
      <c r="R513" s="702"/>
      <c r="S513" s="702"/>
      <c r="T513" s="702"/>
      <c r="U513" s="702"/>
      <c r="V513" s="702"/>
      <c r="W513" s="702"/>
      <c r="X513" s="703"/>
    </row>
    <row r="514" spans="18:24" s="701" customFormat="1">
      <c r="R514" s="702"/>
      <c r="S514" s="702"/>
      <c r="T514" s="702"/>
      <c r="U514" s="702"/>
      <c r="V514" s="702"/>
      <c r="W514" s="702"/>
      <c r="X514" s="703"/>
    </row>
    <row r="515" spans="18:24" s="701" customFormat="1">
      <c r="R515" s="702"/>
      <c r="S515" s="702"/>
      <c r="T515" s="702"/>
      <c r="U515" s="702"/>
      <c r="V515" s="702"/>
      <c r="W515" s="702"/>
      <c r="X515" s="703"/>
    </row>
    <row r="516" spans="18:24" s="701" customFormat="1">
      <c r="R516" s="702"/>
      <c r="S516" s="702"/>
      <c r="T516" s="702"/>
      <c r="U516" s="702"/>
      <c r="V516" s="702"/>
      <c r="W516" s="702"/>
      <c r="X516" s="703"/>
    </row>
    <row r="517" spans="18:24" s="701" customFormat="1">
      <c r="R517" s="702"/>
      <c r="S517" s="702"/>
      <c r="T517" s="702"/>
      <c r="U517" s="702"/>
      <c r="V517" s="702"/>
      <c r="W517" s="702"/>
      <c r="X517" s="703"/>
    </row>
    <row r="518" spans="18:24" s="701" customFormat="1">
      <c r="R518" s="702"/>
      <c r="S518" s="702"/>
      <c r="T518" s="702"/>
      <c r="U518" s="702"/>
      <c r="V518" s="702"/>
      <c r="W518" s="702"/>
      <c r="X518" s="703"/>
    </row>
    <row r="519" spans="18:24" s="701" customFormat="1">
      <c r="R519" s="702"/>
      <c r="S519" s="702"/>
      <c r="T519" s="702"/>
      <c r="U519" s="702"/>
      <c r="V519" s="702"/>
      <c r="W519" s="702"/>
      <c r="X519" s="703"/>
    </row>
    <row r="520" spans="18:24" s="701" customFormat="1">
      <c r="R520" s="702"/>
      <c r="S520" s="702"/>
      <c r="T520" s="702"/>
      <c r="U520" s="702"/>
      <c r="V520" s="702"/>
      <c r="W520" s="702"/>
      <c r="X520" s="703"/>
    </row>
    <row r="521" spans="18:24" s="701" customFormat="1">
      <c r="R521" s="702"/>
      <c r="S521" s="702"/>
      <c r="T521" s="702"/>
      <c r="U521" s="702"/>
      <c r="V521" s="702"/>
      <c r="W521" s="702"/>
      <c r="X521" s="703"/>
    </row>
    <row r="522" spans="18:24" s="701" customFormat="1">
      <c r="R522" s="702"/>
      <c r="S522" s="702"/>
      <c r="T522" s="702"/>
      <c r="U522" s="702"/>
      <c r="V522" s="702"/>
      <c r="W522" s="702"/>
      <c r="X522" s="703"/>
    </row>
    <row r="523" spans="18:24" s="701" customFormat="1">
      <c r="R523" s="702"/>
      <c r="S523" s="702"/>
      <c r="T523" s="702"/>
      <c r="U523" s="702"/>
      <c r="V523" s="702"/>
      <c r="W523" s="702"/>
      <c r="X523" s="703"/>
    </row>
    <row r="524" spans="18:24" s="701" customFormat="1">
      <c r="R524" s="702"/>
      <c r="S524" s="702"/>
      <c r="T524" s="702"/>
      <c r="U524" s="702"/>
      <c r="V524" s="702"/>
      <c r="W524" s="702"/>
      <c r="X524" s="703"/>
    </row>
    <row r="525" spans="18:24" s="701" customFormat="1">
      <c r="R525" s="702"/>
      <c r="S525" s="702"/>
      <c r="T525" s="702"/>
      <c r="U525" s="702"/>
      <c r="V525" s="702"/>
      <c r="W525" s="702"/>
      <c r="X525" s="703"/>
    </row>
    <row r="526" spans="18:24" s="701" customFormat="1">
      <c r="R526" s="702"/>
      <c r="S526" s="702"/>
      <c r="T526" s="702"/>
      <c r="U526" s="702"/>
      <c r="V526" s="702"/>
      <c r="W526" s="702"/>
      <c r="X526" s="703"/>
    </row>
    <row r="527" spans="18:24" s="701" customFormat="1">
      <c r="R527" s="702"/>
      <c r="S527" s="702"/>
      <c r="T527" s="702"/>
      <c r="U527" s="702"/>
      <c r="V527" s="702"/>
      <c r="W527" s="702"/>
      <c r="X527" s="703"/>
    </row>
    <row r="528" spans="18:24" s="701" customFormat="1">
      <c r="R528" s="702"/>
      <c r="S528" s="702"/>
      <c r="T528" s="702"/>
      <c r="U528" s="702"/>
      <c r="V528" s="702"/>
      <c r="W528" s="702"/>
      <c r="X528" s="703"/>
    </row>
    <row r="529" spans="18:24" s="701" customFormat="1">
      <c r="R529" s="702"/>
      <c r="S529" s="702"/>
      <c r="T529" s="702"/>
      <c r="U529" s="702"/>
      <c r="V529" s="702"/>
      <c r="W529" s="702"/>
      <c r="X529" s="703"/>
    </row>
    <row r="530" spans="18:24" s="701" customFormat="1">
      <c r="R530" s="702"/>
      <c r="S530" s="702"/>
      <c r="T530" s="702"/>
      <c r="U530" s="702"/>
      <c r="V530" s="702"/>
      <c r="W530" s="702"/>
      <c r="X530" s="703"/>
    </row>
    <row r="531" spans="18:24" s="701" customFormat="1">
      <c r="R531" s="702"/>
      <c r="S531" s="702"/>
      <c r="T531" s="702"/>
      <c r="U531" s="702"/>
      <c r="V531" s="702"/>
      <c r="W531" s="702"/>
      <c r="X531" s="703"/>
    </row>
    <row r="532" spans="18:24" s="701" customFormat="1">
      <c r="R532" s="702"/>
      <c r="S532" s="702"/>
      <c r="T532" s="702"/>
      <c r="U532" s="702"/>
      <c r="V532" s="702"/>
      <c r="W532" s="702"/>
      <c r="X532" s="703"/>
    </row>
    <row r="533" spans="18:24" s="701" customFormat="1">
      <c r="R533" s="702"/>
      <c r="S533" s="702"/>
      <c r="T533" s="702"/>
      <c r="U533" s="702"/>
      <c r="V533" s="702"/>
      <c r="W533" s="702"/>
      <c r="X533" s="703"/>
    </row>
    <row r="534" spans="18:24" s="701" customFormat="1">
      <c r="R534" s="702"/>
      <c r="S534" s="702"/>
      <c r="T534" s="702"/>
      <c r="U534" s="702"/>
      <c r="V534" s="702"/>
      <c r="W534" s="702"/>
      <c r="X534" s="703"/>
    </row>
    <row r="535" spans="18:24" s="701" customFormat="1">
      <c r="R535" s="702"/>
      <c r="S535" s="702"/>
      <c r="T535" s="702"/>
      <c r="U535" s="702"/>
      <c r="V535" s="702"/>
      <c r="W535" s="702"/>
      <c r="X535" s="703"/>
    </row>
    <row r="536" spans="18:24" s="701" customFormat="1">
      <c r="R536" s="702"/>
      <c r="S536" s="702"/>
      <c r="T536" s="702"/>
      <c r="U536" s="702"/>
      <c r="V536" s="702"/>
      <c r="W536" s="702"/>
      <c r="X536" s="703"/>
    </row>
    <row r="537" spans="18:24" s="701" customFormat="1">
      <c r="R537" s="702"/>
      <c r="S537" s="702"/>
      <c r="T537" s="702"/>
      <c r="U537" s="702"/>
      <c r="V537" s="702"/>
      <c r="W537" s="702"/>
      <c r="X537" s="703"/>
    </row>
    <row r="538" spans="18:24" s="701" customFormat="1">
      <c r="R538" s="702"/>
      <c r="S538" s="702"/>
      <c r="T538" s="702"/>
      <c r="U538" s="702"/>
      <c r="V538" s="702"/>
      <c r="W538" s="702"/>
      <c r="X538" s="703"/>
    </row>
    <row r="539" spans="18:24" s="701" customFormat="1">
      <c r="R539" s="702"/>
      <c r="S539" s="702"/>
      <c r="T539" s="702"/>
      <c r="U539" s="702"/>
      <c r="V539" s="702"/>
      <c r="W539" s="702"/>
      <c r="X539" s="703"/>
    </row>
    <row r="540" spans="18:24" s="701" customFormat="1">
      <c r="R540" s="702"/>
      <c r="S540" s="702"/>
      <c r="T540" s="702"/>
      <c r="U540" s="702"/>
      <c r="V540" s="702"/>
      <c r="W540" s="702"/>
      <c r="X540" s="703"/>
    </row>
    <row r="541" spans="18:24" s="701" customFormat="1">
      <c r="R541" s="702"/>
      <c r="S541" s="702"/>
      <c r="T541" s="702"/>
      <c r="U541" s="702"/>
      <c r="V541" s="702"/>
      <c r="W541" s="702"/>
      <c r="X541" s="703"/>
    </row>
    <row r="542" spans="18:24" s="701" customFormat="1">
      <c r="R542" s="702"/>
      <c r="S542" s="702"/>
      <c r="T542" s="702"/>
      <c r="U542" s="702"/>
      <c r="V542" s="702"/>
      <c r="W542" s="702"/>
      <c r="X542" s="703"/>
    </row>
    <row r="543" spans="18:24" s="701" customFormat="1">
      <c r="R543" s="702"/>
      <c r="S543" s="702"/>
      <c r="T543" s="702"/>
      <c r="U543" s="702"/>
      <c r="V543" s="702"/>
      <c r="W543" s="702"/>
      <c r="X543" s="703"/>
    </row>
    <row r="544" spans="18:24" s="701" customFormat="1">
      <c r="R544" s="702"/>
      <c r="S544" s="702"/>
      <c r="T544" s="702"/>
      <c r="U544" s="702"/>
      <c r="V544" s="702"/>
      <c r="W544" s="702"/>
      <c r="X544" s="703"/>
    </row>
    <row r="545" spans="18:24" s="701" customFormat="1">
      <c r="R545" s="702"/>
      <c r="S545" s="702"/>
      <c r="T545" s="702"/>
      <c r="U545" s="702"/>
      <c r="V545" s="702"/>
      <c r="W545" s="702"/>
      <c r="X545" s="703"/>
    </row>
    <row r="546" spans="18:24" s="701" customFormat="1">
      <c r="R546" s="702"/>
      <c r="S546" s="702"/>
      <c r="T546" s="702"/>
      <c r="U546" s="702"/>
      <c r="V546" s="702"/>
      <c r="W546" s="702"/>
      <c r="X546" s="703"/>
    </row>
    <row r="547" spans="18:24" s="701" customFormat="1">
      <c r="R547" s="702"/>
      <c r="S547" s="702"/>
      <c r="T547" s="702"/>
      <c r="U547" s="702"/>
      <c r="V547" s="702"/>
      <c r="W547" s="702"/>
      <c r="X547" s="703"/>
    </row>
    <row r="548" spans="18:24" s="701" customFormat="1">
      <c r="R548" s="702"/>
      <c r="S548" s="702"/>
      <c r="T548" s="702"/>
      <c r="U548" s="702"/>
      <c r="V548" s="702"/>
      <c r="W548" s="702"/>
      <c r="X548" s="703"/>
    </row>
    <row r="549" spans="18:24" s="701" customFormat="1">
      <c r="R549" s="702"/>
      <c r="S549" s="702"/>
      <c r="T549" s="702"/>
      <c r="U549" s="702"/>
      <c r="V549" s="702"/>
      <c r="W549" s="702"/>
      <c r="X549" s="703"/>
    </row>
    <row r="550" spans="18:24" s="701" customFormat="1">
      <c r="R550" s="702"/>
      <c r="S550" s="702"/>
      <c r="T550" s="702"/>
      <c r="U550" s="702"/>
      <c r="V550" s="702"/>
      <c r="W550" s="702"/>
      <c r="X550" s="703"/>
    </row>
    <row r="551" spans="18:24" s="701" customFormat="1">
      <c r="R551" s="702"/>
      <c r="S551" s="702"/>
      <c r="T551" s="702"/>
      <c r="U551" s="702"/>
      <c r="V551" s="702"/>
      <c r="W551" s="702"/>
      <c r="X551" s="703"/>
    </row>
    <row r="552" spans="18:24" s="701" customFormat="1">
      <c r="R552" s="702"/>
      <c r="S552" s="702"/>
      <c r="T552" s="702"/>
      <c r="U552" s="702"/>
      <c r="V552" s="702"/>
      <c r="W552" s="702"/>
      <c r="X552" s="703"/>
    </row>
    <row r="553" spans="18:24" s="701" customFormat="1">
      <c r="R553" s="702"/>
      <c r="S553" s="702"/>
      <c r="T553" s="702"/>
      <c r="U553" s="702"/>
      <c r="V553" s="702"/>
      <c r="W553" s="702"/>
      <c r="X553" s="703"/>
    </row>
    <row r="554" spans="18:24" s="701" customFormat="1">
      <c r="R554" s="702"/>
      <c r="S554" s="702"/>
      <c r="T554" s="702"/>
      <c r="U554" s="702"/>
      <c r="V554" s="702"/>
      <c r="W554" s="702"/>
      <c r="X554" s="703"/>
    </row>
    <row r="555" spans="18:24" s="701" customFormat="1">
      <c r="R555" s="702"/>
      <c r="S555" s="702"/>
      <c r="T555" s="702"/>
      <c r="U555" s="702"/>
      <c r="V555" s="702"/>
      <c r="W555" s="702"/>
      <c r="X555" s="703"/>
    </row>
    <row r="556" spans="18:24" s="701" customFormat="1">
      <c r="R556" s="702"/>
      <c r="S556" s="702"/>
      <c r="T556" s="702"/>
      <c r="U556" s="702"/>
      <c r="V556" s="702"/>
      <c r="W556" s="702"/>
      <c r="X556" s="703"/>
    </row>
    <row r="557" spans="18:24" s="701" customFormat="1">
      <c r="R557" s="702"/>
      <c r="S557" s="702"/>
      <c r="T557" s="702"/>
      <c r="U557" s="702"/>
      <c r="V557" s="702"/>
      <c r="W557" s="702"/>
      <c r="X557" s="703"/>
    </row>
    <row r="558" spans="18:24" s="701" customFormat="1">
      <c r="R558" s="702"/>
      <c r="S558" s="702"/>
      <c r="T558" s="702"/>
      <c r="U558" s="702"/>
      <c r="V558" s="702"/>
      <c r="W558" s="702"/>
      <c r="X558" s="703"/>
    </row>
    <row r="559" spans="18:24" s="701" customFormat="1">
      <c r="R559" s="702"/>
      <c r="S559" s="702"/>
      <c r="T559" s="702"/>
      <c r="U559" s="702"/>
      <c r="V559" s="702"/>
      <c r="W559" s="702"/>
      <c r="X559" s="703"/>
    </row>
    <row r="560" spans="18:24" s="701" customFormat="1">
      <c r="R560" s="702"/>
      <c r="S560" s="702"/>
      <c r="T560" s="702"/>
      <c r="U560" s="702"/>
      <c r="V560" s="702"/>
      <c r="W560" s="702"/>
      <c r="X560" s="703"/>
    </row>
    <row r="561" spans="18:24" s="701" customFormat="1">
      <c r="R561" s="702"/>
      <c r="S561" s="702"/>
      <c r="T561" s="702"/>
      <c r="U561" s="702"/>
      <c r="V561" s="702"/>
      <c r="W561" s="702"/>
      <c r="X561" s="703"/>
    </row>
    <row r="562" spans="18:24" s="701" customFormat="1">
      <c r="R562" s="702"/>
      <c r="S562" s="702"/>
      <c r="T562" s="702"/>
      <c r="U562" s="702"/>
      <c r="V562" s="702"/>
      <c r="W562" s="702"/>
      <c r="X562" s="703"/>
    </row>
    <row r="563" spans="18:24" s="701" customFormat="1">
      <c r="R563" s="702"/>
      <c r="S563" s="702"/>
      <c r="T563" s="702"/>
      <c r="U563" s="702"/>
      <c r="V563" s="702"/>
      <c r="W563" s="702"/>
      <c r="X563" s="703"/>
    </row>
    <row r="564" spans="18:24" s="701" customFormat="1">
      <c r="R564" s="702"/>
      <c r="S564" s="702"/>
      <c r="T564" s="702"/>
      <c r="U564" s="702"/>
      <c r="V564" s="702"/>
      <c r="W564" s="702"/>
      <c r="X564" s="703"/>
    </row>
    <row r="565" spans="18:24" s="701" customFormat="1">
      <c r="R565" s="702"/>
      <c r="S565" s="702"/>
      <c r="T565" s="702"/>
      <c r="U565" s="702"/>
      <c r="V565" s="702"/>
      <c r="W565" s="702"/>
      <c r="X565" s="703"/>
    </row>
    <row r="566" spans="18:24" s="701" customFormat="1">
      <c r="R566" s="702"/>
      <c r="S566" s="702"/>
      <c r="T566" s="702"/>
      <c r="U566" s="702"/>
      <c r="V566" s="702"/>
      <c r="W566" s="702"/>
      <c r="X566" s="703"/>
    </row>
    <row r="567" spans="18:24" s="701" customFormat="1">
      <c r="R567" s="702"/>
      <c r="S567" s="702"/>
      <c r="T567" s="702"/>
      <c r="U567" s="702"/>
      <c r="V567" s="702"/>
      <c r="W567" s="702"/>
      <c r="X567" s="703"/>
    </row>
    <row r="568" spans="18:24" s="701" customFormat="1">
      <c r="R568" s="702"/>
      <c r="S568" s="702"/>
      <c r="T568" s="702"/>
      <c r="U568" s="702"/>
      <c r="V568" s="702"/>
      <c r="W568" s="702"/>
      <c r="X568" s="703"/>
    </row>
    <row r="569" spans="18:24" s="701" customFormat="1">
      <c r="R569" s="702"/>
      <c r="S569" s="702"/>
      <c r="T569" s="702"/>
      <c r="U569" s="702"/>
      <c r="V569" s="702"/>
      <c r="W569" s="702"/>
      <c r="X569" s="703"/>
    </row>
    <row r="570" spans="18:24" s="701" customFormat="1">
      <c r="R570" s="702"/>
      <c r="S570" s="702"/>
      <c r="T570" s="702"/>
      <c r="U570" s="702"/>
      <c r="V570" s="702"/>
      <c r="W570" s="702"/>
      <c r="X570" s="703"/>
    </row>
    <row r="571" spans="18:24" s="701" customFormat="1">
      <c r="R571" s="702"/>
      <c r="S571" s="702"/>
      <c r="T571" s="702"/>
      <c r="U571" s="702"/>
      <c r="V571" s="702"/>
      <c r="W571" s="702"/>
      <c r="X571" s="703"/>
    </row>
    <row r="572" spans="18:24" s="701" customFormat="1">
      <c r="R572" s="702"/>
      <c r="S572" s="702"/>
      <c r="T572" s="702"/>
      <c r="U572" s="702"/>
      <c r="V572" s="702"/>
      <c r="W572" s="702"/>
      <c r="X572" s="703"/>
    </row>
    <row r="573" spans="18:24" s="701" customFormat="1">
      <c r="R573" s="702"/>
      <c r="S573" s="702"/>
      <c r="T573" s="702"/>
      <c r="U573" s="702"/>
      <c r="V573" s="702"/>
      <c r="W573" s="702"/>
      <c r="X573" s="703"/>
    </row>
    <row r="574" spans="18:24" s="701" customFormat="1">
      <c r="R574" s="702"/>
      <c r="S574" s="702"/>
      <c r="T574" s="702"/>
      <c r="U574" s="702"/>
      <c r="V574" s="702"/>
      <c r="W574" s="702"/>
      <c r="X574" s="703"/>
    </row>
    <row r="575" spans="18:24" s="701" customFormat="1">
      <c r="R575" s="702"/>
      <c r="S575" s="702"/>
      <c r="T575" s="702"/>
      <c r="U575" s="702"/>
      <c r="V575" s="702"/>
      <c r="W575" s="702"/>
      <c r="X575" s="703"/>
    </row>
    <row r="576" spans="18:24" s="701" customFormat="1">
      <c r="R576" s="702"/>
      <c r="S576" s="702"/>
      <c r="T576" s="702"/>
      <c r="U576" s="702"/>
      <c r="V576" s="702"/>
      <c r="W576" s="702"/>
      <c r="X576" s="703"/>
    </row>
    <row r="577" spans="18:24" s="701" customFormat="1">
      <c r="R577" s="702"/>
      <c r="S577" s="702"/>
      <c r="T577" s="702"/>
      <c r="U577" s="702"/>
      <c r="V577" s="702"/>
      <c r="W577" s="702"/>
      <c r="X577" s="703"/>
    </row>
    <row r="578" spans="18:24" s="701" customFormat="1">
      <c r="R578" s="702"/>
      <c r="S578" s="702"/>
      <c r="T578" s="702"/>
      <c r="U578" s="702"/>
      <c r="V578" s="702"/>
      <c r="W578" s="702"/>
      <c r="X578" s="703"/>
    </row>
    <row r="579" spans="18:24" s="701" customFormat="1">
      <c r="R579" s="702"/>
      <c r="S579" s="702"/>
      <c r="T579" s="702"/>
      <c r="U579" s="702"/>
      <c r="V579" s="702"/>
      <c r="W579" s="702"/>
      <c r="X579" s="703"/>
    </row>
    <row r="580" spans="18:24" s="701" customFormat="1">
      <c r="R580" s="702"/>
      <c r="S580" s="702"/>
      <c r="T580" s="702"/>
      <c r="U580" s="702"/>
      <c r="V580" s="702"/>
      <c r="W580" s="702"/>
      <c r="X580" s="703"/>
    </row>
    <row r="581" spans="18:24" s="701" customFormat="1">
      <c r="R581" s="702"/>
      <c r="S581" s="702"/>
      <c r="T581" s="702"/>
      <c r="U581" s="702"/>
      <c r="V581" s="702"/>
      <c r="W581" s="702"/>
      <c r="X581" s="703"/>
    </row>
    <row r="582" spans="18:24" s="701" customFormat="1">
      <c r="R582" s="702"/>
      <c r="S582" s="702"/>
      <c r="T582" s="702"/>
      <c r="U582" s="702"/>
      <c r="V582" s="702"/>
      <c r="W582" s="702"/>
      <c r="X582" s="703"/>
    </row>
    <row r="583" spans="18:24" s="701" customFormat="1">
      <c r="R583" s="702"/>
      <c r="S583" s="702"/>
      <c r="T583" s="702"/>
      <c r="U583" s="702"/>
      <c r="V583" s="702"/>
      <c r="W583" s="702"/>
      <c r="X583" s="703"/>
    </row>
    <row r="584" spans="18:24" s="701" customFormat="1">
      <c r="R584" s="702"/>
      <c r="S584" s="702"/>
      <c r="T584" s="702"/>
      <c r="U584" s="702"/>
      <c r="V584" s="702"/>
      <c r="W584" s="702"/>
      <c r="X584" s="703"/>
    </row>
    <row r="585" spans="18:24" s="701" customFormat="1">
      <c r="R585" s="702"/>
      <c r="S585" s="702"/>
      <c r="T585" s="702"/>
      <c r="U585" s="702"/>
      <c r="V585" s="702"/>
      <c r="W585" s="702"/>
      <c r="X585" s="703"/>
    </row>
    <row r="586" spans="18:24" s="701" customFormat="1">
      <c r="R586" s="702"/>
      <c r="S586" s="702"/>
      <c r="T586" s="702"/>
      <c r="U586" s="702"/>
      <c r="V586" s="702"/>
      <c r="W586" s="702"/>
      <c r="X586" s="703"/>
    </row>
    <row r="587" spans="18:24" s="701" customFormat="1">
      <c r="R587" s="702"/>
      <c r="S587" s="702"/>
      <c r="T587" s="702"/>
      <c r="U587" s="702"/>
      <c r="V587" s="702"/>
      <c r="W587" s="702"/>
      <c r="X587" s="703"/>
    </row>
    <row r="588" spans="18:24" s="701" customFormat="1">
      <c r="R588" s="702"/>
      <c r="S588" s="702"/>
      <c r="T588" s="702"/>
      <c r="U588" s="702"/>
      <c r="V588" s="702"/>
      <c r="W588" s="702"/>
      <c r="X588" s="703"/>
    </row>
    <row r="589" spans="18:24" s="701" customFormat="1">
      <c r="R589" s="702"/>
      <c r="S589" s="702"/>
      <c r="T589" s="702"/>
      <c r="U589" s="702"/>
      <c r="V589" s="702"/>
      <c r="W589" s="702"/>
      <c r="X589" s="703"/>
    </row>
    <row r="590" spans="18:24" s="701" customFormat="1">
      <c r="R590" s="702"/>
      <c r="S590" s="702"/>
      <c r="T590" s="702"/>
      <c r="U590" s="702"/>
      <c r="V590" s="702"/>
      <c r="W590" s="702"/>
      <c r="X590" s="703"/>
    </row>
    <row r="591" spans="18:24" s="701" customFormat="1">
      <c r="R591" s="702"/>
      <c r="S591" s="702"/>
      <c r="T591" s="702"/>
      <c r="U591" s="702"/>
      <c r="V591" s="702"/>
      <c r="W591" s="702"/>
      <c r="X591" s="703"/>
    </row>
    <row r="592" spans="18:24" s="701" customFormat="1">
      <c r="R592" s="702"/>
      <c r="S592" s="702"/>
      <c r="T592" s="702"/>
      <c r="U592" s="702"/>
      <c r="V592" s="702"/>
      <c r="W592" s="702"/>
      <c r="X592" s="703"/>
    </row>
    <row r="593" spans="18:24" s="701" customFormat="1">
      <c r="R593" s="702"/>
      <c r="S593" s="702"/>
      <c r="T593" s="702"/>
      <c r="U593" s="702"/>
      <c r="V593" s="702"/>
      <c r="W593" s="702"/>
      <c r="X593" s="703"/>
    </row>
    <row r="594" spans="18:24" s="701" customFormat="1">
      <c r="R594" s="702"/>
      <c r="S594" s="702"/>
      <c r="T594" s="702"/>
      <c r="U594" s="702"/>
      <c r="V594" s="702"/>
      <c r="W594" s="702"/>
      <c r="X594" s="703"/>
    </row>
    <row r="595" spans="18:24" s="701" customFormat="1">
      <c r="R595" s="702"/>
      <c r="S595" s="702"/>
      <c r="T595" s="702"/>
      <c r="U595" s="702"/>
      <c r="V595" s="702"/>
      <c r="W595" s="702"/>
      <c r="X595" s="703"/>
    </row>
    <row r="596" spans="18:24" s="701" customFormat="1">
      <c r="R596" s="702"/>
      <c r="S596" s="702"/>
      <c r="T596" s="702"/>
      <c r="U596" s="702"/>
      <c r="V596" s="702"/>
      <c r="W596" s="702"/>
      <c r="X596" s="703"/>
    </row>
    <row r="597" spans="18:24" s="701" customFormat="1">
      <c r="R597" s="702"/>
      <c r="S597" s="702"/>
      <c r="T597" s="702"/>
      <c r="U597" s="702"/>
      <c r="V597" s="702"/>
      <c r="W597" s="702"/>
      <c r="X597" s="703"/>
    </row>
    <row r="598" spans="18:24" s="701" customFormat="1">
      <c r="R598" s="702"/>
      <c r="S598" s="702"/>
      <c r="T598" s="702"/>
      <c r="U598" s="702"/>
      <c r="V598" s="702"/>
      <c r="W598" s="702"/>
      <c r="X598" s="703"/>
    </row>
    <row r="599" spans="18:24" s="701" customFormat="1">
      <c r="R599" s="702"/>
      <c r="S599" s="702"/>
      <c r="T599" s="702"/>
      <c r="U599" s="702"/>
      <c r="V599" s="702"/>
      <c r="W599" s="702"/>
      <c r="X599" s="703"/>
    </row>
    <row r="600" spans="18:24" s="701" customFormat="1">
      <c r="R600" s="702"/>
      <c r="S600" s="702"/>
      <c r="T600" s="702"/>
      <c r="U600" s="702"/>
      <c r="V600" s="702"/>
      <c r="W600" s="702"/>
      <c r="X600" s="703"/>
    </row>
    <row r="601" spans="18:24" s="701" customFormat="1">
      <c r="R601" s="702"/>
      <c r="S601" s="702"/>
      <c r="T601" s="702"/>
      <c r="U601" s="702"/>
      <c r="V601" s="702"/>
      <c r="W601" s="702"/>
      <c r="X601" s="703"/>
    </row>
    <row r="602" spans="18:24" s="701" customFormat="1">
      <c r="R602" s="702"/>
      <c r="S602" s="702"/>
      <c r="T602" s="702"/>
      <c r="U602" s="702"/>
      <c r="V602" s="702"/>
      <c r="W602" s="702"/>
      <c r="X602" s="703"/>
    </row>
    <row r="603" spans="18:24" s="701" customFormat="1">
      <c r="R603" s="702"/>
      <c r="S603" s="702"/>
      <c r="T603" s="702"/>
      <c r="U603" s="702"/>
      <c r="V603" s="702"/>
      <c r="W603" s="702"/>
      <c r="X603" s="703"/>
    </row>
    <row r="604" spans="18:24" s="701" customFormat="1">
      <c r="R604" s="702"/>
      <c r="S604" s="702"/>
      <c r="T604" s="702"/>
      <c r="U604" s="702"/>
      <c r="V604" s="702"/>
      <c r="W604" s="702"/>
      <c r="X604" s="703"/>
    </row>
    <row r="605" spans="18:24" s="701" customFormat="1">
      <c r="R605" s="702"/>
      <c r="S605" s="702"/>
      <c r="T605" s="702"/>
      <c r="U605" s="702"/>
      <c r="V605" s="702"/>
      <c r="W605" s="702"/>
      <c r="X605" s="703"/>
    </row>
    <row r="606" spans="18:24" s="701" customFormat="1">
      <c r="R606" s="702"/>
      <c r="S606" s="702"/>
      <c r="T606" s="702"/>
      <c r="U606" s="702"/>
      <c r="V606" s="702"/>
      <c r="W606" s="702"/>
      <c r="X606" s="703"/>
    </row>
    <row r="607" spans="18:24" s="701" customFormat="1">
      <c r="R607" s="702"/>
      <c r="S607" s="702"/>
      <c r="T607" s="702"/>
      <c r="U607" s="702"/>
      <c r="V607" s="702"/>
      <c r="W607" s="702"/>
      <c r="X607" s="703"/>
    </row>
    <row r="608" spans="18:24" s="701" customFormat="1">
      <c r="R608" s="702"/>
      <c r="S608" s="702"/>
      <c r="T608" s="702"/>
      <c r="U608" s="702"/>
      <c r="V608" s="702"/>
      <c r="W608" s="702"/>
      <c r="X608" s="703"/>
    </row>
    <row r="609" spans="18:24" s="701" customFormat="1">
      <c r="R609" s="702"/>
      <c r="S609" s="702"/>
      <c r="T609" s="702"/>
      <c r="U609" s="702"/>
      <c r="V609" s="702"/>
      <c r="W609" s="702"/>
      <c r="X609" s="703"/>
    </row>
    <row r="610" spans="18:24" s="701" customFormat="1">
      <c r="R610" s="702"/>
      <c r="S610" s="702"/>
      <c r="T610" s="702"/>
      <c r="U610" s="702"/>
      <c r="V610" s="702"/>
      <c r="W610" s="702"/>
      <c r="X610" s="703"/>
    </row>
    <row r="611" spans="18:24" s="701" customFormat="1">
      <c r="R611" s="702"/>
      <c r="S611" s="702"/>
      <c r="T611" s="702"/>
      <c r="U611" s="702"/>
      <c r="V611" s="702"/>
      <c r="W611" s="702"/>
      <c r="X611" s="703"/>
    </row>
    <row r="612" spans="18:24" s="701" customFormat="1">
      <c r="R612" s="702"/>
      <c r="S612" s="702"/>
      <c r="T612" s="702"/>
      <c r="U612" s="702"/>
      <c r="V612" s="702"/>
      <c r="W612" s="702"/>
      <c r="X612" s="703"/>
    </row>
    <row r="613" spans="18:24" s="701" customFormat="1">
      <c r="R613" s="702"/>
      <c r="S613" s="702"/>
      <c r="T613" s="702"/>
      <c r="U613" s="702"/>
      <c r="V613" s="702"/>
      <c r="W613" s="702"/>
      <c r="X613" s="703"/>
    </row>
    <row r="614" spans="18:24" s="701" customFormat="1">
      <c r="R614" s="702"/>
      <c r="S614" s="702"/>
      <c r="T614" s="702"/>
      <c r="U614" s="702"/>
      <c r="V614" s="702"/>
      <c r="W614" s="702"/>
      <c r="X614" s="703"/>
    </row>
    <row r="615" spans="18:24" s="701" customFormat="1">
      <c r="R615" s="702"/>
      <c r="S615" s="702"/>
      <c r="T615" s="702"/>
      <c r="U615" s="702"/>
      <c r="V615" s="702"/>
      <c r="W615" s="702"/>
      <c r="X615" s="703"/>
    </row>
    <row r="616" spans="18:24" s="701" customFormat="1">
      <c r="R616" s="702"/>
      <c r="S616" s="702"/>
      <c r="T616" s="702"/>
      <c r="U616" s="702"/>
      <c r="V616" s="702"/>
      <c r="W616" s="702"/>
      <c r="X616" s="703"/>
    </row>
    <row r="617" spans="18:24" s="701" customFormat="1">
      <c r="R617" s="702"/>
      <c r="S617" s="702"/>
      <c r="T617" s="702"/>
      <c r="U617" s="702"/>
      <c r="V617" s="702"/>
      <c r="W617" s="702"/>
      <c r="X617" s="703"/>
    </row>
    <row r="618" spans="18:24" s="701" customFormat="1">
      <c r="R618" s="702"/>
      <c r="S618" s="702"/>
      <c r="T618" s="702"/>
      <c r="U618" s="702"/>
      <c r="V618" s="702"/>
      <c r="W618" s="702"/>
      <c r="X618" s="703"/>
    </row>
    <row r="619" spans="18:24" s="701" customFormat="1">
      <c r="R619" s="702"/>
      <c r="S619" s="702"/>
      <c r="T619" s="702"/>
      <c r="U619" s="702"/>
      <c r="V619" s="702"/>
      <c r="W619" s="702"/>
      <c r="X619" s="703"/>
    </row>
    <row r="620" spans="18:24" s="701" customFormat="1">
      <c r="R620" s="702"/>
      <c r="S620" s="702"/>
      <c r="T620" s="702"/>
      <c r="U620" s="702"/>
      <c r="V620" s="702"/>
      <c r="W620" s="702"/>
      <c r="X620" s="703"/>
    </row>
    <row r="621" spans="18:24" s="701" customFormat="1">
      <c r="R621" s="702"/>
      <c r="S621" s="702"/>
      <c r="T621" s="702"/>
      <c r="U621" s="702"/>
      <c r="V621" s="702"/>
      <c r="W621" s="702"/>
      <c r="X621" s="703"/>
    </row>
    <row r="622" spans="18:24" s="701" customFormat="1">
      <c r="R622" s="702"/>
      <c r="S622" s="702"/>
      <c r="T622" s="702"/>
      <c r="U622" s="702"/>
      <c r="V622" s="702"/>
      <c r="W622" s="702"/>
      <c r="X622" s="703"/>
    </row>
    <row r="623" spans="18:24" s="701" customFormat="1">
      <c r="R623" s="702"/>
      <c r="S623" s="702"/>
      <c r="T623" s="702"/>
      <c r="U623" s="702"/>
      <c r="V623" s="702"/>
      <c r="W623" s="702"/>
      <c r="X623" s="703"/>
    </row>
    <row r="624" spans="18:24" s="701" customFormat="1">
      <c r="R624" s="702"/>
      <c r="S624" s="702"/>
      <c r="T624" s="702"/>
      <c r="U624" s="702"/>
      <c r="V624" s="702"/>
      <c r="W624" s="702"/>
      <c r="X624" s="703"/>
    </row>
    <row r="625" spans="18:24" s="701" customFormat="1">
      <c r="R625" s="702"/>
      <c r="S625" s="702"/>
      <c r="T625" s="702"/>
      <c r="U625" s="702"/>
      <c r="V625" s="702"/>
      <c r="W625" s="702"/>
      <c r="X625" s="703"/>
    </row>
    <row r="626" spans="18:24" s="701" customFormat="1">
      <c r="R626" s="702"/>
      <c r="S626" s="702"/>
      <c r="T626" s="702"/>
      <c r="U626" s="702"/>
      <c r="V626" s="702"/>
      <c r="W626" s="702"/>
      <c r="X626" s="703"/>
    </row>
    <row r="627" spans="18:24" s="701" customFormat="1">
      <c r="R627" s="702"/>
      <c r="S627" s="702"/>
      <c r="T627" s="702"/>
      <c r="U627" s="702"/>
      <c r="V627" s="702"/>
      <c r="W627" s="702"/>
      <c r="X627" s="703"/>
    </row>
    <row r="628" spans="18:24" s="701" customFormat="1">
      <c r="R628" s="702"/>
      <c r="S628" s="702"/>
      <c r="T628" s="702"/>
      <c r="U628" s="702"/>
      <c r="V628" s="702"/>
      <c r="W628" s="702"/>
      <c r="X628" s="703"/>
    </row>
    <row r="629" spans="18:24" s="701" customFormat="1">
      <c r="R629" s="702"/>
      <c r="S629" s="702"/>
      <c r="T629" s="702"/>
      <c r="U629" s="702"/>
      <c r="V629" s="702"/>
      <c r="W629" s="702"/>
      <c r="X629" s="703"/>
    </row>
    <row r="630" spans="18:24" s="701" customFormat="1">
      <c r="R630" s="702"/>
      <c r="S630" s="702"/>
      <c r="T630" s="702"/>
      <c r="U630" s="702"/>
      <c r="V630" s="702"/>
      <c r="W630" s="702"/>
      <c r="X630" s="703"/>
    </row>
    <row r="631" spans="18:24" s="701" customFormat="1">
      <c r="R631" s="702"/>
      <c r="S631" s="702"/>
      <c r="T631" s="702"/>
      <c r="U631" s="702"/>
      <c r="V631" s="702"/>
      <c r="W631" s="702"/>
      <c r="X631" s="703"/>
    </row>
    <row r="632" spans="18:24" s="701" customFormat="1">
      <c r="R632" s="702"/>
      <c r="S632" s="702"/>
      <c r="T632" s="702"/>
      <c r="U632" s="702"/>
      <c r="V632" s="702"/>
      <c r="W632" s="702"/>
      <c r="X632" s="703"/>
    </row>
    <row r="633" spans="18:24" s="701" customFormat="1">
      <c r="R633" s="702"/>
      <c r="S633" s="702"/>
      <c r="T633" s="702"/>
      <c r="U633" s="702"/>
      <c r="V633" s="702"/>
      <c r="W633" s="702"/>
      <c r="X633" s="703"/>
    </row>
    <row r="634" spans="18:24" s="701" customFormat="1">
      <c r="R634" s="702"/>
      <c r="S634" s="702"/>
      <c r="T634" s="702"/>
      <c r="U634" s="702"/>
      <c r="V634" s="702"/>
      <c r="W634" s="702"/>
      <c r="X634" s="703"/>
    </row>
    <row r="635" spans="18:24" s="701" customFormat="1">
      <c r="R635" s="702"/>
      <c r="S635" s="702"/>
      <c r="T635" s="702"/>
      <c r="U635" s="702"/>
      <c r="V635" s="702"/>
      <c r="W635" s="702"/>
      <c r="X635" s="703"/>
    </row>
    <row r="636" spans="18:24" s="701" customFormat="1">
      <c r="R636" s="702"/>
      <c r="S636" s="702"/>
      <c r="T636" s="702"/>
      <c r="U636" s="702"/>
      <c r="V636" s="702"/>
      <c r="W636" s="702"/>
      <c r="X636" s="703"/>
    </row>
    <row r="637" spans="18:24" s="701" customFormat="1">
      <c r="R637" s="702"/>
      <c r="S637" s="702"/>
      <c r="T637" s="702"/>
      <c r="U637" s="702"/>
      <c r="V637" s="702"/>
      <c r="W637" s="702"/>
      <c r="X637" s="703"/>
    </row>
    <row r="638" spans="18:24" s="701" customFormat="1">
      <c r="R638" s="702"/>
      <c r="S638" s="702"/>
      <c r="T638" s="702"/>
      <c r="U638" s="702"/>
      <c r="V638" s="702"/>
      <c r="W638" s="702"/>
      <c r="X638" s="703"/>
    </row>
    <row r="639" spans="18:24" s="701" customFormat="1">
      <c r="R639" s="702"/>
      <c r="S639" s="702"/>
      <c r="T639" s="702"/>
      <c r="U639" s="702"/>
      <c r="V639" s="702"/>
      <c r="W639" s="702"/>
      <c r="X639" s="703"/>
    </row>
    <row r="640" spans="18:24" s="701" customFormat="1">
      <c r="R640" s="702"/>
      <c r="S640" s="702"/>
      <c r="T640" s="702"/>
      <c r="U640" s="702"/>
      <c r="V640" s="702"/>
      <c r="W640" s="702"/>
      <c r="X640" s="703"/>
    </row>
    <row r="641" spans="18:24" s="701" customFormat="1">
      <c r="R641" s="702"/>
      <c r="S641" s="702"/>
      <c r="T641" s="702"/>
      <c r="U641" s="702"/>
      <c r="V641" s="702"/>
      <c r="W641" s="702"/>
      <c r="X641" s="703"/>
    </row>
    <row r="642" spans="18:24" s="701" customFormat="1">
      <c r="R642" s="702"/>
      <c r="S642" s="702"/>
      <c r="T642" s="702"/>
      <c r="U642" s="702"/>
      <c r="V642" s="702"/>
      <c r="W642" s="702"/>
      <c r="X642" s="703"/>
    </row>
    <row r="643" spans="18:24" s="701" customFormat="1">
      <c r="R643" s="702"/>
      <c r="S643" s="702"/>
      <c r="T643" s="702"/>
      <c r="U643" s="702"/>
      <c r="V643" s="702"/>
      <c r="W643" s="702"/>
      <c r="X643" s="703"/>
    </row>
    <row r="644" spans="18:24" s="701" customFormat="1">
      <c r="R644" s="702"/>
      <c r="S644" s="702"/>
      <c r="T644" s="702"/>
      <c r="U644" s="702"/>
      <c r="V644" s="702"/>
      <c r="W644" s="702"/>
      <c r="X644" s="703"/>
    </row>
    <row r="645" spans="18:24" s="701" customFormat="1">
      <c r="R645" s="702"/>
      <c r="S645" s="702"/>
      <c r="T645" s="702"/>
      <c r="U645" s="702"/>
      <c r="V645" s="702"/>
      <c r="W645" s="702"/>
      <c r="X645" s="703"/>
    </row>
    <row r="646" spans="18:24" s="701" customFormat="1">
      <c r="R646" s="702"/>
      <c r="S646" s="702"/>
      <c r="T646" s="702"/>
      <c r="U646" s="702"/>
      <c r="V646" s="702"/>
      <c r="W646" s="702"/>
      <c r="X646" s="703"/>
    </row>
    <row r="647" spans="18:24" s="701" customFormat="1">
      <c r="R647" s="702"/>
      <c r="S647" s="702"/>
      <c r="T647" s="702"/>
      <c r="U647" s="702"/>
      <c r="V647" s="702"/>
      <c r="W647" s="702"/>
      <c r="X647" s="703"/>
    </row>
    <row r="648" spans="18:24" s="701" customFormat="1">
      <c r="R648" s="702"/>
      <c r="S648" s="702"/>
      <c r="T648" s="702"/>
      <c r="U648" s="702"/>
      <c r="V648" s="702"/>
      <c r="W648" s="702"/>
      <c r="X648" s="703"/>
    </row>
    <row r="649" spans="18:24" s="701" customFormat="1">
      <c r="R649" s="702"/>
      <c r="S649" s="702"/>
      <c r="T649" s="702"/>
      <c r="U649" s="702"/>
      <c r="V649" s="702"/>
      <c r="W649" s="702"/>
      <c r="X649" s="703"/>
    </row>
    <row r="650" spans="18:24" s="701" customFormat="1">
      <c r="R650" s="702"/>
      <c r="S650" s="702"/>
      <c r="T650" s="702"/>
      <c r="U650" s="702"/>
      <c r="V650" s="702"/>
      <c r="W650" s="702"/>
      <c r="X650" s="703"/>
    </row>
    <row r="651" spans="18:24" s="701" customFormat="1">
      <c r="R651" s="702"/>
      <c r="S651" s="702"/>
      <c r="T651" s="702"/>
      <c r="U651" s="702"/>
      <c r="V651" s="702"/>
      <c r="W651" s="702"/>
      <c r="X651" s="703"/>
    </row>
    <row r="652" spans="18:24" s="701" customFormat="1">
      <c r="R652" s="702"/>
      <c r="S652" s="702"/>
      <c r="T652" s="702"/>
      <c r="U652" s="702"/>
      <c r="V652" s="702"/>
      <c r="W652" s="702"/>
      <c r="X652" s="703"/>
    </row>
    <row r="653" spans="18:24" s="701" customFormat="1">
      <c r="R653" s="702"/>
      <c r="S653" s="702"/>
      <c r="T653" s="702"/>
      <c r="U653" s="702"/>
      <c r="V653" s="702"/>
      <c r="W653" s="702"/>
      <c r="X653" s="703"/>
    </row>
    <row r="654" spans="18:24" s="701" customFormat="1">
      <c r="R654" s="702"/>
      <c r="S654" s="702"/>
      <c r="T654" s="702"/>
      <c r="U654" s="702"/>
      <c r="V654" s="702"/>
      <c r="W654" s="702"/>
      <c r="X654" s="703"/>
    </row>
    <row r="655" spans="18:24" s="701" customFormat="1">
      <c r="R655" s="702"/>
      <c r="S655" s="702"/>
      <c r="T655" s="702"/>
      <c r="U655" s="702"/>
      <c r="V655" s="702"/>
      <c r="W655" s="702"/>
      <c r="X655" s="703"/>
    </row>
    <row r="656" spans="18:24" s="701" customFormat="1">
      <c r="R656" s="702"/>
      <c r="S656" s="702"/>
      <c r="T656" s="702"/>
      <c r="U656" s="702"/>
      <c r="V656" s="702"/>
      <c r="W656" s="702"/>
      <c r="X656" s="703"/>
    </row>
    <row r="657" spans="18:24" s="701" customFormat="1">
      <c r="R657" s="702"/>
      <c r="S657" s="702"/>
      <c r="T657" s="702"/>
      <c r="U657" s="702"/>
      <c r="V657" s="702"/>
      <c r="W657" s="702"/>
      <c r="X657" s="703"/>
    </row>
    <row r="658" spans="18:24" s="701" customFormat="1">
      <c r="R658" s="702"/>
      <c r="S658" s="702"/>
      <c r="T658" s="702"/>
      <c r="U658" s="702"/>
      <c r="V658" s="702"/>
      <c r="W658" s="702"/>
      <c r="X658" s="703"/>
    </row>
    <row r="659" spans="18:24" s="701" customFormat="1">
      <c r="R659" s="702"/>
      <c r="S659" s="702"/>
      <c r="T659" s="702"/>
      <c r="U659" s="702"/>
      <c r="V659" s="702"/>
      <c r="W659" s="702"/>
      <c r="X659" s="703"/>
    </row>
    <row r="660" spans="18:24" s="701" customFormat="1">
      <c r="R660" s="702"/>
      <c r="S660" s="702"/>
      <c r="T660" s="702"/>
      <c r="U660" s="702"/>
      <c r="V660" s="702"/>
      <c r="W660" s="702"/>
      <c r="X660" s="703"/>
    </row>
    <row r="661" spans="18:24" s="701" customFormat="1">
      <c r="R661" s="702"/>
      <c r="S661" s="702"/>
      <c r="T661" s="702"/>
      <c r="U661" s="702"/>
      <c r="V661" s="702"/>
      <c r="W661" s="702"/>
      <c r="X661" s="703"/>
    </row>
    <row r="662" spans="18:24" s="701" customFormat="1">
      <c r="R662" s="702"/>
      <c r="S662" s="702"/>
      <c r="T662" s="702"/>
      <c r="U662" s="702"/>
      <c r="V662" s="702"/>
      <c r="W662" s="702"/>
      <c r="X662" s="703"/>
    </row>
    <row r="663" spans="18:24" s="701" customFormat="1">
      <c r="R663" s="702"/>
      <c r="S663" s="702"/>
      <c r="T663" s="702"/>
      <c r="U663" s="702"/>
      <c r="V663" s="702"/>
      <c r="W663" s="702"/>
      <c r="X663" s="703"/>
    </row>
    <row r="664" spans="18:24" s="701" customFormat="1">
      <c r="R664" s="702"/>
      <c r="S664" s="702"/>
      <c r="T664" s="702"/>
      <c r="U664" s="702"/>
      <c r="V664" s="702"/>
      <c r="W664" s="702"/>
      <c r="X664" s="703"/>
    </row>
    <row r="665" spans="18:24" s="701" customFormat="1">
      <c r="R665" s="702"/>
      <c r="S665" s="702"/>
      <c r="T665" s="702"/>
      <c r="U665" s="702"/>
      <c r="V665" s="702"/>
      <c r="W665" s="702"/>
      <c r="X665" s="703"/>
    </row>
    <row r="666" spans="18:24" s="701" customFormat="1">
      <c r="R666" s="702"/>
      <c r="S666" s="702"/>
      <c r="T666" s="702"/>
      <c r="U666" s="702"/>
      <c r="V666" s="702"/>
      <c r="W666" s="702"/>
      <c r="X666" s="703"/>
    </row>
    <row r="667" spans="18:24" s="701" customFormat="1">
      <c r="R667" s="702"/>
      <c r="S667" s="702"/>
      <c r="T667" s="702"/>
      <c r="U667" s="702"/>
      <c r="V667" s="702"/>
      <c r="W667" s="702"/>
      <c r="X667" s="703"/>
    </row>
    <row r="668" spans="18:24" s="701" customFormat="1">
      <c r="R668" s="702"/>
      <c r="S668" s="702"/>
      <c r="T668" s="702"/>
      <c r="U668" s="702"/>
      <c r="V668" s="702"/>
      <c r="W668" s="702"/>
      <c r="X668" s="703"/>
    </row>
    <row r="669" spans="18:24" s="701" customFormat="1">
      <c r="R669" s="702"/>
      <c r="S669" s="702"/>
      <c r="T669" s="702"/>
      <c r="U669" s="702"/>
      <c r="V669" s="702"/>
      <c r="W669" s="702"/>
      <c r="X669" s="703"/>
    </row>
    <row r="670" spans="18:24" s="701" customFormat="1">
      <c r="R670" s="702"/>
      <c r="S670" s="702"/>
      <c r="T670" s="702"/>
      <c r="U670" s="702"/>
      <c r="V670" s="702"/>
      <c r="W670" s="702"/>
      <c r="X670" s="703"/>
    </row>
    <row r="671" spans="18:24" s="701" customFormat="1">
      <c r="R671" s="702"/>
      <c r="S671" s="702"/>
      <c r="T671" s="702"/>
      <c r="U671" s="702"/>
      <c r="V671" s="702"/>
      <c r="W671" s="702"/>
      <c r="X671" s="703"/>
    </row>
    <row r="672" spans="18:24" s="701" customFormat="1">
      <c r="R672" s="702"/>
      <c r="S672" s="702"/>
      <c r="T672" s="702"/>
      <c r="U672" s="702"/>
      <c r="V672" s="702"/>
      <c r="W672" s="702"/>
      <c r="X672" s="703"/>
    </row>
    <row r="673" spans="18:24" s="701" customFormat="1">
      <c r="R673" s="702"/>
      <c r="S673" s="702"/>
      <c r="T673" s="702"/>
      <c r="U673" s="702"/>
      <c r="V673" s="702"/>
      <c r="W673" s="702"/>
      <c r="X673" s="703"/>
    </row>
    <row r="674" spans="18:24" s="701" customFormat="1">
      <c r="R674" s="702"/>
      <c r="S674" s="702"/>
      <c r="T674" s="702"/>
      <c r="U674" s="702"/>
      <c r="V674" s="702"/>
      <c r="W674" s="702"/>
      <c r="X674" s="703"/>
    </row>
    <row r="675" spans="18:24" s="701" customFormat="1">
      <c r="R675" s="702"/>
      <c r="S675" s="702"/>
      <c r="T675" s="702"/>
      <c r="U675" s="702"/>
      <c r="V675" s="702"/>
      <c r="W675" s="702"/>
      <c r="X675" s="703"/>
    </row>
    <row r="676" spans="18:24" s="701" customFormat="1">
      <c r="R676" s="702"/>
      <c r="S676" s="702"/>
      <c r="T676" s="702"/>
      <c r="U676" s="702"/>
      <c r="V676" s="702"/>
      <c r="W676" s="702"/>
      <c r="X676" s="703"/>
    </row>
    <row r="677" spans="18:24" s="701" customFormat="1">
      <c r="R677" s="702"/>
      <c r="S677" s="702"/>
      <c r="T677" s="702"/>
      <c r="U677" s="702"/>
      <c r="V677" s="702"/>
      <c r="W677" s="702"/>
      <c r="X677" s="703"/>
    </row>
    <row r="678" spans="18:24" s="701" customFormat="1">
      <c r="R678" s="702"/>
      <c r="S678" s="702"/>
      <c r="T678" s="702"/>
      <c r="U678" s="702"/>
      <c r="V678" s="702"/>
      <c r="W678" s="702"/>
      <c r="X678" s="703"/>
    </row>
    <row r="679" spans="18:24" s="701" customFormat="1">
      <c r="R679" s="702"/>
      <c r="S679" s="702"/>
      <c r="T679" s="702"/>
      <c r="U679" s="702"/>
      <c r="V679" s="702"/>
      <c r="W679" s="702"/>
      <c r="X679" s="703"/>
    </row>
    <row r="680" spans="18:24" s="701" customFormat="1">
      <c r="R680" s="702"/>
      <c r="S680" s="702"/>
      <c r="T680" s="702"/>
      <c r="U680" s="702"/>
      <c r="V680" s="702"/>
      <c r="W680" s="702"/>
      <c r="X680" s="703"/>
    </row>
    <row r="681" spans="18:24" s="701" customFormat="1">
      <c r="R681" s="702"/>
      <c r="S681" s="702"/>
      <c r="T681" s="702"/>
      <c r="U681" s="702"/>
      <c r="V681" s="702"/>
      <c r="W681" s="702"/>
      <c r="X681" s="703"/>
    </row>
    <row r="682" spans="18:24" s="701" customFormat="1">
      <c r="R682" s="702"/>
      <c r="S682" s="702"/>
      <c r="T682" s="702"/>
      <c r="U682" s="702"/>
      <c r="V682" s="702"/>
      <c r="W682" s="702"/>
      <c r="X682" s="703"/>
    </row>
    <row r="683" spans="18:24" s="701" customFormat="1">
      <c r="R683" s="702"/>
      <c r="S683" s="702"/>
      <c r="T683" s="702"/>
      <c r="U683" s="702"/>
      <c r="V683" s="702"/>
      <c r="W683" s="702"/>
      <c r="X683" s="703"/>
    </row>
    <row r="684" spans="18:24" s="701" customFormat="1">
      <c r="R684" s="702"/>
      <c r="S684" s="702"/>
      <c r="T684" s="702"/>
      <c r="U684" s="702"/>
      <c r="V684" s="702"/>
      <c r="W684" s="702"/>
      <c r="X684" s="703"/>
    </row>
    <row r="685" spans="18:24" s="701" customFormat="1">
      <c r="R685" s="702"/>
      <c r="S685" s="702"/>
      <c r="T685" s="702"/>
      <c r="U685" s="702"/>
      <c r="V685" s="702"/>
      <c r="W685" s="702"/>
      <c r="X685" s="703"/>
    </row>
    <row r="686" spans="18:24" s="701" customFormat="1">
      <c r="R686" s="702"/>
      <c r="S686" s="702"/>
      <c r="T686" s="702"/>
      <c r="U686" s="702"/>
      <c r="V686" s="702"/>
      <c r="W686" s="702"/>
      <c r="X686" s="703"/>
    </row>
    <row r="687" spans="18:24" s="701" customFormat="1">
      <c r="R687" s="702"/>
      <c r="S687" s="702"/>
      <c r="T687" s="702"/>
      <c r="U687" s="702"/>
      <c r="V687" s="702"/>
      <c r="W687" s="702"/>
      <c r="X687" s="703"/>
    </row>
    <row r="688" spans="18:24" s="701" customFormat="1">
      <c r="R688" s="702"/>
      <c r="S688" s="702"/>
      <c r="T688" s="702"/>
      <c r="U688" s="702"/>
      <c r="V688" s="702"/>
      <c r="W688" s="702"/>
      <c r="X688" s="703"/>
    </row>
    <row r="689" spans="18:24" s="701" customFormat="1">
      <c r="R689" s="702"/>
      <c r="S689" s="702"/>
      <c r="T689" s="702"/>
      <c r="U689" s="702"/>
      <c r="V689" s="702"/>
      <c r="W689" s="702"/>
      <c r="X689" s="703"/>
    </row>
    <row r="690" spans="18:24" s="701" customFormat="1">
      <c r="R690" s="702"/>
      <c r="S690" s="702"/>
      <c r="T690" s="702"/>
      <c r="U690" s="702"/>
      <c r="V690" s="702"/>
      <c r="W690" s="702"/>
      <c r="X690" s="703"/>
    </row>
    <row r="691" spans="18:24" s="701" customFormat="1">
      <c r="R691" s="702"/>
      <c r="S691" s="702"/>
      <c r="T691" s="702"/>
      <c r="U691" s="702"/>
      <c r="V691" s="702"/>
      <c r="W691" s="702"/>
      <c r="X691" s="703"/>
    </row>
    <row r="692" spans="18:24" s="701" customFormat="1">
      <c r="R692" s="702"/>
      <c r="S692" s="702"/>
      <c r="T692" s="702"/>
      <c r="U692" s="702"/>
      <c r="V692" s="702"/>
      <c r="W692" s="702"/>
      <c r="X692" s="703"/>
    </row>
    <row r="693" spans="18:24" s="701" customFormat="1">
      <c r="R693" s="702"/>
      <c r="S693" s="702"/>
      <c r="T693" s="702"/>
      <c r="U693" s="702"/>
      <c r="V693" s="702"/>
      <c r="W693" s="702"/>
      <c r="X693" s="703"/>
    </row>
    <row r="694" spans="18:24" s="701" customFormat="1">
      <c r="R694" s="702"/>
      <c r="S694" s="702"/>
      <c r="T694" s="702"/>
      <c r="U694" s="702"/>
      <c r="V694" s="702"/>
      <c r="W694" s="702"/>
      <c r="X694" s="703"/>
    </row>
    <row r="695" spans="18:24" s="701" customFormat="1">
      <c r="R695" s="702"/>
      <c r="S695" s="702"/>
      <c r="T695" s="702"/>
      <c r="U695" s="702"/>
      <c r="V695" s="702"/>
      <c r="W695" s="702"/>
      <c r="X695" s="703"/>
    </row>
    <row r="696" spans="18:24" s="701" customFormat="1">
      <c r="R696" s="702"/>
      <c r="S696" s="702"/>
      <c r="T696" s="702"/>
      <c r="U696" s="702"/>
      <c r="V696" s="702"/>
      <c r="W696" s="702"/>
      <c r="X696" s="703"/>
    </row>
    <row r="697" spans="18:24" s="701" customFormat="1">
      <c r="R697" s="702"/>
      <c r="S697" s="702"/>
      <c r="T697" s="702"/>
      <c r="U697" s="702"/>
      <c r="V697" s="702"/>
      <c r="W697" s="702"/>
      <c r="X697" s="703"/>
    </row>
    <row r="698" spans="18:24" s="701" customFormat="1">
      <c r="R698" s="702"/>
      <c r="S698" s="702"/>
      <c r="T698" s="702"/>
      <c r="U698" s="702"/>
      <c r="V698" s="702"/>
      <c r="W698" s="702"/>
      <c r="X698" s="703"/>
    </row>
    <row r="699" spans="18:24" s="701" customFormat="1">
      <c r="R699" s="702"/>
      <c r="S699" s="702"/>
      <c r="T699" s="702"/>
      <c r="U699" s="702"/>
      <c r="V699" s="702"/>
      <c r="W699" s="702"/>
      <c r="X699" s="703"/>
    </row>
    <row r="700" spans="18:24" s="701" customFormat="1">
      <c r="R700" s="702"/>
      <c r="S700" s="702"/>
      <c r="T700" s="702"/>
      <c r="U700" s="702"/>
      <c r="V700" s="702"/>
      <c r="W700" s="702"/>
      <c r="X700" s="703"/>
    </row>
    <row r="701" spans="18:24" s="701" customFormat="1">
      <c r="R701" s="702"/>
      <c r="S701" s="702"/>
      <c r="T701" s="702"/>
      <c r="U701" s="702"/>
      <c r="V701" s="702"/>
      <c r="W701" s="702"/>
      <c r="X701" s="703"/>
    </row>
    <row r="702" spans="18:24" s="701" customFormat="1">
      <c r="R702" s="702"/>
      <c r="S702" s="702"/>
      <c r="T702" s="702"/>
      <c r="U702" s="702"/>
      <c r="V702" s="702"/>
      <c r="W702" s="702"/>
      <c r="X702" s="703"/>
    </row>
    <row r="703" spans="18:24" s="701" customFormat="1">
      <c r="R703" s="702"/>
      <c r="S703" s="702"/>
      <c r="T703" s="702"/>
      <c r="U703" s="702"/>
      <c r="V703" s="702"/>
      <c r="W703" s="702"/>
      <c r="X703" s="703"/>
    </row>
    <row r="704" spans="18:24" s="701" customFormat="1">
      <c r="R704" s="702"/>
      <c r="S704" s="702"/>
      <c r="T704" s="702"/>
      <c r="U704" s="702"/>
      <c r="V704" s="702"/>
      <c r="W704" s="702"/>
      <c r="X704" s="703"/>
    </row>
    <row r="705" spans="18:24" s="701" customFormat="1">
      <c r="R705" s="702"/>
      <c r="S705" s="702"/>
      <c r="T705" s="702"/>
      <c r="U705" s="702"/>
      <c r="V705" s="702"/>
      <c r="W705" s="702"/>
      <c r="X705" s="703"/>
    </row>
    <row r="706" spans="18:24" s="701" customFormat="1">
      <c r="R706" s="702"/>
      <c r="S706" s="702"/>
      <c r="T706" s="702"/>
      <c r="U706" s="702"/>
      <c r="V706" s="702"/>
      <c r="W706" s="702"/>
      <c r="X706" s="703"/>
    </row>
    <row r="707" spans="18:24" s="701" customFormat="1">
      <c r="R707" s="702"/>
      <c r="S707" s="702"/>
      <c r="T707" s="702"/>
      <c r="U707" s="702"/>
      <c r="V707" s="702"/>
      <c r="W707" s="702"/>
      <c r="X707" s="703"/>
    </row>
    <row r="708" spans="18:24" s="701" customFormat="1">
      <c r="R708" s="702"/>
      <c r="S708" s="702"/>
      <c r="T708" s="702"/>
      <c r="U708" s="702"/>
      <c r="V708" s="702"/>
      <c r="W708" s="702"/>
      <c r="X708" s="703"/>
    </row>
    <row r="709" spans="18:24" s="701" customFormat="1">
      <c r="R709" s="702"/>
      <c r="S709" s="702"/>
      <c r="T709" s="702"/>
      <c r="U709" s="702"/>
      <c r="V709" s="702"/>
      <c r="W709" s="702"/>
      <c r="X709" s="703"/>
    </row>
    <row r="710" spans="18:24" s="701" customFormat="1">
      <c r="R710" s="702"/>
      <c r="S710" s="702"/>
      <c r="T710" s="702"/>
      <c r="U710" s="702"/>
      <c r="V710" s="702"/>
      <c r="W710" s="702"/>
      <c r="X710" s="703"/>
    </row>
    <row r="711" spans="18:24" s="701" customFormat="1">
      <c r="R711" s="702"/>
      <c r="S711" s="702"/>
      <c r="T711" s="702"/>
      <c r="U711" s="702"/>
      <c r="V711" s="702"/>
      <c r="W711" s="702"/>
      <c r="X711" s="703"/>
    </row>
    <row r="712" spans="18:24" s="701" customFormat="1">
      <c r="R712" s="702"/>
      <c r="S712" s="702"/>
      <c r="T712" s="702"/>
      <c r="U712" s="702"/>
      <c r="V712" s="702"/>
      <c r="W712" s="702"/>
      <c r="X712" s="703"/>
    </row>
    <row r="713" spans="18:24" s="701" customFormat="1">
      <c r="R713" s="702"/>
      <c r="S713" s="702"/>
      <c r="T713" s="702"/>
      <c r="U713" s="702"/>
      <c r="V713" s="702"/>
      <c r="W713" s="702"/>
      <c r="X713" s="703"/>
    </row>
    <row r="714" spans="18:24" s="701" customFormat="1">
      <c r="R714" s="702"/>
      <c r="S714" s="702"/>
      <c r="T714" s="702"/>
      <c r="U714" s="702"/>
      <c r="V714" s="702"/>
      <c r="W714" s="702"/>
      <c r="X714" s="703"/>
    </row>
    <row r="715" spans="18:24" s="701" customFormat="1">
      <c r="R715" s="702"/>
      <c r="S715" s="702"/>
      <c r="T715" s="702"/>
      <c r="U715" s="702"/>
      <c r="V715" s="702"/>
      <c r="W715" s="702"/>
      <c r="X715" s="703"/>
    </row>
    <row r="716" spans="18:24" s="701" customFormat="1">
      <c r="R716" s="702"/>
      <c r="S716" s="702"/>
      <c r="T716" s="702"/>
      <c r="U716" s="702"/>
      <c r="V716" s="702"/>
      <c r="W716" s="702"/>
      <c r="X716" s="703"/>
    </row>
    <row r="717" spans="18:24" s="701" customFormat="1">
      <c r="R717" s="702"/>
      <c r="S717" s="702"/>
      <c r="T717" s="702"/>
      <c r="U717" s="702"/>
      <c r="V717" s="702"/>
      <c r="W717" s="702"/>
      <c r="X717" s="703"/>
    </row>
    <row r="718" spans="18:24" s="701" customFormat="1">
      <c r="R718" s="702"/>
      <c r="S718" s="702"/>
      <c r="T718" s="702"/>
      <c r="U718" s="702"/>
      <c r="V718" s="702"/>
      <c r="W718" s="702"/>
      <c r="X718" s="703"/>
    </row>
    <row r="719" spans="18:24" s="701" customFormat="1">
      <c r="R719" s="702"/>
      <c r="S719" s="702"/>
      <c r="T719" s="702"/>
      <c r="U719" s="702"/>
      <c r="V719" s="702"/>
      <c r="W719" s="702"/>
      <c r="X719" s="703"/>
    </row>
    <row r="720" spans="18:24" s="701" customFormat="1">
      <c r="R720" s="702"/>
      <c r="S720" s="702"/>
      <c r="T720" s="702"/>
      <c r="U720" s="702"/>
      <c r="V720" s="702"/>
      <c r="W720" s="702"/>
      <c r="X720" s="703"/>
    </row>
    <row r="721" spans="18:24" s="701" customFormat="1">
      <c r="R721" s="702"/>
      <c r="S721" s="702"/>
      <c r="T721" s="702"/>
      <c r="U721" s="702"/>
      <c r="V721" s="702"/>
      <c r="W721" s="702"/>
      <c r="X721" s="703"/>
    </row>
    <row r="722" spans="18:24" s="701" customFormat="1">
      <c r="R722" s="702"/>
      <c r="S722" s="702"/>
      <c r="T722" s="702"/>
      <c r="U722" s="702"/>
      <c r="V722" s="702"/>
      <c r="W722" s="702"/>
      <c r="X722" s="703"/>
    </row>
    <row r="723" spans="18:24" s="701" customFormat="1">
      <c r="R723" s="702"/>
      <c r="S723" s="702"/>
      <c r="T723" s="702"/>
      <c r="U723" s="702"/>
      <c r="V723" s="702"/>
      <c r="W723" s="702"/>
      <c r="X723" s="703"/>
    </row>
    <row r="724" spans="18:24" s="701" customFormat="1">
      <c r="R724" s="702"/>
      <c r="S724" s="702"/>
      <c r="T724" s="702"/>
      <c r="U724" s="702"/>
      <c r="V724" s="702"/>
      <c r="W724" s="702"/>
      <c r="X724" s="703"/>
    </row>
    <row r="725" spans="18:24" s="701" customFormat="1">
      <c r="R725" s="702"/>
      <c r="S725" s="702"/>
      <c r="T725" s="702"/>
      <c r="U725" s="702"/>
      <c r="V725" s="702"/>
      <c r="W725" s="702"/>
      <c r="X725" s="703"/>
    </row>
    <row r="726" spans="18:24" s="701" customFormat="1">
      <c r="R726" s="702"/>
      <c r="S726" s="702"/>
      <c r="T726" s="702"/>
      <c r="U726" s="702"/>
      <c r="V726" s="702"/>
      <c r="W726" s="702"/>
      <c r="X726" s="703"/>
    </row>
    <row r="727" spans="18:24" s="701" customFormat="1">
      <c r="R727" s="702"/>
      <c r="S727" s="702"/>
      <c r="T727" s="702"/>
      <c r="U727" s="702"/>
      <c r="V727" s="702"/>
      <c r="W727" s="702"/>
      <c r="X727" s="703"/>
    </row>
    <row r="728" spans="18:24" s="701" customFormat="1">
      <c r="R728" s="702"/>
      <c r="S728" s="702"/>
      <c r="T728" s="702"/>
      <c r="U728" s="702"/>
      <c r="V728" s="702"/>
      <c r="W728" s="702"/>
      <c r="X728" s="703"/>
    </row>
    <row r="729" spans="18:24" s="701" customFormat="1">
      <c r="R729" s="702"/>
      <c r="S729" s="702"/>
      <c r="T729" s="702"/>
      <c r="U729" s="702"/>
      <c r="V729" s="702"/>
      <c r="W729" s="702"/>
      <c r="X729" s="703"/>
    </row>
    <row r="730" spans="18:24" s="701" customFormat="1">
      <c r="R730" s="702"/>
      <c r="S730" s="702"/>
      <c r="T730" s="702"/>
      <c r="U730" s="702"/>
      <c r="V730" s="702"/>
      <c r="W730" s="702"/>
      <c r="X730" s="703"/>
    </row>
    <row r="731" spans="18:24" s="701" customFormat="1">
      <c r="R731" s="702"/>
      <c r="S731" s="702"/>
      <c r="T731" s="702"/>
      <c r="U731" s="702"/>
      <c r="V731" s="702"/>
      <c r="W731" s="702"/>
      <c r="X731" s="703"/>
    </row>
    <row r="732" spans="18:24" s="701" customFormat="1">
      <c r="R732" s="702"/>
      <c r="S732" s="702"/>
      <c r="T732" s="702"/>
      <c r="U732" s="702"/>
      <c r="V732" s="702"/>
      <c r="W732" s="702"/>
      <c r="X732" s="703"/>
    </row>
    <row r="733" spans="18:24" s="701" customFormat="1">
      <c r="R733" s="702"/>
      <c r="S733" s="702"/>
      <c r="T733" s="702"/>
      <c r="U733" s="702"/>
      <c r="V733" s="702"/>
      <c r="W733" s="702"/>
      <c r="X733" s="703"/>
    </row>
    <row r="734" spans="18:24" s="701" customFormat="1">
      <c r="R734" s="702"/>
      <c r="S734" s="702"/>
      <c r="T734" s="702"/>
      <c r="U734" s="702"/>
      <c r="V734" s="702"/>
      <c r="W734" s="702"/>
      <c r="X734" s="703"/>
    </row>
    <row r="735" spans="18:24" s="701" customFormat="1">
      <c r="R735" s="702"/>
      <c r="S735" s="702"/>
      <c r="T735" s="702"/>
      <c r="U735" s="702"/>
      <c r="V735" s="702"/>
      <c r="W735" s="702"/>
      <c r="X735" s="703"/>
    </row>
    <row r="736" spans="18:24" s="701" customFormat="1">
      <c r="R736" s="702"/>
      <c r="S736" s="702"/>
      <c r="T736" s="702"/>
      <c r="U736" s="702"/>
      <c r="V736" s="702"/>
      <c r="W736" s="702"/>
      <c r="X736" s="703"/>
    </row>
    <row r="737" spans="18:24" s="701" customFormat="1">
      <c r="R737" s="702"/>
      <c r="S737" s="702"/>
      <c r="T737" s="702"/>
      <c r="U737" s="702"/>
      <c r="V737" s="702"/>
      <c r="W737" s="702"/>
      <c r="X737" s="703"/>
    </row>
    <row r="738" spans="18:24" s="701" customFormat="1">
      <c r="R738" s="702"/>
      <c r="S738" s="702"/>
      <c r="T738" s="702"/>
      <c r="U738" s="702"/>
      <c r="V738" s="702"/>
      <c r="W738" s="702"/>
      <c r="X738" s="703"/>
    </row>
    <row r="739" spans="18:24" s="701" customFormat="1">
      <c r="R739" s="702"/>
      <c r="S739" s="702"/>
      <c r="T739" s="702"/>
      <c r="U739" s="702"/>
      <c r="V739" s="702"/>
      <c r="W739" s="702"/>
      <c r="X739" s="703"/>
    </row>
    <row r="740" spans="18:24" s="701" customFormat="1">
      <c r="R740" s="702"/>
      <c r="S740" s="702"/>
      <c r="T740" s="702"/>
      <c r="U740" s="702"/>
      <c r="V740" s="702"/>
      <c r="W740" s="702"/>
      <c r="X740" s="703"/>
    </row>
    <row r="741" spans="18:24" s="701" customFormat="1">
      <c r="R741" s="702"/>
      <c r="S741" s="702"/>
      <c r="T741" s="702"/>
      <c r="U741" s="702"/>
      <c r="V741" s="702"/>
      <c r="W741" s="702"/>
      <c r="X741" s="703"/>
    </row>
    <row r="742" spans="18:24" s="701" customFormat="1">
      <c r="R742" s="702"/>
      <c r="S742" s="702"/>
      <c r="T742" s="702"/>
      <c r="U742" s="702"/>
      <c r="V742" s="702"/>
      <c r="W742" s="702"/>
      <c r="X742" s="703"/>
    </row>
    <row r="743" spans="18:24" s="701" customFormat="1">
      <c r="R743" s="702"/>
      <c r="S743" s="702"/>
      <c r="T743" s="702"/>
      <c r="U743" s="702"/>
      <c r="V743" s="702"/>
      <c r="W743" s="702"/>
      <c r="X743" s="703"/>
    </row>
    <row r="744" spans="18:24" s="701" customFormat="1">
      <c r="R744" s="702"/>
      <c r="S744" s="702"/>
      <c r="T744" s="702"/>
      <c r="U744" s="702"/>
      <c r="V744" s="702"/>
      <c r="W744" s="702"/>
      <c r="X744" s="703"/>
    </row>
    <row r="745" spans="18:24" s="701" customFormat="1">
      <c r="R745" s="702"/>
      <c r="S745" s="702"/>
      <c r="T745" s="702"/>
      <c r="U745" s="702"/>
      <c r="V745" s="702"/>
      <c r="W745" s="702"/>
      <c r="X745" s="703"/>
    </row>
    <row r="746" spans="18:24" s="701" customFormat="1">
      <c r="R746" s="702"/>
      <c r="S746" s="702"/>
      <c r="T746" s="702"/>
      <c r="U746" s="702"/>
      <c r="V746" s="702"/>
      <c r="W746" s="702"/>
      <c r="X746" s="703"/>
    </row>
    <row r="747" spans="18:24" s="701" customFormat="1">
      <c r="R747" s="702"/>
      <c r="S747" s="702"/>
      <c r="T747" s="702"/>
      <c r="U747" s="702"/>
      <c r="V747" s="702"/>
      <c r="W747" s="702"/>
      <c r="X747" s="703"/>
    </row>
    <row r="748" spans="18:24" s="701" customFormat="1">
      <c r="R748" s="702"/>
      <c r="S748" s="702"/>
      <c r="T748" s="702"/>
      <c r="U748" s="702"/>
      <c r="V748" s="702"/>
      <c r="W748" s="702"/>
      <c r="X748" s="703"/>
    </row>
    <row r="749" spans="18:24" s="701" customFormat="1">
      <c r="R749" s="702"/>
      <c r="S749" s="702"/>
      <c r="T749" s="702"/>
      <c r="U749" s="702"/>
      <c r="V749" s="702"/>
      <c r="W749" s="702"/>
      <c r="X749" s="703"/>
    </row>
    <row r="750" spans="18:24" s="701" customFormat="1">
      <c r="R750" s="702"/>
      <c r="S750" s="702"/>
      <c r="T750" s="702"/>
      <c r="U750" s="702"/>
      <c r="V750" s="702"/>
      <c r="W750" s="702"/>
      <c r="X750" s="703"/>
    </row>
    <row r="751" spans="18:24" s="701" customFormat="1">
      <c r="R751" s="702"/>
      <c r="S751" s="702"/>
      <c r="T751" s="702"/>
      <c r="U751" s="702"/>
      <c r="V751" s="702"/>
      <c r="W751" s="702"/>
      <c r="X751" s="703"/>
    </row>
    <row r="752" spans="18:24" s="701" customFormat="1">
      <c r="R752" s="702"/>
      <c r="S752" s="702"/>
      <c r="T752" s="702"/>
      <c r="U752" s="702"/>
      <c r="V752" s="702"/>
      <c r="W752" s="702"/>
      <c r="X752" s="703"/>
    </row>
    <row r="753" spans="18:24" s="701" customFormat="1">
      <c r="R753" s="702"/>
      <c r="S753" s="702"/>
      <c r="T753" s="702"/>
      <c r="U753" s="702"/>
      <c r="V753" s="702"/>
      <c r="W753" s="702"/>
      <c r="X753" s="703"/>
    </row>
    <row r="754" spans="18:24" s="701" customFormat="1">
      <c r="R754" s="702"/>
      <c r="S754" s="702"/>
      <c r="T754" s="702"/>
      <c r="U754" s="702"/>
      <c r="V754" s="702"/>
      <c r="W754" s="702"/>
      <c r="X754" s="703"/>
    </row>
    <row r="755" spans="18:24" s="701" customFormat="1">
      <c r="R755" s="702"/>
      <c r="S755" s="702"/>
      <c r="T755" s="702"/>
      <c r="U755" s="702"/>
      <c r="V755" s="702"/>
      <c r="W755" s="702"/>
      <c r="X755" s="703"/>
    </row>
    <row r="756" spans="18:24" s="701" customFormat="1">
      <c r="R756" s="702"/>
      <c r="S756" s="702"/>
      <c r="T756" s="702"/>
      <c r="U756" s="702"/>
      <c r="V756" s="702"/>
      <c r="W756" s="702"/>
      <c r="X756" s="703"/>
    </row>
    <row r="757" spans="18:24" s="701" customFormat="1">
      <c r="R757" s="702"/>
      <c r="S757" s="702"/>
      <c r="T757" s="702"/>
      <c r="U757" s="702"/>
      <c r="V757" s="702"/>
      <c r="W757" s="702"/>
      <c r="X757" s="703"/>
    </row>
    <row r="758" spans="18:24" s="701" customFormat="1">
      <c r="R758" s="702"/>
      <c r="S758" s="702"/>
      <c r="T758" s="702"/>
      <c r="U758" s="702"/>
      <c r="V758" s="702"/>
      <c r="W758" s="702"/>
      <c r="X758" s="703"/>
    </row>
    <row r="759" spans="18:24" s="701" customFormat="1">
      <c r="R759" s="702"/>
      <c r="S759" s="702"/>
      <c r="T759" s="702"/>
      <c r="U759" s="702"/>
      <c r="V759" s="702"/>
      <c r="W759" s="702"/>
      <c r="X759" s="703"/>
    </row>
    <row r="760" spans="18:24" s="701" customFormat="1">
      <c r="R760" s="702"/>
      <c r="S760" s="702"/>
      <c r="T760" s="702"/>
      <c r="U760" s="702"/>
      <c r="V760" s="702"/>
      <c r="W760" s="702"/>
      <c r="X760" s="703"/>
    </row>
    <row r="761" spans="18:24" s="701" customFormat="1">
      <c r="R761" s="702"/>
      <c r="S761" s="702"/>
      <c r="T761" s="702"/>
      <c r="U761" s="702"/>
      <c r="V761" s="702"/>
      <c r="W761" s="702"/>
      <c r="X761" s="703"/>
    </row>
    <row r="762" spans="18:24" s="701" customFormat="1">
      <c r="R762" s="702"/>
      <c r="S762" s="702"/>
      <c r="T762" s="702"/>
      <c r="U762" s="702"/>
      <c r="V762" s="702"/>
      <c r="W762" s="702"/>
      <c r="X762" s="703"/>
    </row>
    <row r="763" spans="18:24" s="701" customFormat="1">
      <c r="R763" s="702"/>
      <c r="S763" s="702"/>
      <c r="T763" s="702"/>
      <c r="U763" s="702"/>
      <c r="V763" s="702"/>
      <c r="W763" s="702"/>
      <c r="X763" s="703"/>
    </row>
    <row r="764" spans="18:24" s="701" customFormat="1">
      <c r="R764" s="702"/>
      <c r="S764" s="702"/>
      <c r="T764" s="702"/>
      <c r="U764" s="702"/>
      <c r="V764" s="702"/>
      <c r="W764" s="702"/>
      <c r="X764" s="703"/>
    </row>
    <row r="765" spans="18:24" s="701" customFormat="1">
      <c r="R765" s="702"/>
      <c r="S765" s="702"/>
      <c r="T765" s="702"/>
      <c r="U765" s="702"/>
      <c r="V765" s="702"/>
      <c r="W765" s="702"/>
      <c r="X765" s="703"/>
    </row>
    <row r="766" spans="18:24" s="701" customFormat="1">
      <c r="R766" s="702"/>
      <c r="S766" s="702"/>
      <c r="T766" s="702"/>
      <c r="U766" s="702"/>
      <c r="V766" s="702"/>
      <c r="W766" s="702"/>
      <c r="X766" s="703"/>
    </row>
    <row r="767" spans="18:24" s="701" customFormat="1">
      <c r="R767" s="702"/>
      <c r="S767" s="702"/>
      <c r="T767" s="702"/>
      <c r="U767" s="702"/>
      <c r="V767" s="702"/>
      <c r="W767" s="702"/>
      <c r="X767" s="703"/>
    </row>
    <row r="768" spans="18:24" s="701" customFormat="1">
      <c r="R768" s="702"/>
      <c r="S768" s="702"/>
      <c r="T768" s="702"/>
      <c r="U768" s="702"/>
      <c r="V768" s="702"/>
      <c r="W768" s="702"/>
      <c r="X768" s="703"/>
    </row>
    <row r="769" spans="18:24" s="701" customFormat="1">
      <c r="R769" s="702"/>
      <c r="S769" s="702"/>
      <c r="T769" s="702"/>
      <c r="U769" s="702"/>
      <c r="V769" s="702"/>
      <c r="W769" s="702"/>
      <c r="X769" s="703"/>
    </row>
    <row r="770" spans="18:24" s="701" customFormat="1">
      <c r="R770" s="702"/>
      <c r="S770" s="702"/>
      <c r="T770" s="702"/>
      <c r="U770" s="702"/>
      <c r="V770" s="702"/>
      <c r="W770" s="702"/>
      <c r="X770" s="703"/>
    </row>
    <row r="771" spans="18:24" s="701" customFormat="1">
      <c r="R771" s="702"/>
      <c r="S771" s="702"/>
      <c r="T771" s="702"/>
      <c r="U771" s="702"/>
      <c r="V771" s="702"/>
      <c r="W771" s="702"/>
      <c r="X771" s="703"/>
    </row>
    <row r="772" spans="18:24" s="701" customFormat="1">
      <c r="R772" s="702"/>
      <c r="S772" s="702"/>
      <c r="T772" s="702"/>
      <c r="U772" s="702"/>
      <c r="V772" s="702"/>
      <c r="W772" s="702"/>
      <c r="X772" s="703"/>
    </row>
    <row r="773" spans="18:24" s="701" customFormat="1">
      <c r="R773" s="702"/>
      <c r="S773" s="702"/>
      <c r="T773" s="702"/>
      <c r="U773" s="702"/>
      <c r="V773" s="702"/>
      <c r="W773" s="702"/>
      <c r="X773" s="703"/>
    </row>
    <row r="774" spans="18:24" s="701" customFormat="1">
      <c r="R774" s="702"/>
      <c r="S774" s="702"/>
      <c r="T774" s="702"/>
      <c r="U774" s="702"/>
      <c r="V774" s="702"/>
      <c r="W774" s="702"/>
      <c r="X774" s="703"/>
    </row>
    <row r="775" spans="18:24" s="701" customFormat="1">
      <c r="R775" s="702"/>
      <c r="S775" s="702"/>
      <c r="T775" s="702"/>
      <c r="U775" s="702"/>
      <c r="V775" s="702"/>
      <c r="W775" s="702"/>
      <c r="X775" s="703"/>
    </row>
    <row r="776" spans="18:24" s="701" customFormat="1">
      <c r="R776" s="702"/>
      <c r="S776" s="702"/>
      <c r="T776" s="702"/>
      <c r="U776" s="702"/>
      <c r="V776" s="702"/>
      <c r="W776" s="702"/>
      <c r="X776" s="703"/>
    </row>
    <row r="777" spans="18:24" s="701" customFormat="1">
      <c r="R777" s="702"/>
      <c r="S777" s="702"/>
      <c r="T777" s="702"/>
      <c r="U777" s="702"/>
      <c r="V777" s="702"/>
      <c r="W777" s="702"/>
      <c r="X777" s="703"/>
    </row>
    <row r="778" spans="18:24" s="701" customFormat="1">
      <c r="R778" s="702"/>
      <c r="S778" s="702"/>
      <c r="T778" s="702"/>
      <c r="U778" s="702"/>
      <c r="V778" s="702"/>
      <c r="W778" s="702"/>
      <c r="X778" s="703"/>
    </row>
    <row r="779" spans="18:24" s="701" customFormat="1">
      <c r="R779" s="702"/>
      <c r="S779" s="702"/>
      <c r="T779" s="702"/>
      <c r="U779" s="702"/>
      <c r="V779" s="702"/>
      <c r="W779" s="702"/>
      <c r="X779" s="703"/>
    </row>
    <row r="780" spans="18:24" s="701" customFormat="1">
      <c r="R780" s="702"/>
      <c r="S780" s="702"/>
      <c r="T780" s="702"/>
      <c r="U780" s="702"/>
      <c r="V780" s="702"/>
      <c r="W780" s="702"/>
      <c r="X780" s="703"/>
    </row>
    <row r="781" spans="18:24" s="701" customFormat="1">
      <c r="R781" s="702"/>
      <c r="S781" s="702"/>
      <c r="T781" s="702"/>
      <c r="U781" s="702"/>
      <c r="V781" s="702"/>
      <c r="W781" s="702"/>
      <c r="X781" s="703"/>
    </row>
    <row r="782" spans="18:24" s="701" customFormat="1">
      <c r="R782" s="702"/>
      <c r="S782" s="702"/>
      <c r="T782" s="702"/>
      <c r="U782" s="702"/>
      <c r="V782" s="702"/>
      <c r="W782" s="702"/>
      <c r="X782" s="703"/>
    </row>
    <row r="783" spans="18:24" s="701" customFormat="1">
      <c r="R783" s="702"/>
      <c r="S783" s="702"/>
      <c r="T783" s="702"/>
      <c r="U783" s="702"/>
      <c r="V783" s="702"/>
      <c r="W783" s="702"/>
      <c r="X783" s="703"/>
    </row>
    <row r="784" spans="18:24" s="701" customFormat="1">
      <c r="R784" s="702"/>
      <c r="S784" s="702"/>
      <c r="T784" s="702"/>
      <c r="U784" s="702"/>
      <c r="V784" s="702"/>
      <c r="W784" s="702"/>
      <c r="X784" s="703"/>
    </row>
    <row r="785" spans="18:24" s="701" customFormat="1">
      <c r="R785" s="702"/>
      <c r="S785" s="702"/>
      <c r="T785" s="702"/>
      <c r="U785" s="702"/>
      <c r="V785" s="702"/>
      <c r="W785" s="702"/>
      <c r="X785" s="703"/>
    </row>
    <row r="786" spans="18:24" s="701" customFormat="1">
      <c r="R786" s="702"/>
      <c r="S786" s="702"/>
      <c r="T786" s="702"/>
      <c r="U786" s="702"/>
      <c r="V786" s="702"/>
      <c r="W786" s="702"/>
      <c r="X786" s="703"/>
    </row>
    <row r="787" spans="18:24" s="701" customFormat="1">
      <c r="R787" s="702"/>
      <c r="S787" s="702"/>
      <c r="T787" s="702"/>
      <c r="U787" s="702"/>
      <c r="V787" s="702"/>
      <c r="W787" s="702"/>
      <c r="X787" s="703"/>
    </row>
    <row r="788" spans="18:24" s="701" customFormat="1">
      <c r="R788" s="702"/>
      <c r="S788" s="702"/>
      <c r="T788" s="702"/>
      <c r="U788" s="702"/>
      <c r="V788" s="702"/>
      <c r="W788" s="702"/>
      <c r="X788" s="703"/>
    </row>
    <row r="789" spans="18:24" s="701" customFormat="1">
      <c r="R789" s="702"/>
      <c r="S789" s="702"/>
      <c r="T789" s="702"/>
      <c r="U789" s="702"/>
      <c r="V789" s="702"/>
      <c r="W789" s="702"/>
      <c r="X789" s="703"/>
    </row>
    <row r="790" spans="18:24" s="701" customFormat="1">
      <c r="R790" s="702"/>
      <c r="S790" s="702"/>
      <c r="T790" s="702"/>
      <c r="U790" s="702"/>
      <c r="V790" s="702"/>
      <c r="W790" s="702"/>
      <c r="X790" s="703"/>
    </row>
    <row r="791" spans="18:24" s="701" customFormat="1">
      <c r="R791" s="702"/>
      <c r="S791" s="702"/>
      <c r="T791" s="702"/>
      <c r="U791" s="702"/>
      <c r="V791" s="702"/>
      <c r="W791" s="702"/>
      <c r="X791" s="703"/>
    </row>
    <row r="792" spans="18:24" s="701" customFormat="1">
      <c r="R792" s="702"/>
      <c r="S792" s="702"/>
      <c r="T792" s="702"/>
      <c r="U792" s="702"/>
      <c r="V792" s="702"/>
      <c r="W792" s="702"/>
      <c r="X792" s="703"/>
    </row>
    <row r="793" spans="18:24" s="701" customFormat="1">
      <c r="R793" s="702"/>
      <c r="S793" s="702"/>
      <c r="T793" s="702"/>
      <c r="U793" s="702"/>
      <c r="V793" s="702"/>
      <c r="W793" s="702"/>
      <c r="X793" s="703"/>
    </row>
    <row r="794" spans="18:24" s="701" customFormat="1">
      <c r="R794" s="702"/>
      <c r="S794" s="702"/>
      <c r="T794" s="702"/>
      <c r="U794" s="702"/>
      <c r="V794" s="702"/>
      <c r="W794" s="702"/>
      <c r="X794" s="703"/>
    </row>
    <row r="795" spans="18:24" s="701" customFormat="1">
      <c r="R795" s="702"/>
      <c r="S795" s="702"/>
      <c r="T795" s="702"/>
      <c r="U795" s="702"/>
      <c r="V795" s="702"/>
      <c r="W795" s="702"/>
      <c r="X795" s="703"/>
    </row>
    <row r="796" spans="18:24" s="701" customFormat="1">
      <c r="R796" s="702"/>
      <c r="S796" s="702"/>
      <c r="T796" s="702"/>
      <c r="U796" s="702"/>
      <c r="V796" s="702"/>
      <c r="W796" s="702"/>
      <c r="X796" s="703"/>
    </row>
    <row r="797" spans="18:24" s="701" customFormat="1">
      <c r="R797" s="702"/>
      <c r="S797" s="702"/>
      <c r="T797" s="702"/>
      <c r="U797" s="702"/>
      <c r="V797" s="702"/>
      <c r="W797" s="702"/>
      <c r="X797" s="703"/>
    </row>
    <row r="798" spans="18:24" s="701" customFormat="1">
      <c r="R798" s="702"/>
      <c r="S798" s="702"/>
      <c r="T798" s="702"/>
      <c r="U798" s="702"/>
      <c r="V798" s="702"/>
      <c r="W798" s="702"/>
      <c r="X798" s="703"/>
    </row>
    <row r="799" spans="18:24" s="701" customFormat="1">
      <c r="R799" s="702"/>
      <c r="S799" s="702"/>
      <c r="T799" s="702"/>
      <c r="U799" s="702"/>
      <c r="V799" s="702"/>
      <c r="W799" s="702"/>
      <c r="X799" s="703"/>
    </row>
    <row r="800" spans="18:24" s="701" customFormat="1">
      <c r="R800" s="702"/>
      <c r="S800" s="702"/>
      <c r="T800" s="702"/>
      <c r="U800" s="702"/>
      <c r="V800" s="702"/>
      <c r="W800" s="702"/>
      <c r="X800" s="703"/>
    </row>
    <row r="801" spans="18:24" s="701" customFormat="1">
      <c r="R801" s="702"/>
      <c r="S801" s="702"/>
      <c r="T801" s="702"/>
      <c r="U801" s="702"/>
      <c r="V801" s="702"/>
      <c r="W801" s="702"/>
      <c r="X801" s="703"/>
    </row>
    <row r="802" spans="18:24" s="701" customFormat="1">
      <c r="R802" s="702"/>
      <c r="S802" s="702"/>
      <c r="T802" s="702"/>
      <c r="U802" s="702"/>
      <c r="V802" s="702"/>
      <c r="W802" s="702"/>
      <c r="X802" s="703"/>
    </row>
    <row r="803" spans="18:24" s="701" customFormat="1">
      <c r="R803" s="702"/>
      <c r="S803" s="702"/>
      <c r="T803" s="702"/>
      <c r="U803" s="702"/>
      <c r="V803" s="702"/>
      <c r="W803" s="702"/>
      <c r="X803" s="703"/>
    </row>
    <row r="804" spans="18:24" s="701" customFormat="1">
      <c r="R804" s="702"/>
      <c r="S804" s="702"/>
      <c r="T804" s="702"/>
      <c r="U804" s="702"/>
      <c r="V804" s="702"/>
      <c r="W804" s="702"/>
      <c r="X804" s="703"/>
    </row>
    <row r="805" spans="18:24" s="701" customFormat="1">
      <c r="R805" s="702"/>
      <c r="S805" s="702"/>
      <c r="T805" s="702"/>
      <c r="U805" s="702"/>
      <c r="V805" s="702"/>
      <c r="W805" s="702"/>
      <c r="X805" s="703"/>
    </row>
    <row r="806" spans="18:24" s="701" customFormat="1">
      <c r="R806" s="702"/>
      <c r="S806" s="702"/>
      <c r="T806" s="702"/>
      <c r="U806" s="702"/>
      <c r="V806" s="702"/>
      <c r="W806" s="702"/>
      <c r="X806" s="703"/>
    </row>
    <row r="807" spans="18:24" s="701" customFormat="1">
      <c r="R807" s="702"/>
      <c r="S807" s="702"/>
      <c r="T807" s="702"/>
      <c r="U807" s="702"/>
      <c r="V807" s="702"/>
      <c r="W807" s="702"/>
      <c r="X807" s="703"/>
    </row>
    <row r="808" spans="18:24" s="701" customFormat="1">
      <c r="R808" s="702"/>
      <c r="S808" s="702"/>
      <c r="T808" s="702"/>
      <c r="U808" s="702"/>
      <c r="V808" s="702"/>
      <c r="W808" s="702"/>
      <c r="X808" s="703"/>
    </row>
    <row r="809" spans="18:24" s="701" customFormat="1">
      <c r="R809" s="702"/>
      <c r="S809" s="702"/>
      <c r="T809" s="702"/>
      <c r="U809" s="702"/>
      <c r="V809" s="702"/>
      <c r="W809" s="702"/>
      <c r="X809" s="703"/>
    </row>
    <row r="810" spans="18:24" s="701" customFormat="1">
      <c r="R810" s="702"/>
      <c r="S810" s="702"/>
      <c r="T810" s="702"/>
      <c r="U810" s="702"/>
      <c r="V810" s="702"/>
      <c r="W810" s="702"/>
      <c r="X810" s="703"/>
    </row>
    <row r="811" spans="18:24" s="701" customFormat="1">
      <c r="R811" s="702"/>
      <c r="S811" s="702"/>
      <c r="T811" s="702"/>
      <c r="U811" s="702"/>
      <c r="V811" s="702"/>
      <c r="W811" s="702"/>
      <c r="X811" s="703"/>
    </row>
    <row r="812" spans="18:24" s="701" customFormat="1">
      <c r="R812" s="702"/>
      <c r="S812" s="702"/>
      <c r="T812" s="702"/>
      <c r="U812" s="702"/>
      <c r="V812" s="702"/>
      <c r="W812" s="702"/>
      <c r="X812" s="703"/>
    </row>
    <row r="813" spans="18:24" s="701" customFormat="1">
      <c r="R813" s="702"/>
      <c r="S813" s="702"/>
      <c r="T813" s="702"/>
      <c r="U813" s="702"/>
      <c r="V813" s="702"/>
      <c r="W813" s="702"/>
      <c r="X813" s="703"/>
    </row>
    <row r="814" spans="18:24" s="701" customFormat="1">
      <c r="R814" s="702"/>
      <c r="S814" s="702"/>
      <c r="T814" s="702"/>
      <c r="U814" s="702"/>
      <c r="V814" s="702"/>
      <c r="W814" s="702"/>
      <c r="X814" s="703"/>
    </row>
    <row r="815" spans="18:24" s="701" customFormat="1">
      <c r="R815" s="702"/>
      <c r="S815" s="702"/>
      <c r="T815" s="702"/>
      <c r="U815" s="702"/>
      <c r="V815" s="702"/>
      <c r="W815" s="702"/>
      <c r="X815" s="703"/>
    </row>
    <row r="816" spans="18:24" s="701" customFormat="1">
      <c r="R816" s="702"/>
      <c r="S816" s="702"/>
      <c r="T816" s="702"/>
      <c r="U816" s="702"/>
      <c r="V816" s="702"/>
      <c r="W816" s="702"/>
      <c r="X816" s="703"/>
    </row>
    <row r="817" spans="18:24" s="701" customFormat="1">
      <c r="R817" s="702"/>
      <c r="S817" s="702"/>
      <c r="T817" s="702"/>
      <c r="U817" s="702"/>
      <c r="V817" s="702"/>
      <c r="W817" s="702"/>
      <c r="X817" s="703"/>
    </row>
    <row r="818" spans="18:24" s="701" customFormat="1">
      <c r="R818" s="702"/>
      <c r="S818" s="702"/>
      <c r="T818" s="702"/>
      <c r="U818" s="702"/>
      <c r="V818" s="702"/>
      <c r="W818" s="702"/>
      <c r="X818" s="703"/>
    </row>
    <row r="819" spans="18:24" s="701" customFormat="1">
      <c r="R819" s="702"/>
      <c r="S819" s="702"/>
      <c r="T819" s="702"/>
      <c r="U819" s="702"/>
      <c r="V819" s="702"/>
      <c r="W819" s="702"/>
      <c r="X819" s="703"/>
    </row>
    <row r="820" spans="18:24" s="701" customFormat="1">
      <c r="R820" s="702"/>
      <c r="S820" s="702"/>
      <c r="T820" s="702"/>
      <c r="U820" s="702"/>
      <c r="V820" s="702"/>
      <c r="W820" s="702"/>
      <c r="X820" s="703"/>
    </row>
    <row r="821" spans="18:24" s="701" customFormat="1">
      <c r="R821" s="702"/>
      <c r="S821" s="702"/>
      <c r="T821" s="702"/>
      <c r="U821" s="702"/>
      <c r="V821" s="702"/>
      <c r="W821" s="702"/>
      <c r="X821" s="703"/>
    </row>
    <row r="822" spans="18:24" s="701" customFormat="1">
      <c r="R822" s="702"/>
      <c r="S822" s="702"/>
      <c r="T822" s="702"/>
      <c r="U822" s="702"/>
      <c r="V822" s="702"/>
      <c r="W822" s="702"/>
      <c r="X822" s="703"/>
    </row>
    <row r="823" spans="18:24" s="701" customFormat="1">
      <c r="R823" s="702"/>
      <c r="S823" s="702"/>
      <c r="T823" s="702"/>
      <c r="U823" s="702"/>
      <c r="V823" s="702"/>
      <c r="W823" s="702"/>
      <c r="X823" s="703"/>
    </row>
    <row r="824" spans="18:24" s="701" customFormat="1">
      <c r="R824" s="702"/>
      <c r="S824" s="702"/>
      <c r="T824" s="702"/>
      <c r="U824" s="702"/>
      <c r="V824" s="702"/>
      <c r="W824" s="702"/>
      <c r="X824" s="703"/>
    </row>
    <row r="825" spans="18:24" s="701" customFormat="1">
      <c r="R825" s="702"/>
      <c r="S825" s="702"/>
      <c r="T825" s="702"/>
      <c r="U825" s="702"/>
      <c r="V825" s="702"/>
      <c r="W825" s="702"/>
      <c r="X825" s="703"/>
    </row>
    <row r="826" spans="18:24" s="701" customFormat="1">
      <c r="R826" s="702"/>
      <c r="S826" s="702"/>
      <c r="T826" s="702"/>
      <c r="U826" s="702"/>
      <c r="V826" s="702"/>
      <c r="W826" s="702"/>
      <c r="X826" s="703"/>
    </row>
    <row r="827" spans="18:24" s="701" customFormat="1">
      <c r="R827" s="702"/>
      <c r="S827" s="702"/>
      <c r="T827" s="702"/>
      <c r="U827" s="702"/>
      <c r="V827" s="702"/>
      <c r="W827" s="702"/>
      <c r="X827" s="703"/>
    </row>
    <row r="828" spans="18:24" s="701" customFormat="1">
      <c r="R828" s="702"/>
      <c r="S828" s="702"/>
      <c r="T828" s="702"/>
      <c r="U828" s="702"/>
      <c r="V828" s="702"/>
      <c r="W828" s="702"/>
      <c r="X828" s="703"/>
    </row>
    <row r="829" spans="18:24" s="701" customFormat="1">
      <c r="R829" s="702"/>
      <c r="S829" s="702"/>
      <c r="T829" s="702"/>
      <c r="U829" s="702"/>
      <c r="V829" s="702"/>
      <c r="W829" s="702"/>
      <c r="X829" s="703"/>
    </row>
    <row r="830" spans="18:24" s="701" customFormat="1">
      <c r="R830" s="702"/>
      <c r="S830" s="702"/>
      <c r="T830" s="702"/>
      <c r="U830" s="702"/>
      <c r="V830" s="702"/>
      <c r="W830" s="702"/>
      <c r="X830" s="703"/>
    </row>
    <row r="831" spans="18:24" s="701" customFormat="1">
      <c r="R831" s="702"/>
      <c r="S831" s="702"/>
      <c r="T831" s="702"/>
      <c r="U831" s="702"/>
      <c r="V831" s="702"/>
      <c r="W831" s="702"/>
      <c r="X831" s="703"/>
    </row>
    <row r="832" spans="18:24" s="701" customFormat="1">
      <c r="R832" s="702"/>
      <c r="S832" s="702"/>
      <c r="T832" s="702"/>
      <c r="U832" s="702"/>
      <c r="V832" s="702"/>
      <c r="W832" s="702"/>
      <c r="X832" s="703"/>
    </row>
    <row r="833" spans="18:24" s="701" customFormat="1">
      <c r="R833" s="702"/>
      <c r="S833" s="702"/>
      <c r="T833" s="702"/>
      <c r="U833" s="702"/>
      <c r="V833" s="702"/>
      <c r="W833" s="702"/>
      <c r="X833" s="703"/>
    </row>
    <row r="834" spans="18:24" s="701" customFormat="1">
      <c r="R834" s="702"/>
      <c r="S834" s="702"/>
      <c r="T834" s="702"/>
      <c r="U834" s="702"/>
      <c r="V834" s="702"/>
      <c r="W834" s="702"/>
      <c r="X834" s="703"/>
    </row>
    <row r="835" spans="18:24" s="701" customFormat="1">
      <c r="R835" s="702"/>
      <c r="S835" s="702"/>
      <c r="T835" s="702"/>
      <c r="U835" s="702"/>
      <c r="V835" s="702"/>
      <c r="W835" s="702"/>
      <c r="X835" s="703"/>
    </row>
    <row r="836" spans="18:24" s="701" customFormat="1">
      <c r="R836" s="702"/>
      <c r="S836" s="702"/>
      <c r="T836" s="702"/>
      <c r="U836" s="702"/>
      <c r="V836" s="702"/>
      <c r="W836" s="702"/>
      <c r="X836" s="703"/>
    </row>
    <row r="837" spans="18:24" s="701" customFormat="1">
      <c r="R837" s="702"/>
      <c r="S837" s="702"/>
      <c r="T837" s="702"/>
      <c r="U837" s="702"/>
      <c r="V837" s="702"/>
      <c r="W837" s="702"/>
      <c r="X837" s="703"/>
    </row>
    <row r="838" spans="18:24" s="701" customFormat="1">
      <c r="R838" s="702"/>
      <c r="S838" s="702"/>
      <c r="T838" s="702"/>
      <c r="U838" s="702"/>
      <c r="V838" s="702"/>
      <c r="W838" s="702"/>
      <c r="X838" s="703"/>
    </row>
    <row r="839" spans="18:24" s="701" customFormat="1">
      <c r="R839" s="702"/>
      <c r="S839" s="702"/>
      <c r="T839" s="702"/>
      <c r="U839" s="702"/>
      <c r="V839" s="702"/>
      <c r="W839" s="702"/>
      <c r="X839" s="703"/>
    </row>
    <row r="840" spans="18:24" s="701" customFormat="1">
      <c r="R840" s="702"/>
      <c r="S840" s="702"/>
      <c r="T840" s="702"/>
      <c r="U840" s="702"/>
      <c r="V840" s="702"/>
      <c r="W840" s="702"/>
      <c r="X840" s="703"/>
    </row>
    <row r="841" spans="18:24" s="701" customFormat="1">
      <c r="R841" s="702"/>
      <c r="S841" s="702"/>
      <c r="T841" s="702"/>
      <c r="U841" s="702"/>
      <c r="V841" s="702"/>
      <c r="W841" s="702"/>
      <c r="X841" s="703"/>
    </row>
    <row r="842" spans="18:24" s="701" customFormat="1">
      <c r="R842" s="702"/>
      <c r="S842" s="702"/>
      <c r="T842" s="702"/>
      <c r="U842" s="702"/>
      <c r="V842" s="702"/>
      <c r="W842" s="702"/>
      <c r="X842" s="703"/>
    </row>
    <row r="843" spans="18:24" s="701" customFormat="1">
      <c r="R843" s="702"/>
      <c r="S843" s="702"/>
      <c r="T843" s="702"/>
      <c r="U843" s="702"/>
      <c r="V843" s="702"/>
      <c r="W843" s="702"/>
      <c r="X843" s="703"/>
    </row>
    <row r="844" spans="18:24" s="701" customFormat="1">
      <c r="R844" s="702"/>
      <c r="S844" s="702"/>
      <c r="T844" s="702"/>
      <c r="U844" s="702"/>
      <c r="V844" s="702"/>
      <c r="W844" s="702"/>
      <c r="X844" s="703"/>
    </row>
    <row r="845" spans="18:24" s="701" customFormat="1">
      <c r="R845" s="702"/>
      <c r="S845" s="702"/>
      <c r="T845" s="702"/>
      <c r="U845" s="702"/>
      <c r="V845" s="702"/>
      <c r="W845" s="702"/>
      <c r="X845" s="703"/>
    </row>
    <row r="846" spans="18:24" s="701" customFormat="1">
      <c r="R846" s="702"/>
      <c r="S846" s="702"/>
      <c r="T846" s="702"/>
      <c r="U846" s="702"/>
      <c r="V846" s="702"/>
      <c r="W846" s="702"/>
      <c r="X846" s="703"/>
    </row>
    <row r="847" spans="18:24" s="701" customFormat="1">
      <c r="R847" s="702"/>
      <c r="S847" s="702"/>
      <c r="T847" s="702"/>
      <c r="U847" s="702"/>
      <c r="V847" s="702"/>
      <c r="W847" s="702"/>
      <c r="X847" s="703"/>
    </row>
    <row r="848" spans="18:24" s="701" customFormat="1">
      <c r="R848" s="702"/>
      <c r="S848" s="702"/>
      <c r="T848" s="702"/>
      <c r="U848" s="702"/>
      <c r="V848" s="702"/>
      <c r="W848" s="702"/>
      <c r="X848" s="703"/>
    </row>
    <row r="849" spans="18:24" s="701" customFormat="1">
      <c r="R849" s="702"/>
      <c r="S849" s="702"/>
      <c r="T849" s="702"/>
      <c r="U849" s="702"/>
      <c r="V849" s="702"/>
      <c r="W849" s="702"/>
      <c r="X849" s="703"/>
    </row>
    <row r="850" spans="18:24" s="701" customFormat="1">
      <c r="R850" s="702"/>
      <c r="S850" s="702"/>
      <c r="T850" s="702"/>
      <c r="U850" s="702"/>
      <c r="V850" s="702"/>
      <c r="W850" s="702"/>
      <c r="X850" s="703"/>
    </row>
    <row r="851" spans="18:24" s="701" customFormat="1">
      <c r="R851" s="702"/>
      <c r="S851" s="702"/>
      <c r="T851" s="702"/>
      <c r="U851" s="702"/>
      <c r="V851" s="702"/>
      <c r="W851" s="702"/>
      <c r="X851" s="703"/>
    </row>
    <row r="852" spans="18:24" s="701" customFormat="1">
      <c r="R852" s="702"/>
      <c r="S852" s="702"/>
      <c r="T852" s="702"/>
      <c r="U852" s="702"/>
      <c r="V852" s="702"/>
      <c r="W852" s="702"/>
      <c r="X852" s="703"/>
    </row>
    <row r="853" spans="18:24" s="701" customFormat="1">
      <c r="R853" s="702"/>
      <c r="S853" s="702"/>
      <c r="T853" s="702"/>
      <c r="U853" s="702"/>
      <c r="V853" s="702"/>
      <c r="W853" s="702"/>
      <c r="X853" s="703"/>
    </row>
    <row r="854" spans="18:24" s="701" customFormat="1">
      <c r="R854" s="702"/>
      <c r="S854" s="702"/>
      <c r="T854" s="702"/>
      <c r="U854" s="702"/>
      <c r="V854" s="702"/>
      <c r="W854" s="702"/>
      <c r="X854" s="703"/>
    </row>
    <row r="855" spans="18:24" s="701" customFormat="1">
      <c r="R855" s="702"/>
      <c r="S855" s="702"/>
      <c r="T855" s="702"/>
      <c r="U855" s="702"/>
      <c r="V855" s="702"/>
      <c r="W855" s="702"/>
      <c r="X855" s="703"/>
    </row>
    <row r="856" spans="18:24" s="701" customFormat="1">
      <c r="R856" s="702"/>
      <c r="S856" s="702"/>
      <c r="T856" s="702"/>
      <c r="U856" s="702"/>
      <c r="V856" s="702"/>
      <c r="W856" s="702"/>
      <c r="X856" s="703"/>
    </row>
    <row r="857" spans="18:24" s="701" customFormat="1">
      <c r="R857" s="702"/>
      <c r="S857" s="702"/>
      <c r="T857" s="702"/>
      <c r="U857" s="702"/>
      <c r="V857" s="702"/>
      <c r="W857" s="702"/>
      <c r="X857" s="703"/>
    </row>
    <row r="858" spans="18:24" s="701" customFormat="1">
      <c r="R858" s="702"/>
      <c r="S858" s="702"/>
      <c r="T858" s="702"/>
      <c r="U858" s="702"/>
      <c r="V858" s="702"/>
      <c r="W858" s="702"/>
      <c r="X858" s="703"/>
    </row>
    <row r="859" spans="18:24" s="701" customFormat="1">
      <c r="R859" s="702"/>
      <c r="S859" s="702"/>
      <c r="T859" s="702"/>
      <c r="U859" s="702"/>
      <c r="V859" s="702"/>
      <c r="W859" s="702"/>
      <c r="X859" s="703"/>
    </row>
    <row r="860" spans="18:24" s="701" customFormat="1">
      <c r="R860" s="702"/>
      <c r="S860" s="702"/>
      <c r="T860" s="702"/>
      <c r="U860" s="702"/>
      <c r="V860" s="702"/>
      <c r="W860" s="702"/>
      <c r="X860" s="703"/>
    </row>
    <row r="861" spans="18:24" s="701" customFormat="1">
      <c r="R861" s="702"/>
      <c r="S861" s="702"/>
      <c r="T861" s="702"/>
      <c r="U861" s="702"/>
      <c r="V861" s="702"/>
      <c r="W861" s="702"/>
      <c r="X861" s="703"/>
    </row>
    <row r="862" spans="18:24" s="701" customFormat="1">
      <c r="R862" s="702"/>
      <c r="S862" s="702"/>
      <c r="T862" s="702"/>
      <c r="U862" s="702"/>
      <c r="V862" s="702"/>
      <c r="W862" s="702"/>
      <c r="X862" s="703"/>
    </row>
    <row r="863" spans="18:24" s="701" customFormat="1">
      <c r="R863" s="702"/>
      <c r="S863" s="702"/>
      <c r="T863" s="702"/>
      <c r="U863" s="702"/>
      <c r="V863" s="702"/>
      <c r="W863" s="702"/>
      <c r="X863" s="703"/>
    </row>
    <row r="864" spans="18:24" s="701" customFormat="1">
      <c r="R864" s="702"/>
      <c r="S864" s="702"/>
      <c r="T864" s="702"/>
      <c r="U864" s="702"/>
      <c r="V864" s="702"/>
      <c r="W864" s="702"/>
      <c r="X864" s="703"/>
    </row>
    <row r="865" spans="18:24" s="701" customFormat="1">
      <c r="R865" s="702"/>
      <c r="S865" s="702"/>
      <c r="T865" s="702"/>
      <c r="U865" s="702"/>
      <c r="V865" s="702"/>
      <c r="W865" s="702"/>
      <c r="X865" s="703"/>
    </row>
    <row r="866" spans="18:24" s="701" customFormat="1">
      <c r="R866" s="702"/>
      <c r="S866" s="702"/>
      <c r="T866" s="702"/>
      <c r="U866" s="702"/>
      <c r="V866" s="702"/>
      <c r="W866" s="702"/>
      <c r="X866" s="703"/>
    </row>
    <row r="867" spans="18:24" s="701" customFormat="1">
      <c r="R867" s="702"/>
      <c r="S867" s="702"/>
      <c r="T867" s="702"/>
      <c r="U867" s="702"/>
      <c r="V867" s="702"/>
      <c r="W867" s="702"/>
      <c r="X867" s="703"/>
    </row>
    <row r="868" spans="18:24" s="701" customFormat="1">
      <c r="R868" s="702"/>
      <c r="S868" s="702"/>
      <c r="T868" s="702"/>
      <c r="U868" s="702"/>
      <c r="V868" s="702"/>
      <c r="W868" s="702"/>
      <c r="X868" s="703"/>
    </row>
    <row r="869" spans="18:24" s="701" customFormat="1">
      <c r="R869" s="702"/>
      <c r="S869" s="702"/>
      <c r="T869" s="702"/>
      <c r="U869" s="702"/>
      <c r="V869" s="702"/>
      <c r="W869" s="702"/>
      <c r="X869" s="703"/>
    </row>
    <row r="870" spans="18:24" s="701" customFormat="1">
      <c r="R870" s="702"/>
      <c r="S870" s="702"/>
      <c r="T870" s="702"/>
      <c r="U870" s="702"/>
      <c r="V870" s="702"/>
      <c r="W870" s="702"/>
      <c r="X870" s="703"/>
    </row>
    <row r="871" spans="18:24" s="701" customFormat="1">
      <c r="R871" s="702"/>
      <c r="S871" s="702"/>
      <c r="T871" s="702"/>
      <c r="U871" s="702"/>
      <c r="V871" s="702"/>
      <c r="W871" s="702"/>
      <c r="X871" s="703"/>
    </row>
    <row r="872" spans="18:24" s="701" customFormat="1">
      <c r="R872" s="702"/>
      <c r="S872" s="702"/>
      <c r="T872" s="702"/>
      <c r="U872" s="702"/>
      <c r="V872" s="702"/>
      <c r="W872" s="702"/>
      <c r="X872" s="703"/>
    </row>
    <row r="873" spans="18:24" s="701" customFormat="1">
      <c r="R873" s="702"/>
      <c r="S873" s="702"/>
      <c r="T873" s="702"/>
      <c r="U873" s="702"/>
      <c r="V873" s="702"/>
      <c r="W873" s="702"/>
      <c r="X873" s="703"/>
    </row>
    <row r="874" spans="18:24" s="701" customFormat="1">
      <c r="R874" s="702"/>
      <c r="S874" s="702"/>
      <c r="T874" s="702"/>
      <c r="U874" s="702"/>
      <c r="V874" s="702"/>
      <c r="W874" s="702"/>
      <c r="X874" s="703"/>
    </row>
    <row r="875" spans="18:24" s="701" customFormat="1">
      <c r="R875" s="702"/>
      <c r="S875" s="702"/>
      <c r="T875" s="702"/>
      <c r="U875" s="702"/>
      <c r="V875" s="702"/>
      <c r="W875" s="702"/>
      <c r="X875" s="703"/>
    </row>
    <row r="876" spans="18:24" s="701" customFormat="1">
      <c r="R876" s="702"/>
      <c r="S876" s="702"/>
      <c r="T876" s="702"/>
      <c r="U876" s="702"/>
      <c r="V876" s="702"/>
      <c r="W876" s="702"/>
      <c r="X876" s="703"/>
    </row>
    <row r="877" spans="18:24" s="701" customFormat="1">
      <c r="R877" s="702"/>
      <c r="S877" s="702"/>
      <c r="T877" s="702"/>
      <c r="U877" s="702"/>
      <c r="V877" s="702"/>
      <c r="W877" s="702"/>
      <c r="X877" s="703"/>
    </row>
    <row r="878" spans="18:24" s="701" customFormat="1">
      <c r="R878" s="702"/>
      <c r="S878" s="702"/>
      <c r="T878" s="702"/>
      <c r="U878" s="702"/>
      <c r="V878" s="702"/>
      <c r="W878" s="702"/>
      <c r="X878" s="703"/>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L19" formulaRange="1"/>
    <ignoredError sqref="T1:T2"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2"/>
  <sheetViews>
    <sheetView topLeftCell="A7" zoomScaleNormal="100" workbookViewId="0">
      <selection activeCell="L9" sqref="L9"/>
    </sheetView>
  </sheetViews>
  <sheetFormatPr baseColWidth="10" defaultColWidth="10.921875" defaultRowHeight="11.4"/>
  <cols>
    <col min="1" max="1" width="1.69140625" style="1" customWidth="1"/>
    <col min="2" max="2" width="6.15234375" style="1" customWidth="1"/>
    <col min="3" max="3" width="6.3828125" style="1" customWidth="1"/>
    <col min="4" max="4" width="10.84375" style="1" customWidth="1"/>
    <col min="5" max="5" width="7.921875" style="1" bestFit="1" customWidth="1"/>
    <col min="6" max="6" width="8.3828125" style="1" bestFit="1" customWidth="1"/>
    <col min="7" max="7" width="7.921875" style="1" bestFit="1" customWidth="1"/>
    <col min="8" max="8" width="8.23046875" style="1" customWidth="1"/>
    <col min="9" max="9" width="6.3828125" style="1" customWidth="1"/>
    <col min="10" max="10" width="1.921875" style="1" customWidth="1"/>
    <col min="11" max="11" width="2.921875" style="1" customWidth="1"/>
    <col min="12" max="12" width="5.07421875" style="1" bestFit="1" customWidth="1"/>
    <col min="13" max="13" width="3.3828125" style="1" customWidth="1"/>
    <col min="14" max="14" width="11.3046875" style="1" customWidth="1"/>
    <col min="15" max="16" width="3.3828125" style="1" customWidth="1"/>
    <col min="17" max="17" width="7.921875" style="1" customWidth="1"/>
    <col min="18" max="18" width="2" style="1" customWidth="1"/>
    <col min="19" max="24" width="3" style="2" customWidth="1"/>
    <col min="25" max="16384" width="10.921875" style="1"/>
  </cols>
  <sheetData>
    <row r="1" spans="2:14" s="22" customFormat="1" ht="12.75" customHeight="1">
      <c r="B1" s="857" t="s">
        <v>199</v>
      </c>
      <c r="C1" s="857"/>
      <c r="D1" s="857"/>
      <c r="E1" s="857"/>
      <c r="F1" s="857"/>
      <c r="G1" s="857"/>
      <c r="H1" s="857"/>
      <c r="I1" s="857"/>
    </row>
    <row r="2" spans="2:14" s="22" customFormat="1" ht="6" customHeight="1"/>
    <row r="3" spans="2:14" s="22" customFormat="1" ht="13.2">
      <c r="B3" s="766" t="s">
        <v>589</v>
      </c>
      <c r="C3" s="766"/>
      <c r="D3" s="766"/>
      <c r="E3" s="766"/>
      <c r="F3" s="766"/>
      <c r="G3" s="766"/>
      <c r="H3" s="766"/>
      <c r="I3" s="766"/>
    </row>
    <row r="4" spans="2:14" s="22" customFormat="1" ht="13.2">
      <c r="B4" s="838" t="s">
        <v>667</v>
      </c>
      <c r="C4" s="838"/>
      <c r="D4" s="838"/>
      <c r="E4" s="838"/>
      <c r="F4" s="838"/>
      <c r="G4" s="838"/>
      <c r="H4" s="838"/>
      <c r="I4" s="838"/>
    </row>
    <row r="5" spans="2:14" s="22" customFormat="1" ht="15" customHeight="1">
      <c r="B5" s="766" t="s">
        <v>590</v>
      </c>
      <c r="C5" s="766"/>
      <c r="D5" s="766"/>
      <c r="E5" s="766"/>
      <c r="F5" s="766"/>
      <c r="G5" s="766"/>
      <c r="H5" s="766"/>
      <c r="I5" s="766"/>
    </row>
    <row r="6" spans="2:14" s="22" customFormat="1" ht="50.25" customHeight="1">
      <c r="B6" s="339" t="s">
        <v>435</v>
      </c>
      <c r="C6" s="339" t="s">
        <v>591</v>
      </c>
      <c r="D6" s="339" t="s">
        <v>592</v>
      </c>
      <c r="E6" s="339" t="s">
        <v>593</v>
      </c>
      <c r="F6" s="339" t="s">
        <v>594</v>
      </c>
      <c r="G6" s="339" t="s">
        <v>595</v>
      </c>
      <c r="H6" s="339" t="s">
        <v>606</v>
      </c>
      <c r="I6" s="339" t="s">
        <v>596</v>
      </c>
      <c r="M6"/>
      <c r="N6"/>
    </row>
    <row r="7" spans="2:14" s="22" customFormat="1" ht="86.4" customHeight="1">
      <c r="B7" s="128" t="s">
        <v>182</v>
      </c>
      <c r="C7" s="103" t="s">
        <v>597</v>
      </c>
      <c r="D7" s="103" t="s">
        <v>598</v>
      </c>
      <c r="E7" s="461" t="s">
        <v>599</v>
      </c>
      <c r="F7" s="461" t="s">
        <v>600</v>
      </c>
      <c r="G7" s="461" t="s">
        <v>601</v>
      </c>
      <c r="H7" s="461" t="s">
        <v>602</v>
      </c>
      <c r="I7" s="461" t="s">
        <v>603</v>
      </c>
      <c r="M7"/>
      <c r="N7"/>
    </row>
    <row r="8" spans="2:14" s="22" customFormat="1" ht="15.75" customHeight="1">
      <c r="B8" s="52">
        <v>2015</v>
      </c>
      <c r="C8" s="46">
        <v>0.184</v>
      </c>
      <c r="D8" s="46">
        <v>165.41900000000001</v>
      </c>
      <c r="E8" s="46">
        <v>33427.444000000003</v>
      </c>
      <c r="F8" s="46">
        <v>79329.955000000002</v>
      </c>
      <c r="G8" s="46">
        <v>5746.4930000000004</v>
      </c>
      <c r="H8" s="46">
        <v>118503.89200000001</v>
      </c>
      <c r="I8" s="46">
        <v>23403.947</v>
      </c>
      <c r="J8" s="95"/>
      <c r="M8"/>
      <c r="N8"/>
    </row>
    <row r="9" spans="2:14" s="22" customFormat="1" ht="15.75" customHeight="1">
      <c r="B9" s="52">
        <v>2016</v>
      </c>
      <c r="C9" s="46">
        <v>2.65</v>
      </c>
      <c r="D9" s="46">
        <v>245.19800000000001</v>
      </c>
      <c r="E9" s="46">
        <v>32468.589</v>
      </c>
      <c r="F9" s="46">
        <v>63325.135999999999</v>
      </c>
      <c r="G9" s="46">
        <v>8109.7209999999995</v>
      </c>
      <c r="H9" s="46">
        <v>103903.44600000001</v>
      </c>
      <c r="I9" s="46">
        <v>25158.268</v>
      </c>
      <c r="J9" s="95"/>
      <c r="M9"/>
      <c r="N9"/>
    </row>
    <row r="10" spans="2:14" s="22" customFormat="1" ht="15.75" customHeight="1">
      <c r="B10" s="52">
        <v>2017</v>
      </c>
      <c r="C10" s="46">
        <v>0</v>
      </c>
      <c r="D10" s="46">
        <v>251</v>
      </c>
      <c r="E10" s="46">
        <v>51251.331999999995</v>
      </c>
      <c r="F10" s="46">
        <v>71736.990999999995</v>
      </c>
      <c r="G10" s="46">
        <v>8223.1779999999999</v>
      </c>
      <c r="H10" s="46">
        <v>131211.50099999999</v>
      </c>
      <c r="I10" s="46">
        <v>23480.124</v>
      </c>
      <c r="J10" s="95"/>
      <c r="M10"/>
      <c r="N10"/>
    </row>
    <row r="11" spans="2:14" s="22" customFormat="1" ht="15.75" customHeight="1">
      <c r="B11" s="52">
        <v>2018</v>
      </c>
      <c r="C11" s="46">
        <v>2.6</v>
      </c>
      <c r="D11" s="46">
        <v>132</v>
      </c>
      <c r="E11" s="46">
        <v>34146.11952</v>
      </c>
      <c r="F11" s="46">
        <v>88590.467260000005</v>
      </c>
      <c r="G11" s="46">
        <v>10628.6798</v>
      </c>
      <c r="H11" s="46">
        <v>133365</v>
      </c>
      <c r="I11" s="46">
        <v>30688.84042</v>
      </c>
      <c r="J11" s="95"/>
      <c r="M11"/>
      <c r="N11" s="433"/>
    </row>
    <row r="12" spans="2:14" s="22" customFormat="1" ht="15.75" customHeight="1">
      <c r="B12" s="52">
        <v>2019</v>
      </c>
      <c r="C12" s="46">
        <v>11</v>
      </c>
      <c r="D12" s="46">
        <v>291</v>
      </c>
      <c r="E12" s="46">
        <v>36413</v>
      </c>
      <c r="F12" s="46">
        <v>84744.584040000016</v>
      </c>
      <c r="G12" s="46">
        <v>5123.49629</v>
      </c>
      <c r="H12" s="46">
        <v>126281.55284999999</v>
      </c>
      <c r="I12" s="46">
        <v>27380.79</v>
      </c>
      <c r="J12" s="95"/>
      <c r="K12" s="22" t="s">
        <v>690</v>
      </c>
      <c r="L12" s="95"/>
      <c r="M12"/>
      <c r="N12" s="433"/>
    </row>
    <row r="13" spans="2:14" s="22" customFormat="1" ht="15.75" customHeight="1">
      <c r="B13" s="52">
        <v>2020</v>
      </c>
      <c r="C13" s="46">
        <v>36.160879999999999</v>
      </c>
      <c r="D13" s="46">
        <v>361.52414999999996</v>
      </c>
      <c r="E13" s="46">
        <v>52918.822890000003</v>
      </c>
      <c r="F13" s="46">
        <v>100601.82218000002</v>
      </c>
      <c r="G13" s="46">
        <v>13833.749479999999</v>
      </c>
      <c r="H13" s="46">
        <v>167354.39455000003</v>
      </c>
      <c r="I13" s="46">
        <v>30916.17628</v>
      </c>
      <c r="J13" s="95"/>
      <c r="L13" s="95"/>
      <c r="M13"/>
      <c r="N13" s="433"/>
    </row>
    <row r="14" spans="2:14" s="22" customFormat="1" ht="15.75" customHeight="1">
      <c r="B14" s="52">
        <v>2021</v>
      </c>
      <c r="C14" s="46">
        <v>24.07762</v>
      </c>
      <c r="D14" s="46">
        <v>194.31326999999999</v>
      </c>
      <c r="E14" s="46">
        <v>53219.585890000002</v>
      </c>
      <c r="F14" s="46">
        <v>62602.326540000002</v>
      </c>
      <c r="G14" s="46">
        <v>15387.177729999999</v>
      </c>
      <c r="H14" s="46">
        <v>131209.09016000002</v>
      </c>
      <c r="I14" s="46">
        <v>41152.463060000002</v>
      </c>
      <c r="J14" s="95"/>
      <c r="L14" s="95"/>
      <c r="M14"/>
      <c r="N14" s="433"/>
    </row>
    <row r="15" spans="2:14" s="22" customFormat="1" ht="15.75" customHeight="1">
      <c r="B15" s="593" t="s">
        <v>669</v>
      </c>
      <c r="C15" s="46">
        <v>22.437999999999999</v>
      </c>
      <c r="D15" s="46">
        <v>988.93449999999996</v>
      </c>
      <c r="E15" s="46">
        <v>26037.90984</v>
      </c>
      <c r="F15" s="46">
        <v>29209.939480000005</v>
      </c>
      <c r="G15" s="46">
        <v>5604.6272399999998</v>
      </c>
      <c r="H15" s="46">
        <v>60852.476560000003</v>
      </c>
      <c r="I15" s="46">
        <v>9588.8703299999997</v>
      </c>
      <c r="J15" s="95"/>
      <c r="L15" s="95"/>
      <c r="M15"/>
      <c r="N15" s="433"/>
    </row>
    <row r="16" spans="2:14" s="22" customFormat="1" ht="26.25" customHeight="1">
      <c r="B16" s="867" t="s">
        <v>741</v>
      </c>
      <c r="C16" s="867"/>
      <c r="D16" s="867"/>
      <c r="E16" s="867"/>
      <c r="F16" s="867"/>
      <c r="G16" s="867"/>
      <c r="H16" s="867"/>
      <c r="I16" s="867"/>
      <c r="J16" s="95"/>
    </row>
    <row r="17" spans="2:24" ht="29.25" customHeight="1">
      <c r="B17" s="1" t="s">
        <v>699</v>
      </c>
      <c r="C17" s="12"/>
      <c r="D17" s="12"/>
      <c r="E17" s="12"/>
      <c r="F17" s="12"/>
      <c r="G17" s="12"/>
      <c r="H17" s="12"/>
      <c r="K17" s="22"/>
      <c r="L17" s="22"/>
      <c r="M17" s="22"/>
      <c r="N17" s="22"/>
      <c r="O17" s="22"/>
    </row>
    <row r="18" spans="2:24" ht="13.2">
      <c r="C18" s="12"/>
      <c r="D18" s="12"/>
      <c r="E18" s="12"/>
      <c r="F18" s="12"/>
      <c r="G18" s="12"/>
      <c r="H18" s="12"/>
      <c r="J18" s="12"/>
      <c r="K18" s="22"/>
      <c r="L18" s="22"/>
      <c r="M18" s="22"/>
      <c r="N18" s="22"/>
      <c r="O18" s="22"/>
    </row>
    <row r="19" spans="2:24">
      <c r="C19" s="12"/>
      <c r="D19" s="12"/>
      <c r="E19" s="12"/>
      <c r="F19" s="12"/>
      <c r="G19" s="12"/>
      <c r="H19" s="12"/>
    </row>
    <row r="21" spans="2:24" ht="15" customHeight="1"/>
    <row r="22" spans="2:24" ht="15" customHeight="1">
      <c r="B22" s="4"/>
      <c r="C22" s="4"/>
      <c r="D22" s="4"/>
      <c r="E22" s="4"/>
      <c r="F22" s="4"/>
      <c r="G22" s="4"/>
      <c r="H22" s="4"/>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3"/>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7"/>
  <sheetViews>
    <sheetView zoomScaleNormal="100" workbookViewId="0">
      <selection activeCell="L28" sqref="L28"/>
    </sheetView>
  </sheetViews>
  <sheetFormatPr baseColWidth="10" defaultColWidth="10.921875" defaultRowHeight="11.4"/>
  <cols>
    <col min="1" max="1" width="1" style="1" customWidth="1"/>
    <col min="2" max="7" width="8.84375" style="1" customWidth="1"/>
    <col min="8" max="8" width="1.3828125" style="1" customWidth="1"/>
    <col min="9" max="9" width="4.3828125" style="1" customWidth="1"/>
    <col min="10" max="10" width="4" style="1" customWidth="1"/>
    <col min="11" max="11" width="7.3046875" style="1" bestFit="1" customWidth="1"/>
    <col min="12" max="12" width="4.23046875" style="1" customWidth="1"/>
    <col min="13" max="13" width="4.765625" style="1" customWidth="1"/>
    <col min="14" max="25" width="3.3828125" style="1" customWidth="1"/>
    <col min="26" max="26" width="7.921875" style="1" customWidth="1"/>
    <col min="27" max="27" width="2" style="1" customWidth="1"/>
    <col min="28" max="33" width="3" style="2" customWidth="1"/>
    <col min="34" max="16384" width="10.921875" style="1"/>
  </cols>
  <sheetData>
    <row r="1" spans="2:20" s="22" customFormat="1" ht="12.75" customHeight="1">
      <c r="B1" s="857" t="s">
        <v>215</v>
      </c>
      <c r="C1" s="857"/>
      <c r="D1" s="857"/>
      <c r="E1" s="857"/>
      <c r="F1" s="857"/>
      <c r="G1" s="857"/>
    </row>
    <row r="2" spans="2:20" s="22" customFormat="1" ht="6" customHeight="1"/>
    <row r="3" spans="2:20" s="22" customFormat="1" ht="13.2">
      <c r="B3" s="766" t="s">
        <v>589</v>
      </c>
      <c r="C3" s="766"/>
      <c r="D3" s="766"/>
      <c r="E3" s="766"/>
      <c r="F3" s="766"/>
      <c r="G3" s="766"/>
    </row>
    <row r="4" spans="2:20" s="22" customFormat="1" ht="15" customHeight="1">
      <c r="B4" s="766" t="s">
        <v>604</v>
      </c>
      <c r="C4" s="766"/>
      <c r="D4" s="766"/>
      <c r="E4" s="766"/>
      <c r="F4" s="766"/>
      <c r="G4" s="766"/>
    </row>
    <row r="5" spans="2:20" s="22" customFormat="1" ht="13.2">
      <c r="B5" s="838" t="s">
        <v>668</v>
      </c>
      <c r="C5" s="838"/>
      <c r="D5" s="838"/>
      <c r="E5" s="838"/>
      <c r="F5" s="838"/>
      <c r="G5" s="838"/>
    </row>
    <row r="6" spans="2:20" s="22" customFormat="1" ht="13.2">
      <c r="B6" s="838" t="s">
        <v>605</v>
      </c>
      <c r="C6" s="838"/>
      <c r="D6" s="838"/>
      <c r="E6" s="838"/>
      <c r="F6" s="838"/>
      <c r="G6" s="838"/>
    </row>
    <row r="7" spans="2:20" s="22" customFormat="1" ht="43.5" customHeight="1">
      <c r="B7" s="339" t="s">
        <v>435</v>
      </c>
      <c r="C7" s="339" t="s">
        <v>593</v>
      </c>
      <c r="D7" s="339" t="s">
        <v>594</v>
      </c>
      <c r="E7" s="339" t="s">
        <v>595</v>
      </c>
      <c r="F7" s="339" t="s">
        <v>606</v>
      </c>
      <c r="G7" s="339" t="s">
        <v>596</v>
      </c>
    </row>
    <row r="8" spans="2:20" s="22" customFormat="1" ht="81" customHeight="1">
      <c r="B8" s="128" t="s">
        <v>182</v>
      </c>
      <c r="C8" s="461" t="s">
        <v>599</v>
      </c>
      <c r="D8" s="461" t="s">
        <v>607</v>
      </c>
      <c r="E8" s="461" t="s">
        <v>601</v>
      </c>
      <c r="F8" s="461" t="s">
        <v>602</v>
      </c>
      <c r="G8" s="461" t="s">
        <v>603</v>
      </c>
      <c r="K8" s="63"/>
      <c r="L8" s="63"/>
    </row>
    <row r="9" spans="2:20" s="22" customFormat="1" ht="15.75" customHeight="1">
      <c r="B9" s="307">
        <v>2015</v>
      </c>
      <c r="C9" s="46">
        <v>531.85660859980794</v>
      </c>
      <c r="D9" s="46">
        <v>516.63461789193218</v>
      </c>
      <c r="E9" s="46">
        <v>560.80778311223924</v>
      </c>
      <c r="F9" s="46">
        <v>523.061346988266</v>
      </c>
      <c r="G9" s="46">
        <v>408.69529400318663</v>
      </c>
      <c r="J9" s="213"/>
      <c r="K9" s="451"/>
      <c r="L9" s="451"/>
      <c r="M9" s="403"/>
      <c r="P9" s="95"/>
      <c r="Q9" s="95"/>
      <c r="R9" s="95"/>
      <c r="S9" s="95"/>
      <c r="T9" s="95"/>
    </row>
    <row r="10" spans="2:20" s="22" customFormat="1" ht="15.75" customHeight="1">
      <c r="B10" s="307">
        <v>2016</v>
      </c>
      <c r="C10" s="46">
        <v>511.09590872581498</v>
      </c>
      <c r="D10" s="46">
        <v>447.0824981726056</v>
      </c>
      <c r="E10" s="46">
        <v>551.24066536937585</v>
      </c>
      <c r="F10" s="46">
        <v>475.21552846283851</v>
      </c>
      <c r="G10" s="46">
        <v>381.70725995316155</v>
      </c>
      <c r="J10" s="213"/>
      <c r="K10" s="451"/>
      <c r="L10" s="451"/>
      <c r="M10" s="403"/>
      <c r="P10" s="95"/>
      <c r="Q10" s="95"/>
      <c r="R10" s="95"/>
      <c r="S10" s="95"/>
      <c r="T10" s="95"/>
    </row>
    <row r="11" spans="2:20" s="22" customFormat="1" ht="15.75" customHeight="1">
      <c r="B11" s="307">
        <v>2017</v>
      </c>
      <c r="C11" s="46">
        <v>549</v>
      </c>
      <c r="D11" s="46">
        <v>473</v>
      </c>
      <c r="E11" s="46">
        <v>548</v>
      </c>
      <c r="F11" s="46">
        <v>507</v>
      </c>
      <c r="G11" s="46">
        <v>386</v>
      </c>
      <c r="J11" s="213"/>
      <c r="K11" s="451"/>
      <c r="L11" s="451"/>
      <c r="M11" s="403"/>
      <c r="P11" s="95"/>
      <c r="Q11" s="95"/>
      <c r="R11" s="95"/>
      <c r="S11" s="95"/>
      <c r="T11" s="95"/>
    </row>
    <row r="12" spans="2:20" s="22" customFormat="1" ht="15.75" customHeight="1">
      <c r="B12" s="307">
        <v>2018</v>
      </c>
      <c r="C12" s="46">
        <f>AVERAGE(C3:C11)</f>
        <v>530.65083910854094</v>
      </c>
      <c r="D12" s="46">
        <f>AVERAGE(D3:D11)</f>
        <v>478.90570535484591</v>
      </c>
      <c r="E12" s="46">
        <f>AVERAGE(E3:E11)</f>
        <v>553.34948282720507</v>
      </c>
      <c r="F12" s="46">
        <f>AVERAGE(F3:F11)</f>
        <v>501.75895848370146</v>
      </c>
      <c r="G12" s="46">
        <f>AVERAGE(G3:G11)</f>
        <v>392.13418465211606</v>
      </c>
      <c r="I12" s="226"/>
      <c r="J12" s="225"/>
      <c r="K12" s="451"/>
      <c r="L12" s="403"/>
      <c r="M12" s="403"/>
      <c r="P12" s="95"/>
      <c r="Q12" s="95"/>
      <c r="R12" s="95"/>
      <c r="S12" s="95"/>
      <c r="T12" s="95"/>
    </row>
    <row r="13" spans="2:20" s="22" customFormat="1" ht="15.75" customHeight="1">
      <c r="B13" s="463">
        <v>2019</v>
      </c>
      <c r="C13" s="46">
        <v>530.68294408786574</v>
      </c>
      <c r="D13" s="46">
        <v>439.6641496326306</v>
      </c>
      <c r="E13" s="46">
        <v>646.42421024975886</v>
      </c>
      <c r="F13" s="46">
        <v>472.75245779219557</v>
      </c>
      <c r="G13" s="46">
        <v>357.29194952655001</v>
      </c>
      <c r="I13" s="226" t="s">
        <v>690</v>
      </c>
      <c r="J13" s="225"/>
      <c r="K13" s="451"/>
      <c r="L13" s="403"/>
      <c r="M13" s="403"/>
      <c r="P13" s="95"/>
      <c r="Q13" s="95"/>
      <c r="R13" s="95"/>
      <c r="S13" s="95"/>
      <c r="T13" s="95"/>
    </row>
    <row r="14" spans="2:20" s="22" customFormat="1" ht="15.75" customHeight="1">
      <c r="B14" s="463">
        <v>2020</v>
      </c>
      <c r="C14" s="46">
        <v>572.19839573180616</v>
      </c>
      <c r="D14" s="46">
        <v>505.45948706494579</v>
      </c>
      <c r="E14" s="46">
        <v>574.76875640634387</v>
      </c>
      <c r="F14" s="46">
        <v>530.79608413587209</v>
      </c>
      <c r="G14" s="46">
        <v>380.60525246744896</v>
      </c>
      <c r="I14" s="226"/>
      <c r="J14" s="225"/>
      <c r="K14" s="451"/>
      <c r="L14" s="403"/>
      <c r="M14" s="403"/>
      <c r="P14" s="95"/>
      <c r="Q14" s="95"/>
      <c r="R14" s="95"/>
      <c r="S14" s="95"/>
      <c r="T14" s="95"/>
    </row>
    <row r="15" spans="2:20" s="22" customFormat="1" ht="15.75" customHeight="1">
      <c r="B15" s="463">
        <v>2021</v>
      </c>
      <c r="C15" s="46">
        <v>629.16241319891003</v>
      </c>
      <c r="D15" s="46">
        <v>534.64074898148556</v>
      </c>
      <c r="E15" s="46">
        <v>640.48616495179488</v>
      </c>
      <c r="F15" s="46">
        <v>581.99136732368606</v>
      </c>
      <c r="G15" s="46">
        <v>428.26342897370228</v>
      </c>
      <c r="I15" s="226"/>
      <c r="J15" s="225"/>
      <c r="K15" s="451"/>
      <c r="L15" s="403"/>
      <c r="M15" s="403"/>
      <c r="P15" s="95"/>
      <c r="Q15" s="95"/>
      <c r="R15" s="95"/>
      <c r="S15" s="95"/>
      <c r="T15" s="95"/>
    </row>
    <row r="16" spans="2:20" s="22" customFormat="1" ht="15.75" customHeight="1">
      <c r="B16" s="463" t="s">
        <v>669</v>
      </c>
      <c r="C16" s="46">
        <v>618.75085196345185</v>
      </c>
      <c r="D16" s="46">
        <v>501.93471902152561</v>
      </c>
      <c r="E16" s="46">
        <v>534.32452945448051</v>
      </c>
      <c r="F16" s="46">
        <v>552.98476272779385</v>
      </c>
      <c r="G16" s="46">
        <v>429.48411619130059</v>
      </c>
      <c r="I16" s="226"/>
      <c r="J16" s="225"/>
      <c r="K16" s="451"/>
      <c r="L16" s="403"/>
      <c r="M16" s="403"/>
      <c r="P16" s="95"/>
      <c r="Q16" s="95"/>
      <c r="R16" s="95"/>
      <c r="S16" s="95"/>
      <c r="T16" s="95"/>
    </row>
    <row r="17" spans="2:33" s="39" customFormat="1" ht="30" customHeight="1">
      <c r="B17" s="867" t="s">
        <v>750</v>
      </c>
      <c r="C17" s="867"/>
      <c r="D17" s="867"/>
      <c r="E17" s="867"/>
      <c r="F17" s="867"/>
      <c r="G17" s="867"/>
      <c r="I17" s="605"/>
      <c r="J17" s="605"/>
    </row>
    <row r="18" spans="2:33">
      <c r="C18" s="214"/>
      <c r="D18" s="214"/>
      <c r="E18" s="214"/>
      <c r="F18" s="214"/>
      <c r="G18" s="214"/>
      <c r="I18" s="13"/>
      <c r="J18" s="13"/>
      <c r="K18" s="13"/>
    </row>
    <row r="19" spans="2:33">
      <c r="I19" s="13"/>
      <c r="J19" s="13"/>
      <c r="K19" s="13"/>
    </row>
    <row r="20" spans="2:33">
      <c r="I20" s="13"/>
      <c r="J20" s="13"/>
      <c r="K20" s="13"/>
    </row>
    <row r="21" spans="2:33">
      <c r="I21" s="13"/>
      <c r="J21" s="13"/>
      <c r="K21" s="13"/>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2:33" ht="78.599999999999994" customHeight="1"/>
    <row r="34" spans="2:33" ht="15" customHeight="1">
      <c r="B34" s="911"/>
      <c r="C34" s="911"/>
      <c r="D34" s="911"/>
      <c r="E34" s="911"/>
      <c r="F34" s="911"/>
      <c r="G34" s="911"/>
      <c r="AB34" s="3"/>
    </row>
    <row r="35" spans="2:33" ht="15" customHeight="1">
      <c r="B35" s="911"/>
      <c r="C35" s="911"/>
      <c r="D35" s="911"/>
      <c r="E35" s="911"/>
      <c r="F35" s="911"/>
      <c r="G35" s="911"/>
      <c r="AB35" s="3"/>
    </row>
    <row r="36" spans="2:33" ht="15" customHeight="1">
      <c r="AB36" s="3"/>
    </row>
    <row r="37" spans="2:33" ht="15" customHeight="1">
      <c r="AB37" s="3"/>
    </row>
    <row r="38" spans="2:33" ht="15" customHeight="1"/>
    <row r="39" spans="2:33" ht="15" customHeight="1">
      <c r="AB39" s="3"/>
      <c r="AC39" s="3"/>
      <c r="AD39" s="3"/>
      <c r="AE39" s="3"/>
      <c r="AF39" s="3"/>
      <c r="AG39" s="3"/>
    </row>
    <row r="40" spans="2:33" ht="15" customHeight="1">
      <c r="AB40" s="3"/>
      <c r="AC40" s="3"/>
      <c r="AD40" s="3"/>
      <c r="AE40" s="3"/>
      <c r="AF40" s="3"/>
      <c r="AG40" s="3"/>
    </row>
    <row r="41" spans="2:33" ht="15" customHeight="1">
      <c r="AB41" s="3"/>
      <c r="AC41" s="3"/>
      <c r="AD41" s="3"/>
      <c r="AE41" s="3"/>
      <c r="AF41" s="3"/>
      <c r="AG41" s="3"/>
    </row>
    <row r="42" spans="2:33" ht="15" customHeight="1">
      <c r="AB42" s="3"/>
      <c r="AC42" s="3"/>
      <c r="AD42" s="3"/>
      <c r="AE42" s="3"/>
      <c r="AF42" s="3"/>
      <c r="AG42" s="3"/>
    </row>
    <row r="43" spans="2:33" ht="15" customHeight="1">
      <c r="AB43" s="3"/>
      <c r="AC43" s="3"/>
      <c r="AD43" s="3"/>
      <c r="AE43" s="3"/>
      <c r="AF43" s="3"/>
      <c r="AG43" s="3"/>
    </row>
    <row r="44" spans="2:33" ht="15" customHeight="1">
      <c r="AB44" s="3"/>
      <c r="AC44" s="3"/>
      <c r="AD44" s="3"/>
      <c r="AE44" s="3"/>
      <c r="AF44" s="3"/>
      <c r="AG44" s="3"/>
    </row>
    <row r="45" spans="2:33" ht="15" customHeight="1">
      <c r="AB45" s="3"/>
      <c r="AC45" s="3"/>
      <c r="AD45" s="3"/>
      <c r="AE45" s="3"/>
      <c r="AF45" s="3"/>
      <c r="AG45" s="3"/>
    </row>
    <row r="46" spans="2:33" ht="15" customHeight="1">
      <c r="AB46" s="3"/>
      <c r="AC46" s="3"/>
      <c r="AD46" s="3"/>
      <c r="AE46" s="3"/>
      <c r="AF46" s="3"/>
      <c r="AG46" s="3"/>
    </row>
    <row r="47" spans="2:33" ht="15" customHeight="1">
      <c r="AB47" s="3"/>
      <c r="AC47" s="3"/>
      <c r="AD47" s="3"/>
      <c r="AE47" s="3"/>
      <c r="AF47" s="3"/>
      <c r="AG47" s="3"/>
    </row>
    <row r="48" spans="2:33" ht="15" customHeight="1">
      <c r="AB48" s="3"/>
      <c r="AC48" s="3"/>
      <c r="AD48" s="3"/>
      <c r="AE48" s="3"/>
      <c r="AF48" s="3"/>
      <c r="AG48" s="3"/>
    </row>
    <row r="49" spans="28:33" ht="15" customHeight="1">
      <c r="AB49" s="3"/>
      <c r="AC49" s="3"/>
      <c r="AD49" s="3"/>
      <c r="AE49" s="3"/>
      <c r="AF49" s="3"/>
      <c r="AG49" s="3"/>
    </row>
    <row r="50" spans="28:33" ht="15" customHeight="1">
      <c r="AB50" s="3"/>
      <c r="AC50" s="3"/>
      <c r="AD50" s="3"/>
      <c r="AE50" s="3"/>
      <c r="AF50" s="3"/>
      <c r="AG50" s="3"/>
    </row>
    <row r="51" spans="28:33" ht="15" customHeight="1">
      <c r="AB51" s="3"/>
    </row>
    <row r="52" spans="28:33" ht="15" customHeight="1"/>
    <row r="53" spans="28:33" ht="15" customHeight="1"/>
    <row r="54" spans="28:33" ht="15" customHeight="1"/>
    <row r="55" spans="28:33" ht="15" customHeight="1"/>
    <row r="56" spans="28:33" ht="15" customHeight="1"/>
    <row r="57" spans="28: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zoomScaleNormal="100" zoomScaleSheetLayoutView="75" workbookViewId="0">
      <selection activeCell="J9" sqref="J9"/>
    </sheetView>
  </sheetViews>
  <sheetFormatPr baseColWidth="10" defaultColWidth="10.921875" defaultRowHeight="11.4"/>
  <cols>
    <col min="1" max="1" width="1.3046875" style="1" customWidth="1"/>
    <col min="2" max="2" width="10.69140625" style="1" customWidth="1"/>
    <col min="3" max="3" width="7.23046875" style="1" customWidth="1"/>
    <col min="4" max="4" width="7.921875" style="1" customWidth="1"/>
    <col min="5" max="5" width="6.84375" style="1" customWidth="1"/>
    <col min="6" max="6" width="6.3828125" style="1" customWidth="1"/>
    <col min="7" max="7" width="6.921875" style="1" customWidth="1"/>
    <col min="8" max="8" width="6.765625" style="1" customWidth="1"/>
    <col min="9" max="9" width="9.3046875" style="1" customWidth="1"/>
    <col min="10" max="10" width="5.3828125" style="1" customWidth="1"/>
    <col min="11" max="12" width="6.07421875" style="1" customWidth="1"/>
    <col min="13" max="13" width="4.921875" style="1" customWidth="1"/>
    <col min="14" max="14" width="5.3046875" style="1" customWidth="1"/>
    <col min="15" max="15" width="4.69140625" style="1" customWidth="1"/>
    <col min="16" max="16384" width="10.921875" style="1"/>
  </cols>
  <sheetData>
    <row r="1" spans="2:16" s="15" customFormat="1" ht="13.2">
      <c r="B1" s="766" t="s">
        <v>219</v>
      </c>
      <c r="C1" s="766"/>
      <c r="D1" s="766"/>
      <c r="E1" s="766"/>
      <c r="F1" s="766"/>
      <c r="G1" s="766"/>
      <c r="H1" s="766"/>
    </row>
    <row r="2" spans="2:16" s="15" customFormat="1" ht="13.2"/>
    <row r="3" spans="2:16" s="15" customFormat="1" ht="13.2">
      <c r="B3" s="766" t="s">
        <v>239</v>
      </c>
      <c r="C3" s="766"/>
      <c r="D3" s="766"/>
      <c r="E3" s="766"/>
      <c r="F3" s="766"/>
      <c r="G3" s="766"/>
      <c r="H3" s="766"/>
    </row>
    <row r="4" spans="2:16" s="15" customFormat="1" ht="13.2">
      <c r="B4" s="766" t="s">
        <v>665</v>
      </c>
      <c r="C4" s="766"/>
      <c r="D4" s="766"/>
      <c r="E4" s="766"/>
      <c r="F4" s="766"/>
      <c r="G4" s="766"/>
      <c r="H4" s="766"/>
    </row>
    <row r="5" spans="2:16" s="15" customFormat="1" ht="13.2">
      <c r="B5" s="766" t="s">
        <v>608</v>
      </c>
      <c r="C5" s="766"/>
      <c r="D5" s="766"/>
      <c r="E5" s="766"/>
      <c r="F5" s="766"/>
      <c r="G5" s="766"/>
      <c r="H5" s="766"/>
    </row>
    <row r="6" spans="2:16" s="22" customFormat="1" ht="15.75" customHeight="1">
      <c r="B6" s="215"/>
      <c r="C6" s="212">
        <v>2017</v>
      </c>
      <c r="D6" s="212">
        <v>2018</v>
      </c>
      <c r="E6" s="212">
        <v>2019</v>
      </c>
      <c r="F6" s="212">
        <v>2020</v>
      </c>
      <c r="G6" s="128">
        <v>2021</v>
      </c>
      <c r="H6" s="592">
        <v>2022</v>
      </c>
    </row>
    <row r="7" spans="2:16" s="22" customFormat="1" ht="15.75" customHeight="1">
      <c r="B7" s="24" t="s">
        <v>203</v>
      </c>
      <c r="C7" s="46">
        <v>190868.42105263201</v>
      </c>
      <c r="D7" s="46"/>
      <c r="E7" s="244"/>
      <c r="F7" s="47"/>
      <c r="G7" s="47"/>
      <c r="H7" s="46"/>
      <c r="I7" s="216"/>
      <c r="P7" s="216"/>
    </row>
    <row r="8" spans="2:16" s="22" customFormat="1" ht="15.75" customHeight="1">
      <c r="B8" s="24" t="s">
        <v>204</v>
      </c>
      <c r="C8" s="46"/>
      <c r="D8" s="46"/>
      <c r="E8" s="46"/>
      <c r="F8" s="46"/>
      <c r="G8" s="46"/>
      <c r="H8" s="46"/>
    </row>
    <row r="9" spans="2:16" s="22" customFormat="1" ht="15.75" customHeight="1">
      <c r="B9" s="348" t="s">
        <v>205</v>
      </c>
      <c r="C9" s="46"/>
      <c r="D9" s="46">
        <v>170000</v>
      </c>
      <c r="E9" s="46">
        <v>170500</v>
      </c>
      <c r="F9" s="46">
        <v>229324.07407407404</v>
      </c>
      <c r="G9" s="46">
        <v>232700</v>
      </c>
      <c r="H9" s="46"/>
      <c r="J9" s="392"/>
    </row>
    <row r="10" spans="2:16" s="22" customFormat="1" ht="15.75" customHeight="1">
      <c r="B10" s="348" t="s">
        <v>206</v>
      </c>
      <c r="C10" s="46">
        <v>204799.444444444</v>
      </c>
      <c r="D10" s="46">
        <v>167700</v>
      </c>
      <c r="E10" s="46">
        <v>173000</v>
      </c>
      <c r="F10" s="46">
        <v>237888.88888888888</v>
      </c>
      <c r="G10" s="46">
        <v>230633.33333333331</v>
      </c>
      <c r="H10" s="46">
        <v>258366.66666666663</v>
      </c>
      <c r="I10" s="217"/>
      <c r="P10" s="217"/>
    </row>
    <row r="11" spans="2:16" s="22" customFormat="1" ht="15.75" customHeight="1">
      <c r="B11" s="348" t="s">
        <v>207</v>
      </c>
      <c r="C11" s="46">
        <v>203591.11111111101</v>
      </c>
      <c r="D11" s="46">
        <v>173854.83870967742</v>
      </c>
      <c r="E11" s="46">
        <v>176666.66666666669</v>
      </c>
      <c r="F11" s="46">
        <v>236881.7204301075</v>
      </c>
      <c r="G11" s="46">
        <v>225316.66666666669</v>
      </c>
      <c r="H11" s="46">
        <v>267000.00000000006</v>
      </c>
    </row>
    <row r="12" spans="2:16" s="22" customFormat="1" ht="15.75" customHeight="1">
      <c r="B12" s="24" t="s">
        <v>208</v>
      </c>
      <c r="C12" s="46">
        <v>191201.61290322599</v>
      </c>
      <c r="D12" s="46">
        <v>171466.66666666669</v>
      </c>
      <c r="E12" s="46">
        <v>179000</v>
      </c>
      <c r="F12" s="46">
        <v>228216.66666666669</v>
      </c>
      <c r="G12" s="46">
        <v>227433.33333333331</v>
      </c>
      <c r="H12" s="46"/>
      <c r="I12" s="218"/>
      <c r="J12" s="216"/>
      <c r="P12" s="218"/>
    </row>
    <row r="13" spans="2:16" s="22" customFormat="1" ht="15.75" customHeight="1">
      <c r="B13" s="24" t="s">
        <v>209</v>
      </c>
      <c r="C13" s="46">
        <v>194322.58064516101</v>
      </c>
      <c r="D13" s="46">
        <v>175793</v>
      </c>
      <c r="E13" s="46">
        <v>173548.38709677421</v>
      </c>
      <c r="F13" s="46">
        <v>235423.07692307691</v>
      </c>
      <c r="G13" s="46">
        <v>228000</v>
      </c>
      <c r="H13" s="46"/>
    </row>
    <row r="14" spans="2:16" s="22" customFormat="1" ht="15.75" customHeight="1">
      <c r="B14" s="24" t="s">
        <v>210</v>
      </c>
      <c r="C14" s="46">
        <v>190612.90322580643</v>
      </c>
      <c r="D14" s="46">
        <v>178167</v>
      </c>
      <c r="E14" s="46">
        <v>177742</v>
      </c>
      <c r="F14" s="46">
        <v>229000</v>
      </c>
      <c r="G14" s="46">
        <v>235700</v>
      </c>
      <c r="H14" s="46"/>
    </row>
    <row r="15" spans="2:16" s="22" customFormat="1" ht="15.75" customHeight="1">
      <c r="B15" s="24" t="s">
        <v>211</v>
      </c>
      <c r="C15" s="46">
        <v>189000</v>
      </c>
      <c r="D15" s="46">
        <v>177000</v>
      </c>
      <c r="E15" s="46">
        <v>185400</v>
      </c>
      <c r="F15" s="46"/>
      <c r="G15" s="46"/>
      <c r="H15" s="46"/>
    </row>
    <row r="16" spans="2:16" s="22" customFormat="1" ht="15.75" customHeight="1">
      <c r="B16" s="24" t="s">
        <v>212</v>
      </c>
      <c r="C16" s="46"/>
      <c r="D16" s="46"/>
      <c r="E16" s="46"/>
      <c r="F16" s="46"/>
      <c r="G16" s="46"/>
      <c r="H16" s="46"/>
    </row>
    <row r="17" spans="2:8" s="22" customFormat="1" ht="15.75" customHeight="1">
      <c r="B17" s="24" t="s">
        <v>196</v>
      </c>
      <c r="C17" s="46"/>
      <c r="D17" s="46"/>
      <c r="E17" s="46"/>
      <c r="F17" s="46"/>
      <c r="G17" s="46"/>
      <c r="H17" s="46"/>
    </row>
    <row r="18" spans="2:8" s="22" customFormat="1" ht="15.75" customHeight="1">
      <c r="B18" s="24" t="s">
        <v>197</v>
      </c>
      <c r="C18" s="240"/>
      <c r="D18" s="240"/>
      <c r="E18" s="46"/>
      <c r="F18" s="46"/>
      <c r="G18" s="47"/>
      <c r="H18" s="47"/>
    </row>
    <row r="19" spans="2:8" s="22" customFormat="1" ht="27" customHeight="1">
      <c r="B19" s="854" t="s">
        <v>609</v>
      </c>
      <c r="C19" s="854"/>
      <c r="D19" s="854"/>
      <c r="E19" s="854"/>
      <c r="F19" s="854"/>
      <c r="G19" s="854"/>
      <c r="H19" s="854"/>
    </row>
    <row r="20" spans="2:8" s="22" customFormat="1" ht="30.75" customHeight="1">
      <c r="B20" s="846"/>
      <c r="C20" s="846"/>
      <c r="D20" s="846"/>
      <c r="E20" s="846"/>
      <c r="F20" s="846"/>
      <c r="G20" s="846"/>
      <c r="H20" s="846"/>
    </row>
    <row r="21" spans="2:8" s="22" customFormat="1" ht="13.2">
      <c r="G21" s="219"/>
    </row>
    <row r="22" spans="2:8" s="22" customFormat="1" ht="23.25" customHeight="1"/>
    <row r="23" spans="2:8" s="22" customFormat="1" ht="30.75" customHeight="1"/>
    <row r="24" spans="2:8" s="22" customFormat="1" ht="44.25" customHeight="1"/>
    <row r="25" spans="2:8" s="22" customFormat="1" ht="30" customHeight="1"/>
    <row r="26" spans="2:8" s="22" customFormat="1" ht="21.75" customHeight="1"/>
    <row r="27" spans="2:8" s="22" customFormat="1" ht="17.25" customHeight="1"/>
    <row r="28" spans="2:8" s="22" customFormat="1" ht="44.25" customHeight="1"/>
    <row r="29" spans="2:8" s="22" customFormat="1" ht="21" customHeight="1"/>
    <row r="30" spans="2:8" s="22" customFormat="1" ht="13.2"/>
    <row r="31" spans="2:8" s="22" customFormat="1" ht="13.2">
      <c r="B31" s="1"/>
    </row>
    <row r="32" spans="2:8" ht="14.1" customHeight="1">
      <c r="B32" s="220"/>
    </row>
    <row r="33" spans="7:7" ht="20.399999999999999" customHeight="1"/>
    <row r="34" spans="7:7" ht="61.5" customHeight="1"/>
    <row r="35" spans="7:7" ht="61.5" customHeight="1"/>
    <row r="36" spans="7:7" ht="61.5" customHeight="1"/>
    <row r="37" spans="7:7" ht="61.5" customHeight="1"/>
    <row r="38" spans="7:7">
      <c r="G38" s="6"/>
    </row>
    <row r="39" spans="7:7" ht="55.5" customHeight="1">
      <c r="G39" s="6"/>
    </row>
    <row r="40" spans="7:7">
      <c r="G40" s="6"/>
    </row>
    <row r="41" spans="7:7">
      <c r="G41" s="6"/>
    </row>
    <row r="42" spans="7:7">
      <c r="G42" s="6"/>
    </row>
    <row r="49" ht="13.8" customHeight="1"/>
    <row r="50" ht="13.8" customHeight="1"/>
    <row r="51" ht="13.8" customHeight="1"/>
    <row r="52" ht="13.8"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7"/>
    </row>
    <row r="74" spans="13:13" ht="15" customHeight="1">
      <c r="M74" s="7"/>
    </row>
    <row r="75" spans="13:13" ht="15" customHeight="1">
      <c r="M75" s="7"/>
    </row>
    <row r="76" spans="13:13" ht="15" customHeight="1">
      <c r="M76" s="7"/>
    </row>
    <row r="77" spans="13:13" ht="15" customHeight="1">
      <c r="M77" s="7"/>
    </row>
    <row r="78" spans="13:13" ht="15" customHeight="1">
      <c r="M78" s="7"/>
    </row>
    <row r="79" spans="13:13" ht="15" customHeight="1">
      <c r="M79" s="7"/>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0"/>
  <sheetViews>
    <sheetView zoomScaleNormal="100" workbookViewId="0">
      <selection activeCell="Q10" sqref="Q10"/>
    </sheetView>
  </sheetViews>
  <sheetFormatPr baseColWidth="10" defaultColWidth="5.921875" defaultRowHeight="17.399999999999999"/>
  <cols>
    <col min="1" max="1" width="1.23046875" customWidth="1"/>
    <col min="2" max="2" width="11.84375" customWidth="1"/>
    <col min="3" max="6" width="6.3046875" customWidth="1"/>
    <col min="7" max="7" width="6.765625" customWidth="1"/>
    <col min="8" max="13" width="6.3046875" customWidth="1"/>
    <col min="14" max="14" width="6.69140625" customWidth="1"/>
    <col min="15" max="15" width="8.84375" bestFit="1" customWidth="1"/>
    <col min="16" max="16" width="6.3046875" style="685" bestFit="1" customWidth="1"/>
  </cols>
  <sheetData>
    <row r="1" spans="2:23">
      <c r="B1" s="788" t="s">
        <v>110</v>
      </c>
      <c r="C1" s="788"/>
      <c r="D1" s="788"/>
      <c r="E1" s="788"/>
      <c r="F1" s="788"/>
      <c r="G1" s="788"/>
      <c r="H1" s="788"/>
      <c r="I1" s="788"/>
      <c r="J1" s="788"/>
      <c r="K1" s="788"/>
      <c r="L1" s="788"/>
      <c r="M1" s="788"/>
      <c r="N1" s="788"/>
    </row>
    <row r="2" spans="2:23">
      <c r="B2" s="31"/>
      <c r="C2" s="31"/>
      <c r="D2" s="31"/>
      <c r="E2" s="31"/>
      <c r="F2" s="31"/>
      <c r="G2" s="31"/>
      <c r="H2" s="31"/>
      <c r="I2" s="31"/>
      <c r="J2" s="31"/>
      <c r="K2" s="31"/>
      <c r="L2" s="669"/>
      <c r="M2" s="31"/>
      <c r="N2" s="31"/>
    </row>
    <row r="3" spans="2:23" ht="20.25" customHeight="1">
      <c r="B3" s="789" t="s">
        <v>24</v>
      </c>
      <c r="C3" s="789"/>
      <c r="D3" s="789"/>
      <c r="E3" s="789"/>
      <c r="F3" s="789"/>
      <c r="G3" s="789"/>
      <c r="H3" s="789"/>
      <c r="I3" s="789"/>
      <c r="J3" s="789"/>
      <c r="K3" s="789"/>
      <c r="L3" s="789"/>
      <c r="M3" s="789"/>
      <c r="N3" s="789"/>
    </row>
    <row r="4" spans="2:23" ht="17.7" customHeight="1">
      <c r="B4" s="790" t="s">
        <v>747</v>
      </c>
      <c r="C4" s="790"/>
      <c r="D4" s="790"/>
      <c r="E4" s="790"/>
      <c r="F4" s="790"/>
      <c r="G4" s="790"/>
      <c r="H4" s="790"/>
      <c r="I4" s="790"/>
      <c r="J4" s="790"/>
      <c r="K4" s="790"/>
      <c r="L4" s="790"/>
      <c r="M4" s="790"/>
      <c r="N4" s="790"/>
    </row>
    <row r="5" spans="2:23" ht="30" customHeight="1">
      <c r="B5" s="520" t="s">
        <v>111</v>
      </c>
      <c r="C5" s="103" t="s">
        <v>112</v>
      </c>
      <c r="D5" s="103" t="s">
        <v>113</v>
      </c>
      <c r="E5" s="103" t="s">
        <v>114</v>
      </c>
      <c r="F5" s="103" t="s">
        <v>115</v>
      </c>
      <c r="G5" s="103" t="s">
        <v>116</v>
      </c>
      <c r="H5" s="103" t="s">
        <v>117</v>
      </c>
      <c r="I5" s="103" t="s">
        <v>118</v>
      </c>
      <c r="J5" s="103" t="s">
        <v>119</v>
      </c>
      <c r="K5" s="103" t="s">
        <v>120</v>
      </c>
      <c r="L5" s="671" t="s">
        <v>549</v>
      </c>
      <c r="M5" s="103" t="s">
        <v>121</v>
      </c>
      <c r="N5" s="103" t="s">
        <v>122</v>
      </c>
    </row>
    <row r="6" spans="2:23" ht="18" customHeight="1">
      <c r="B6" s="786" t="s">
        <v>732</v>
      </c>
      <c r="C6" s="786"/>
      <c r="D6" s="786"/>
      <c r="E6" s="786"/>
      <c r="F6" s="786"/>
      <c r="G6" s="786"/>
      <c r="H6" s="786"/>
      <c r="I6" s="786"/>
      <c r="J6" s="786"/>
      <c r="K6" s="786"/>
      <c r="L6" s="786"/>
      <c r="M6" s="786"/>
      <c r="N6" s="786"/>
    </row>
    <row r="7" spans="2:23">
      <c r="B7" s="348" t="s">
        <v>89</v>
      </c>
      <c r="C7" s="609">
        <v>2.12</v>
      </c>
      <c r="D7" s="609">
        <v>4.33</v>
      </c>
      <c r="E7" s="609">
        <v>5.67</v>
      </c>
      <c r="F7" s="609">
        <v>10.69</v>
      </c>
      <c r="G7" s="609">
        <v>1.48</v>
      </c>
      <c r="H7" s="609">
        <v>11.38</v>
      </c>
      <c r="I7" s="609">
        <v>1.51</v>
      </c>
      <c r="J7" s="609">
        <v>23</v>
      </c>
      <c r="K7" s="609">
        <v>144.12</v>
      </c>
      <c r="L7" s="609">
        <v>27.8</v>
      </c>
      <c r="M7" s="609">
        <v>291.57</v>
      </c>
      <c r="N7" s="609">
        <v>147.44999999999999</v>
      </c>
      <c r="O7" s="246"/>
      <c r="P7" s="686"/>
      <c r="Q7" t="s">
        <v>690</v>
      </c>
    </row>
    <row r="8" spans="2:23">
      <c r="B8" s="348" t="s">
        <v>90</v>
      </c>
      <c r="C8" s="609">
        <v>22.15</v>
      </c>
      <c r="D8" s="609">
        <v>36.299999999999997</v>
      </c>
      <c r="E8" s="609">
        <v>21.65</v>
      </c>
      <c r="F8" s="609">
        <v>138.41999999999999</v>
      </c>
      <c r="G8" s="609">
        <v>11.81</v>
      </c>
      <c r="H8" s="609">
        <v>75.16</v>
      </c>
      <c r="I8" s="609">
        <v>33.01</v>
      </c>
      <c r="J8" s="609">
        <v>44.79</v>
      </c>
      <c r="K8" s="609">
        <v>136.94999999999999</v>
      </c>
      <c r="L8" s="609">
        <v>109.59</v>
      </c>
      <c r="M8" s="609">
        <v>779.03</v>
      </c>
      <c r="N8" s="609">
        <v>642.09</v>
      </c>
      <c r="O8" s="246"/>
      <c r="P8" s="686"/>
    </row>
    <row r="9" spans="2:23">
      <c r="B9" s="348" t="s">
        <v>123</v>
      </c>
      <c r="C9" s="609">
        <v>0</v>
      </c>
      <c r="D9" s="609">
        <v>0.2</v>
      </c>
      <c r="E9" s="609">
        <v>0.6</v>
      </c>
      <c r="F9" s="609">
        <v>4.5</v>
      </c>
      <c r="G9" s="609">
        <v>1.4</v>
      </c>
      <c r="H9" s="609">
        <v>0.3</v>
      </c>
      <c r="I9" s="609">
        <v>0.1</v>
      </c>
      <c r="J9" s="609">
        <v>2.59</v>
      </c>
      <c r="K9" s="609">
        <v>9.6999999999999993</v>
      </c>
      <c r="L9" s="609">
        <v>0.03</v>
      </c>
      <c r="M9" s="609">
        <v>195.39</v>
      </c>
      <c r="N9" s="609">
        <v>185.69</v>
      </c>
      <c r="O9" s="246"/>
      <c r="P9" s="686"/>
    </row>
    <row r="10" spans="2:23">
      <c r="B10" s="348" t="s">
        <v>91</v>
      </c>
      <c r="C10" s="609">
        <v>6.35</v>
      </c>
      <c r="D10" s="609">
        <v>8.5</v>
      </c>
      <c r="E10" s="609">
        <v>9.5</v>
      </c>
      <c r="F10" s="609">
        <v>109.75</v>
      </c>
      <c r="G10" s="609">
        <v>6.25</v>
      </c>
      <c r="H10" s="609">
        <v>41.75</v>
      </c>
      <c r="I10" s="609">
        <v>10</v>
      </c>
      <c r="J10" s="609">
        <v>30.65</v>
      </c>
      <c r="K10" s="609">
        <v>148</v>
      </c>
      <c r="L10" s="609">
        <v>107.91</v>
      </c>
      <c r="M10" s="609">
        <v>791.21</v>
      </c>
      <c r="N10" s="609">
        <v>643.21</v>
      </c>
      <c r="O10" s="246"/>
      <c r="P10" s="686"/>
    </row>
    <row r="11" spans="2:23">
      <c r="B11" s="348" t="s">
        <v>92</v>
      </c>
      <c r="C11" s="609">
        <v>16.5</v>
      </c>
      <c r="D11" s="609">
        <v>27.5</v>
      </c>
      <c r="E11" s="609">
        <v>15.5</v>
      </c>
      <c r="F11" s="609">
        <v>29.5</v>
      </c>
      <c r="G11" s="609">
        <v>7</v>
      </c>
      <c r="H11" s="609">
        <v>33</v>
      </c>
      <c r="I11" s="609">
        <v>19</v>
      </c>
      <c r="J11" s="609">
        <v>21.91</v>
      </c>
      <c r="K11" s="609">
        <v>0.85</v>
      </c>
      <c r="L11" s="609">
        <v>8.0299999999999994</v>
      </c>
      <c r="M11" s="609">
        <v>199.39</v>
      </c>
      <c r="N11" s="609">
        <v>198.54</v>
      </c>
      <c r="O11" s="246"/>
      <c r="P11" s="686"/>
    </row>
    <row r="12" spans="2:23">
      <c r="B12" s="558" t="s">
        <v>99</v>
      </c>
      <c r="C12" s="609">
        <v>1.43</v>
      </c>
      <c r="D12" s="609">
        <v>4.83</v>
      </c>
      <c r="E12" s="609">
        <v>2.92</v>
      </c>
      <c r="F12" s="609">
        <v>14.36</v>
      </c>
      <c r="G12" s="609">
        <v>1.44</v>
      </c>
      <c r="H12" s="609">
        <v>12.09</v>
      </c>
      <c r="I12" s="609">
        <v>5.61</v>
      </c>
      <c r="J12" s="609">
        <v>17.82</v>
      </c>
      <c r="K12" s="609">
        <v>141.91999999999999</v>
      </c>
      <c r="L12" s="609">
        <v>21.47</v>
      </c>
      <c r="M12" s="609">
        <v>279.39999999999998</v>
      </c>
      <c r="N12" s="609">
        <v>137.47999999999999</v>
      </c>
      <c r="O12" s="246"/>
      <c r="P12" s="687"/>
      <c r="Q12" s="92"/>
      <c r="R12" s="92"/>
      <c r="S12" s="92"/>
      <c r="T12" s="92"/>
      <c r="U12" s="92"/>
      <c r="V12" s="92"/>
      <c r="W12" s="92"/>
    </row>
    <row r="13" spans="2:23" ht="18" customHeight="1">
      <c r="B13" s="786" t="s">
        <v>731</v>
      </c>
      <c r="C13" s="787"/>
      <c r="D13" s="787"/>
      <c r="E13" s="787"/>
      <c r="F13" s="787"/>
      <c r="G13" s="787"/>
      <c r="H13" s="787"/>
      <c r="I13" s="787"/>
      <c r="J13" s="787"/>
      <c r="K13" s="787"/>
      <c r="L13" s="787"/>
      <c r="M13" s="787"/>
      <c r="N13" s="786"/>
      <c r="O13" s="246"/>
    </row>
    <row r="14" spans="2:23">
      <c r="B14" s="348" t="s">
        <v>89</v>
      </c>
      <c r="C14" s="521">
        <v>1.43</v>
      </c>
      <c r="D14" s="521">
        <v>4.83</v>
      </c>
      <c r="E14" s="521">
        <v>2.92</v>
      </c>
      <c r="F14" s="521">
        <v>14.36</v>
      </c>
      <c r="G14" s="521">
        <v>1.44</v>
      </c>
      <c r="H14" s="521">
        <v>12.09</v>
      </c>
      <c r="I14" s="521">
        <v>5.61</v>
      </c>
      <c r="J14" s="521">
        <v>17.82</v>
      </c>
      <c r="K14" s="521">
        <v>141.91999999999999</v>
      </c>
      <c r="L14" s="521">
        <v>21.47</v>
      </c>
      <c r="M14" s="521">
        <v>279.39999999999998</v>
      </c>
      <c r="N14" s="521">
        <v>137.47999999999999</v>
      </c>
      <c r="O14" s="92"/>
      <c r="P14" s="688"/>
      <c r="Q14" s="92"/>
      <c r="R14" s="92"/>
      <c r="S14" s="92"/>
      <c r="T14" s="92"/>
      <c r="U14" s="92"/>
      <c r="V14" s="92"/>
      <c r="W14" s="92"/>
    </row>
    <row r="15" spans="2:23" ht="15.75" customHeight="1">
      <c r="B15" s="348" t="s">
        <v>90</v>
      </c>
      <c r="C15" s="521">
        <v>20</v>
      </c>
      <c r="D15" s="521">
        <v>30</v>
      </c>
      <c r="E15" s="521">
        <v>33</v>
      </c>
      <c r="F15" s="521">
        <v>136.1</v>
      </c>
      <c r="G15" s="521">
        <v>13</v>
      </c>
      <c r="H15" s="521">
        <v>81</v>
      </c>
      <c r="I15" s="521">
        <v>21.5</v>
      </c>
      <c r="J15" s="521">
        <v>47.26</v>
      </c>
      <c r="K15" s="521">
        <v>135</v>
      </c>
      <c r="L15" s="521">
        <v>106</v>
      </c>
      <c r="M15" s="521">
        <v>773.43</v>
      </c>
      <c r="N15" s="521">
        <v>638.42999999999995</v>
      </c>
      <c r="O15" s="92"/>
      <c r="P15" s="688"/>
      <c r="Q15" s="92"/>
      <c r="R15" s="92"/>
      <c r="S15" s="92"/>
      <c r="T15" s="92"/>
      <c r="U15" s="92"/>
      <c r="V15" s="92"/>
      <c r="W15" s="92"/>
    </row>
    <row r="16" spans="2:23" ht="15.75" customHeight="1">
      <c r="B16" s="348" t="s">
        <v>123</v>
      </c>
      <c r="C16" s="521">
        <v>0.01</v>
      </c>
      <c r="D16" s="521">
        <v>0.2</v>
      </c>
      <c r="E16" s="521">
        <v>0.6</v>
      </c>
      <c r="F16" s="521">
        <v>5</v>
      </c>
      <c r="G16" s="521">
        <v>1</v>
      </c>
      <c r="H16" s="521">
        <v>0.3</v>
      </c>
      <c r="I16" s="521">
        <v>0.1</v>
      </c>
      <c r="J16" s="521">
        <v>3.27</v>
      </c>
      <c r="K16" s="521">
        <v>9.5</v>
      </c>
      <c r="L16" s="521">
        <v>0.03</v>
      </c>
      <c r="M16" s="521">
        <v>201.46</v>
      </c>
      <c r="N16" s="521">
        <v>191.96</v>
      </c>
      <c r="O16" s="92"/>
      <c r="P16" s="688"/>
      <c r="Q16" s="92"/>
      <c r="R16" s="92"/>
      <c r="S16" s="92"/>
      <c r="T16" s="92"/>
      <c r="U16" s="92"/>
      <c r="V16" s="92"/>
      <c r="W16" s="92"/>
    </row>
    <row r="17" spans="2:24" ht="15.75" customHeight="1">
      <c r="B17" s="348" t="s">
        <v>91</v>
      </c>
      <c r="C17" s="521">
        <v>6.35</v>
      </c>
      <c r="D17" s="521">
        <v>7.55</v>
      </c>
      <c r="E17" s="521">
        <v>9.1</v>
      </c>
      <c r="F17" s="521">
        <v>108.5</v>
      </c>
      <c r="G17" s="521">
        <v>6.23</v>
      </c>
      <c r="H17" s="521">
        <v>42.25</v>
      </c>
      <c r="I17" s="521">
        <v>11.2</v>
      </c>
      <c r="J17" s="521">
        <v>30.21</v>
      </c>
      <c r="K17" s="521">
        <v>144</v>
      </c>
      <c r="L17" s="521">
        <v>104.5</v>
      </c>
      <c r="M17" s="521">
        <v>785.99</v>
      </c>
      <c r="N17" s="521">
        <v>641.99</v>
      </c>
      <c r="O17" s="92"/>
      <c r="P17" s="688"/>
      <c r="Q17" s="92"/>
      <c r="R17" s="92"/>
      <c r="S17" s="92"/>
      <c r="T17" s="92"/>
      <c r="U17" s="92"/>
      <c r="V17" s="92"/>
      <c r="W17" s="92"/>
      <c r="X17" s="92"/>
    </row>
    <row r="18" spans="2:24" ht="15.75" customHeight="1">
      <c r="B18" s="348" t="s">
        <v>92</v>
      </c>
      <c r="C18" s="521">
        <v>14</v>
      </c>
      <c r="D18" s="521">
        <v>24</v>
      </c>
      <c r="E18" s="521">
        <v>24</v>
      </c>
      <c r="F18" s="521">
        <v>36</v>
      </c>
      <c r="G18" s="521">
        <v>8</v>
      </c>
      <c r="H18" s="521">
        <v>40</v>
      </c>
      <c r="I18" s="521">
        <v>10</v>
      </c>
      <c r="J18" s="521">
        <v>21.09</v>
      </c>
      <c r="K18" s="521">
        <v>0.9</v>
      </c>
      <c r="L18" s="521">
        <v>6.5</v>
      </c>
      <c r="M18" s="521">
        <v>204.59</v>
      </c>
      <c r="N18" s="521">
        <v>203.69</v>
      </c>
      <c r="O18" s="92"/>
      <c r="P18" s="689"/>
      <c r="Q18" s="92"/>
      <c r="R18" s="92"/>
      <c r="S18" s="92"/>
      <c r="T18" s="92"/>
      <c r="U18" s="92"/>
      <c r="V18" s="92"/>
      <c r="W18" s="92"/>
      <c r="X18" s="92"/>
    </row>
    <row r="19" spans="2:24" ht="15.75" customHeight="1">
      <c r="B19" s="558" t="s">
        <v>99</v>
      </c>
      <c r="C19" s="522">
        <v>1.08</v>
      </c>
      <c r="D19" s="522">
        <v>3.48</v>
      </c>
      <c r="E19" s="522">
        <v>3.42</v>
      </c>
      <c r="F19" s="522">
        <v>10.96</v>
      </c>
      <c r="G19" s="522">
        <v>1.21</v>
      </c>
      <c r="H19" s="522">
        <v>11.14</v>
      </c>
      <c r="I19" s="522">
        <v>6.01</v>
      </c>
      <c r="J19" s="522">
        <v>17.05</v>
      </c>
      <c r="K19" s="523">
        <v>141.52000000000001</v>
      </c>
      <c r="L19" s="523">
        <v>16.489999999999998</v>
      </c>
      <c r="M19" s="522">
        <v>266.85000000000002</v>
      </c>
      <c r="N19" s="522">
        <v>125.33</v>
      </c>
      <c r="O19" s="92"/>
      <c r="P19" s="426"/>
      <c r="Q19" s="92"/>
      <c r="R19" s="92"/>
      <c r="S19" s="92"/>
      <c r="T19" s="92"/>
      <c r="U19" s="92"/>
      <c r="V19" s="92"/>
      <c r="W19" s="92"/>
      <c r="X19" s="92"/>
    </row>
    <row r="20" spans="2:24">
      <c r="B20" s="365" t="s">
        <v>124</v>
      </c>
      <c r="C20" s="366"/>
      <c r="D20" s="366"/>
      <c r="E20" s="366"/>
      <c r="F20" s="366"/>
      <c r="G20" s="366"/>
      <c r="H20" s="366"/>
      <c r="I20" s="366"/>
      <c r="J20" s="366"/>
      <c r="K20" s="366"/>
      <c r="L20" s="366"/>
      <c r="M20" s="366"/>
      <c r="N20" s="367"/>
      <c r="O20" s="92"/>
      <c r="P20" s="688"/>
      <c r="Q20" s="92"/>
      <c r="R20" s="92"/>
      <c r="S20" s="92"/>
      <c r="T20" s="92"/>
      <c r="U20" s="92"/>
      <c r="V20" s="92"/>
      <c r="W20" s="92"/>
      <c r="X20" s="92"/>
    </row>
    <row r="21" spans="2:24">
      <c r="B21" s="1"/>
      <c r="C21" s="38"/>
      <c r="D21" s="38"/>
      <c r="E21" s="38"/>
      <c r="F21" s="38"/>
      <c r="G21" s="38"/>
      <c r="H21" s="38"/>
      <c r="I21" s="38"/>
      <c r="J21" s="38"/>
      <c r="K21" s="38"/>
      <c r="L21" s="38"/>
      <c r="M21" s="38"/>
      <c r="O21" s="92"/>
      <c r="P21" s="688"/>
      <c r="Q21" s="92"/>
      <c r="R21" s="92"/>
      <c r="S21" s="92"/>
      <c r="T21" s="92"/>
      <c r="U21" s="92"/>
      <c r="V21" s="92"/>
      <c r="W21" s="92"/>
      <c r="X21" s="92"/>
    </row>
    <row r="22" spans="2:24">
      <c r="B22" s="324"/>
      <c r="C22" s="92"/>
      <c r="D22" s="92"/>
      <c r="E22" s="92"/>
      <c r="F22" s="92"/>
      <c r="G22" s="92"/>
      <c r="H22" s="92"/>
      <c r="I22" s="92"/>
      <c r="J22" s="92"/>
      <c r="K22" s="92"/>
      <c r="L22" s="92"/>
      <c r="M22" s="92"/>
      <c r="N22" s="382"/>
      <c r="O22" s="92"/>
      <c r="P22" s="688"/>
      <c r="Q22" s="92"/>
      <c r="R22" s="92"/>
      <c r="S22" s="92"/>
      <c r="T22" s="92"/>
      <c r="U22" s="92"/>
      <c r="V22" s="92"/>
      <c r="W22" s="92"/>
      <c r="X22" s="92"/>
    </row>
    <row r="23" spans="2:24">
      <c r="B23" s="37"/>
      <c r="C23" s="92"/>
      <c r="D23" s="92"/>
      <c r="E23" s="92"/>
      <c r="F23" s="92"/>
      <c r="G23" s="92"/>
      <c r="H23" s="92"/>
      <c r="I23" s="92"/>
      <c r="J23" s="92"/>
      <c r="K23" s="92"/>
      <c r="L23" s="92"/>
      <c r="M23" s="92"/>
      <c r="O23" s="92"/>
      <c r="P23" s="688"/>
      <c r="Q23" s="92"/>
      <c r="R23" s="92"/>
      <c r="S23" s="92"/>
      <c r="T23" s="92"/>
      <c r="U23" s="92"/>
      <c r="V23" s="92"/>
      <c r="W23" s="92"/>
      <c r="X23" s="92"/>
    </row>
    <row r="24" spans="2:24">
      <c r="C24" s="92"/>
      <c r="D24" s="92"/>
      <c r="E24" s="92"/>
      <c r="F24" s="92"/>
      <c r="G24" s="92"/>
      <c r="H24" s="92"/>
      <c r="I24" s="92"/>
      <c r="J24" s="92"/>
      <c r="K24" s="92"/>
      <c r="L24" s="92"/>
      <c r="M24" s="92"/>
      <c r="O24" s="92"/>
      <c r="P24" s="688"/>
      <c r="Q24" s="92"/>
      <c r="R24" s="92"/>
      <c r="S24" s="92"/>
      <c r="T24" s="92"/>
      <c r="U24" s="92"/>
      <c r="V24" s="92"/>
      <c r="W24" s="92"/>
      <c r="X24" s="92"/>
    </row>
    <row r="25" spans="2:24">
      <c r="C25" s="92"/>
      <c r="D25" s="92"/>
      <c r="E25" s="92"/>
      <c r="F25" s="92"/>
      <c r="G25" s="92"/>
      <c r="H25" s="92"/>
      <c r="I25" s="92"/>
      <c r="J25" s="92"/>
      <c r="K25" s="92"/>
      <c r="L25" s="92"/>
      <c r="M25" s="92"/>
    </row>
    <row r="26" spans="2:24">
      <c r="C26" s="92"/>
      <c r="D26" s="92"/>
      <c r="E26" s="92"/>
      <c r="F26" s="92"/>
      <c r="G26" s="92"/>
      <c r="H26" s="92"/>
      <c r="I26" s="92"/>
      <c r="J26" s="92"/>
      <c r="K26" s="92"/>
      <c r="L26" s="92"/>
      <c r="M26" s="92"/>
    </row>
    <row r="27" spans="2:24">
      <c r="C27" s="92"/>
      <c r="D27" s="92"/>
      <c r="E27" s="92"/>
      <c r="F27" s="92"/>
      <c r="G27" s="92"/>
      <c r="H27" s="92"/>
      <c r="I27" s="92"/>
      <c r="J27" s="92"/>
      <c r="K27" s="92"/>
      <c r="L27" s="92"/>
      <c r="M27" s="92"/>
    </row>
    <row r="28" spans="2:24">
      <c r="C28" s="92"/>
      <c r="D28" s="92"/>
      <c r="E28" s="92"/>
      <c r="F28" s="92"/>
      <c r="G28" s="92"/>
      <c r="H28" s="92"/>
      <c r="I28" s="92"/>
      <c r="J28" s="92"/>
      <c r="K28" s="92"/>
      <c r="L28" s="92"/>
      <c r="M28" s="92"/>
    </row>
    <row r="29" spans="2:24">
      <c r="C29" s="92"/>
      <c r="D29" s="92"/>
      <c r="E29" s="92"/>
      <c r="F29" s="92"/>
      <c r="G29" s="92"/>
      <c r="H29" s="92"/>
      <c r="I29" s="92"/>
      <c r="J29" s="92"/>
      <c r="K29" s="92"/>
      <c r="L29" s="92"/>
      <c r="M29" s="92"/>
    </row>
    <row r="30" spans="2:24">
      <c r="C30" s="92"/>
      <c r="D30" s="92"/>
      <c r="E30" s="92"/>
      <c r="F30" s="92"/>
      <c r="G30" s="92"/>
      <c r="H30" s="92"/>
      <c r="I30" s="92"/>
      <c r="J30" s="92"/>
      <c r="K30" s="92"/>
      <c r="L30" s="92"/>
      <c r="M30" s="92"/>
    </row>
    <row r="31" spans="2:24">
      <c r="C31" s="92"/>
      <c r="D31" s="92"/>
      <c r="E31" s="92"/>
      <c r="F31" s="92"/>
      <c r="G31" s="92"/>
      <c r="H31" s="92"/>
      <c r="I31" s="92"/>
      <c r="J31" s="92"/>
      <c r="K31" s="92"/>
      <c r="L31" s="92"/>
      <c r="M31" s="92"/>
    </row>
    <row r="32" spans="2:24">
      <c r="C32" s="92"/>
      <c r="D32" s="92"/>
      <c r="E32" s="92"/>
      <c r="F32" s="92"/>
      <c r="G32" s="92"/>
      <c r="H32" s="92"/>
      <c r="I32" s="92"/>
      <c r="J32" s="92"/>
      <c r="K32" s="92"/>
      <c r="L32" s="92"/>
      <c r="M32" s="92"/>
    </row>
    <row r="33" spans="3:13">
      <c r="C33" s="92"/>
      <c r="D33" s="92"/>
      <c r="E33" s="92"/>
      <c r="F33" s="92"/>
      <c r="G33" s="92"/>
      <c r="H33" s="92"/>
      <c r="I33" s="92"/>
      <c r="J33" s="92"/>
      <c r="K33" s="92"/>
      <c r="L33" s="92"/>
      <c r="M33" s="92"/>
    </row>
    <row r="34" spans="3:13">
      <c r="C34" s="92"/>
      <c r="D34" s="92"/>
      <c r="E34" s="92"/>
      <c r="F34" s="92"/>
      <c r="G34" s="92"/>
      <c r="H34" s="92"/>
      <c r="I34" s="92"/>
      <c r="J34" s="92"/>
      <c r="K34" s="92"/>
      <c r="L34" s="92"/>
      <c r="M34" s="92"/>
    </row>
    <row r="35" spans="3:13">
      <c r="C35" s="92"/>
      <c r="D35" s="92"/>
      <c r="E35" s="92"/>
      <c r="F35" s="92"/>
      <c r="G35" s="92"/>
      <c r="H35" s="92"/>
      <c r="I35" s="92"/>
      <c r="J35" s="92"/>
      <c r="K35" s="92"/>
      <c r="L35" s="92"/>
      <c r="M35" s="92"/>
    </row>
    <row r="36" spans="3:13">
      <c r="C36" s="92"/>
      <c r="D36" s="92"/>
      <c r="E36" s="92"/>
      <c r="F36" s="92"/>
      <c r="G36" s="92"/>
      <c r="H36" s="92"/>
      <c r="I36" s="92"/>
      <c r="J36" s="92"/>
      <c r="K36" s="92"/>
      <c r="L36" s="92"/>
      <c r="M36" s="92"/>
    </row>
    <row r="37" spans="3:13">
      <c r="C37" s="92"/>
      <c r="D37" s="92"/>
      <c r="E37" s="92"/>
      <c r="F37" s="92"/>
      <c r="G37" s="92"/>
      <c r="H37" s="92"/>
      <c r="I37" s="92"/>
      <c r="J37" s="92"/>
      <c r="K37" s="92"/>
      <c r="L37" s="92"/>
      <c r="M37" s="92"/>
    </row>
    <row r="38" spans="3:13">
      <c r="C38" s="92"/>
      <c r="D38" s="92"/>
      <c r="E38" s="92"/>
      <c r="F38" s="92"/>
      <c r="G38" s="92"/>
      <c r="H38" s="92"/>
      <c r="I38" s="92"/>
      <c r="J38" s="92"/>
      <c r="K38" s="92"/>
      <c r="L38" s="92"/>
      <c r="M38" s="92"/>
    </row>
    <row r="39" spans="3:13">
      <c r="C39" s="92"/>
      <c r="D39" s="92"/>
      <c r="E39" s="92"/>
      <c r="F39" s="92"/>
      <c r="G39" s="92"/>
      <c r="H39" s="92"/>
      <c r="I39" s="92"/>
      <c r="J39" s="92"/>
      <c r="K39" s="92"/>
      <c r="L39" s="92"/>
      <c r="M39" s="92"/>
    </row>
    <row r="40" spans="3:13">
      <c r="C40" s="92"/>
      <c r="D40" s="92"/>
      <c r="E40" s="92"/>
      <c r="F40" s="92"/>
      <c r="G40" s="92"/>
      <c r="H40" s="92"/>
      <c r="I40" s="92"/>
      <c r="J40" s="92"/>
      <c r="K40" s="92"/>
      <c r="L40" s="92"/>
      <c r="M40" s="92"/>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O88"/>
  <sheetViews>
    <sheetView zoomScaleNormal="100" zoomScaleSheetLayoutView="75" workbookViewId="0">
      <selection activeCell="I19" sqref="I19"/>
    </sheetView>
  </sheetViews>
  <sheetFormatPr baseColWidth="10" defaultColWidth="10.921875" defaultRowHeight="11.4"/>
  <cols>
    <col min="1" max="1" width="1.3828125" style="1" customWidth="1"/>
    <col min="2" max="2" width="13.3828125" style="1" customWidth="1"/>
    <col min="3" max="3" width="7.3828125" style="1" customWidth="1"/>
    <col min="4" max="4" width="7.07421875" style="1" customWidth="1"/>
    <col min="5" max="5" width="5.921875" style="1" customWidth="1"/>
    <col min="6" max="6" width="1.07421875" style="1" customWidth="1"/>
    <col min="7" max="15" width="5.69140625" style="1" customWidth="1"/>
    <col min="16" max="16384" width="10.921875" style="1"/>
  </cols>
  <sheetData>
    <row r="1" spans="2:15" s="15" customFormat="1" ht="13.2">
      <c r="B1" s="766" t="s">
        <v>226</v>
      </c>
      <c r="C1" s="766"/>
      <c r="D1" s="766"/>
      <c r="E1" s="766"/>
    </row>
    <row r="2" spans="2:15" s="15" customFormat="1" ht="13.2">
      <c r="B2" s="17"/>
      <c r="C2" s="17"/>
      <c r="D2" s="17"/>
    </row>
    <row r="3" spans="2:15" s="15" customFormat="1" ht="31.8" customHeight="1">
      <c r="B3" s="857" t="s">
        <v>610</v>
      </c>
      <c r="C3" s="857"/>
      <c r="D3" s="857"/>
      <c r="E3" s="857"/>
    </row>
    <row r="4" spans="2:15" s="15" customFormat="1" ht="13.2">
      <c r="B4" s="766" t="s">
        <v>611</v>
      </c>
      <c r="C4" s="766"/>
      <c r="D4" s="766"/>
      <c r="E4" s="766"/>
    </row>
    <row r="5" spans="2:15" s="22" customFormat="1" ht="31.8" customHeight="1">
      <c r="B5" s="944" t="s">
        <v>428</v>
      </c>
      <c r="C5" s="865" t="s">
        <v>612</v>
      </c>
      <c r="D5" s="865"/>
      <c r="E5" s="865"/>
      <c r="F5" s="20"/>
    </row>
    <row r="6" spans="2:15" s="22" customFormat="1" ht="17.25" customHeight="1">
      <c r="B6" s="944"/>
      <c r="C6" s="212">
        <v>2020</v>
      </c>
      <c r="D6" s="212">
        <v>2021</v>
      </c>
      <c r="E6" s="212">
        <v>2022</v>
      </c>
      <c r="F6" s="63"/>
      <c r="G6" s="63"/>
    </row>
    <row r="7" spans="2:15" s="22" customFormat="1" ht="15.75" customHeight="1">
      <c r="B7" s="53" t="s">
        <v>203</v>
      </c>
      <c r="C7" s="388"/>
      <c r="D7" s="388"/>
      <c r="E7" s="47"/>
      <c r="F7" s="63"/>
      <c r="G7" s="63"/>
    </row>
    <row r="8" spans="2:15" s="22" customFormat="1" ht="15.75" customHeight="1">
      <c r="B8" s="53" t="s">
        <v>204</v>
      </c>
      <c r="C8" s="389"/>
      <c r="D8" s="388"/>
      <c r="E8" s="47"/>
      <c r="F8" s="63"/>
      <c r="G8" s="63"/>
    </row>
    <row r="9" spans="2:15" s="22" customFormat="1" ht="15.75" customHeight="1">
      <c r="B9" s="53" t="s">
        <v>205</v>
      </c>
      <c r="C9" s="388">
        <v>229.32407407407405</v>
      </c>
      <c r="D9" s="388">
        <v>233</v>
      </c>
      <c r="E9" s="47"/>
      <c r="F9" s="63"/>
      <c r="G9" s="63"/>
      <c r="H9" s="22" t="s">
        <v>690</v>
      </c>
    </row>
    <row r="10" spans="2:15" s="22" customFormat="1" ht="15.75" customHeight="1">
      <c r="B10" s="53" t="s">
        <v>206</v>
      </c>
      <c r="C10" s="388">
        <v>237.88888888888886</v>
      </c>
      <c r="D10" s="388">
        <v>230.63333333333333</v>
      </c>
      <c r="E10" s="388">
        <v>258.36666666666662</v>
      </c>
      <c r="F10" s="26"/>
      <c r="G10" s="246"/>
      <c r="H10" s="26"/>
      <c r="I10" s="26"/>
      <c r="J10" s="26"/>
      <c r="K10" s="26"/>
      <c r="L10" s="26"/>
      <c r="M10" s="26"/>
      <c r="N10" s="26"/>
      <c r="O10" s="26"/>
    </row>
    <row r="11" spans="2:15" s="22" customFormat="1" ht="15.75" customHeight="1">
      <c r="B11" s="53" t="s">
        <v>207</v>
      </c>
      <c r="C11" s="388">
        <v>236.88172043010749</v>
      </c>
      <c r="D11" s="388">
        <v>225.31666666666669</v>
      </c>
      <c r="E11" s="388">
        <v>267.00000000000006</v>
      </c>
      <c r="F11" s="222"/>
      <c r="G11" s="514"/>
      <c r="H11" s="26"/>
      <c r="I11" s="26"/>
      <c r="J11" s="26"/>
      <c r="K11" s="26"/>
      <c r="L11" s="26"/>
      <c r="M11" s="26"/>
      <c r="N11" s="26"/>
      <c r="O11" s="26"/>
    </row>
    <row r="12" spans="2:15" s="22" customFormat="1" ht="15.75" customHeight="1">
      <c r="B12" s="53" t="s">
        <v>208</v>
      </c>
      <c r="C12" s="388">
        <v>228.21666666666667</v>
      </c>
      <c r="D12" s="388">
        <v>227</v>
      </c>
      <c r="E12" s="47"/>
      <c r="F12" s="222"/>
      <c r="G12" s="514"/>
    </row>
    <row r="13" spans="2:15" s="22" customFormat="1" ht="15.75" customHeight="1">
      <c r="B13" s="53" t="s">
        <v>209</v>
      </c>
      <c r="C13" s="388">
        <v>235.42307692307691</v>
      </c>
      <c r="D13" s="388">
        <v>228</v>
      </c>
      <c r="E13" s="594"/>
      <c r="F13" s="222"/>
      <c r="G13" s="577"/>
    </row>
    <row r="14" spans="2:15" s="22" customFormat="1" ht="15.75" customHeight="1">
      <c r="B14" s="53" t="s">
        <v>210</v>
      </c>
      <c r="C14" s="388">
        <v>229</v>
      </c>
      <c r="D14" s="388">
        <v>236</v>
      </c>
      <c r="E14" s="47"/>
      <c r="F14" s="26"/>
      <c r="G14" s="403"/>
    </row>
    <row r="15" spans="2:15" s="22" customFormat="1" ht="15.75" customHeight="1">
      <c r="B15" s="53" t="s">
        <v>211</v>
      </c>
      <c r="C15" s="388"/>
      <c r="D15" s="388"/>
      <c r="E15" s="47"/>
      <c r="F15" s="63"/>
      <c r="G15" s="63"/>
    </row>
    <row r="16" spans="2:15" s="22" customFormat="1" ht="15.75" customHeight="1">
      <c r="B16" s="53" t="s">
        <v>212</v>
      </c>
      <c r="C16" s="389"/>
      <c r="D16" s="388"/>
      <c r="E16" s="47"/>
    </row>
    <row r="17" spans="2:10" s="22" customFormat="1" ht="15.75" customHeight="1">
      <c r="B17" s="53" t="s">
        <v>196</v>
      </c>
      <c r="C17" s="388"/>
      <c r="D17" s="388"/>
      <c r="E17" s="47"/>
    </row>
    <row r="18" spans="2:10" s="22" customFormat="1" ht="15.75" customHeight="1">
      <c r="B18" s="53" t="s">
        <v>197</v>
      </c>
      <c r="C18" s="388"/>
      <c r="D18" s="388"/>
      <c r="E18" s="47"/>
    </row>
    <row r="19" spans="2:10" ht="78.75" customHeight="1">
      <c r="B19" s="997" t="s">
        <v>613</v>
      </c>
      <c r="C19" s="998"/>
      <c r="D19" s="998"/>
      <c r="E19" s="999"/>
    </row>
    <row r="20" spans="2:10" ht="18" customHeight="1">
      <c r="C20" s="166"/>
      <c r="D20" s="166"/>
    </row>
    <row r="21" spans="2:10" ht="7.5" customHeight="1"/>
    <row r="22" spans="2:10" ht="24.75" customHeight="1"/>
    <row r="23" spans="2:10">
      <c r="B23" s="780"/>
      <c r="C23" s="780"/>
      <c r="D23" s="276"/>
      <c r="E23" s="223"/>
      <c r="F23" s="223"/>
      <c r="G23" s="223"/>
      <c r="H23" s="223"/>
      <c r="I23" s="223"/>
      <c r="J23" s="223"/>
    </row>
    <row r="24" spans="2:10" ht="13.2">
      <c r="C24" s="9"/>
      <c r="D24" s="9"/>
      <c r="E24" s="22"/>
      <c r="F24" s="22"/>
      <c r="G24" s="22"/>
      <c r="H24" s="22"/>
      <c r="I24" s="22"/>
      <c r="J24" s="22"/>
    </row>
    <row r="44" ht="13.8" customHeight="1"/>
    <row r="45" ht="13.8" customHeight="1"/>
    <row r="46" ht="13.8" customHeight="1"/>
    <row r="47" ht="13.8" customHeight="1"/>
    <row r="48"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7"/>
    </row>
    <row r="69" spans="11:11" ht="15" customHeight="1">
      <c r="K69" s="7"/>
    </row>
    <row r="70" spans="11:11" ht="15" customHeight="1">
      <c r="K70" s="7"/>
    </row>
    <row r="71" spans="11:11" ht="15" customHeight="1">
      <c r="K71" s="7"/>
    </row>
    <row r="72" spans="11:11" ht="15" customHeight="1">
      <c r="K72" s="7"/>
    </row>
    <row r="73" spans="11:11" ht="15" customHeight="1">
      <c r="K73" s="7"/>
    </row>
    <row r="74" spans="11:11" ht="15" customHeight="1">
      <c r="K74" s="7"/>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23:C23"/>
    <mergeCell ref="B5:B6"/>
    <mergeCell ref="C5:E5"/>
    <mergeCell ref="B1:E1"/>
    <mergeCell ref="B3:E3"/>
    <mergeCell ref="B4:E4"/>
    <mergeCell ref="B19:E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K56"/>
  <sheetViews>
    <sheetView topLeftCell="A8" zoomScaleNormal="100" zoomScaleSheetLayoutView="75" workbookViewId="0">
      <selection activeCell="K36" sqref="K36"/>
    </sheetView>
  </sheetViews>
  <sheetFormatPr baseColWidth="10" defaultColWidth="10.921875" defaultRowHeight="11.4"/>
  <cols>
    <col min="1" max="1" width="1.3046875" style="62" customWidth="1"/>
    <col min="2" max="3" width="6.84375" style="4" customWidth="1"/>
    <col min="4" max="4" width="8.3046875" style="1" customWidth="1"/>
    <col min="5" max="5" width="8.765625" style="1" customWidth="1"/>
    <col min="6" max="6" width="8.07421875" style="1" customWidth="1"/>
    <col min="7" max="7" width="8.23046875" style="1" customWidth="1"/>
    <col min="8" max="8" width="7.84375" style="1" customWidth="1"/>
    <col min="9" max="9" width="9.23046875" style="1" customWidth="1"/>
    <col min="10" max="10" width="1.765625" style="1" customWidth="1"/>
    <col min="11" max="11" width="10.921875" style="1"/>
    <col min="12" max="16384" width="10.921875" style="62"/>
  </cols>
  <sheetData>
    <row r="1" spans="2:11" s="273" customFormat="1" ht="13.2">
      <c r="B1" s="766" t="s">
        <v>235</v>
      </c>
      <c r="C1" s="766"/>
      <c r="D1" s="766"/>
      <c r="E1" s="766"/>
      <c r="F1" s="766"/>
      <c r="G1" s="766"/>
      <c r="H1" s="766"/>
      <c r="I1" s="766"/>
      <c r="J1" s="18"/>
      <c r="K1" s="18"/>
    </row>
    <row r="2" spans="2:11" s="273" customFormat="1" ht="13.2">
      <c r="B2" s="17"/>
      <c r="C2" s="17"/>
      <c r="D2" s="15"/>
      <c r="E2" s="15"/>
      <c r="F2" s="15"/>
      <c r="G2" s="15"/>
      <c r="H2" s="15"/>
      <c r="I2" s="15"/>
      <c r="J2" s="18"/>
      <c r="K2" s="18"/>
    </row>
    <row r="3" spans="2:11" s="273" customFormat="1" ht="13.2">
      <c r="B3" s="766" t="s">
        <v>614</v>
      </c>
      <c r="C3" s="766"/>
      <c r="D3" s="766"/>
      <c r="E3" s="766"/>
      <c r="F3" s="766"/>
      <c r="G3" s="766"/>
      <c r="H3" s="766"/>
      <c r="I3" s="766"/>
      <c r="J3" s="18"/>
      <c r="K3" s="18"/>
    </row>
    <row r="4" spans="2:11" s="273" customFormat="1" ht="13.2">
      <c r="B4" s="766" t="s">
        <v>615</v>
      </c>
      <c r="C4" s="766"/>
      <c r="D4" s="766"/>
      <c r="E4" s="766"/>
      <c r="F4" s="766"/>
      <c r="G4" s="766"/>
      <c r="H4" s="766"/>
      <c r="I4" s="766"/>
      <c r="J4" s="18"/>
      <c r="K4" s="18"/>
    </row>
    <row r="5" spans="2:11" s="273" customFormat="1" ht="78.75" customHeight="1">
      <c r="B5" s="452" t="s">
        <v>201</v>
      </c>
      <c r="C5" s="453" t="s">
        <v>616</v>
      </c>
      <c r="D5" s="453" t="s">
        <v>617</v>
      </c>
      <c r="E5" s="453" t="s">
        <v>618</v>
      </c>
      <c r="F5" s="462" t="s">
        <v>619</v>
      </c>
      <c r="G5" s="462" t="s">
        <v>700</v>
      </c>
      <c r="H5" s="462" t="s">
        <v>701</v>
      </c>
      <c r="I5" s="462" t="s">
        <v>702</v>
      </c>
      <c r="J5" s="18"/>
      <c r="K5" s="1"/>
    </row>
    <row r="6" spans="2:11" ht="54.3" customHeight="1">
      <c r="B6" s="454">
        <v>43831</v>
      </c>
      <c r="C6" s="314">
        <v>449.41</v>
      </c>
      <c r="D6" s="314">
        <v>446.32</v>
      </c>
      <c r="E6" s="314">
        <v>443.64</v>
      </c>
      <c r="F6" s="314"/>
      <c r="G6" s="314">
        <v>485.83611795904483</v>
      </c>
      <c r="H6" s="314">
        <v>274.48368246273719</v>
      </c>
      <c r="I6" s="314">
        <v>268.46766124576266</v>
      </c>
    </row>
    <row r="7" spans="2:11" ht="15.75" customHeight="1">
      <c r="B7" s="454">
        <v>43862</v>
      </c>
      <c r="C7" s="314">
        <v>449.65</v>
      </c>
      <c r="D7" s="314">
        <v>446.05</v>
      </c>
      <c r="E7" s="314">
        <v>444.9</v>
      </c>
      <c r="F7" s="314"/>
      <c r="G7" s="314">
        <v>487.76342375700193</v>
      </c>
      <c r="H7" s="314">
        <v>275.57255579491635</v>
      </c>
      <c r="I7" s="314">
        <v>269.76252324376497</v>
      </c>
    </row>
    <row r="8" spans="2:11" ht="15.75" customHeight="1">
      <c r="B8" s="454">
        <v>43891</v>
      </c>
      <c r="C8" s="314">
        <v>487.86</v>
      </c>
      <c r="D8" s="314">
        <v>484.59</v>
      </c>
      <c r="E8" s="314">
        <v>479.55</v>
      </c>
      <c r="F8" s="314">
        <v>273.0146006096337</v>
      </c>
      <c r="G8" s="314">
        <v>494.50513305175457</v>
      </c>
      <c r="H8" s="314">
        <v>279.38143110268618</v>
      </c>
      <c r="I8" s="314">
        <v>268.34214893235429</v>
      </c>
    </row>
    <row r="9" spans="2:11" ht="15.75" customHeight="1">
      <c r="B9" s="454">
        <v>43922</v>
      </c>
      <c r="C9" s="314">
        <v>562.1</v>
      </c>
      <c r="D9" s="314">
        <v>559.04999999999995</v>
      </c>
      <c r="E9" s="314">
        <v>547.42999999999995</v>
      </c>
      <c r="F9" s="314">
        <v>278.76079693558427</v>
      </c>
      <c r="G9" s="314">
        <v>485.93022164445802</v>
      </c>
      <c r="H9" s="314">
        <v>274.53684838669943</v>
      </c>
      <c r="I9" s="314">
        <v>274.10297874335004</v>
      </c>
    </row>
    <row r="10" spans="2:11" ht="15.75" customHeight="1">
      <c r="B10" s="454">
        <v>43952</v>
      </c>
      <c r="C10" s="314">
        <v>519.80999999999995</v>
      </c>
      <c r="D10" s="314">
        <v>516.62</v>
      </c>
      <c r="E10" s="314">
        <v>510.52</v>
      </c>
      <c r="F10" s="314">
        <v>291.13165082048687</v>
      </c>
      <c r="G10" s="314">
        <v>488.60434020492249</v>
      </c>
      <c r="H10" s="314">
        <v>276.04764983328954</v>
      </c>
      <c r="I10" s="314">
        <v>285.47388583449589</v>
      </c>
    </row>
    <row r="11" spans="2:11" ht="15.75" customHeight="1">
      <c r="B11" s="454">
        <v>43983</v>
      </c>
      <c r="C11" s="314">
        <v>517.5</v>
      </c>
      <c r="D11" s="314">
        <v>514.32000000000005</v>
      </c>
      <c r="E11" s="314">
        <v>507.91</v>
      </c>
      <c r="F11" s="314">
        <v>296.44767383187002</v>
      </c>
      <c r="G11" s="314">
        <v>506.83333341292433</v>
      </c>
      <c r="H11" s="314">
        <v>286.34651605249962</v>
      </c>
      <c r="I11" s="314">
        <v>294.44192148551821</v>
      </c>
    </row>
    <row r="12" spans="2:11" ht="15.75" customHeight="1">
      <c r="B12" s="454">
        <v>44013</v>
      </c>
      <c r="C12" s="314">
        <v>481.35</v>
      </c>
      <c r="D12" s="314">
        <v>478.09</v>
      </c>
      <c r="E12" s="314">
        <v>474</v>
      </c>
      <c r="F12" s="314">
        <v>296.91741108406711</v>
      </c>
      <c r="G12" s="314">
        <v>534.75582564397189</v>
      </c>
      <c r="H12" s="314">
        <v>302.12193539207453</v>
      </c>
      <c r="I12" s="314">
        <v>295.17158767983892</v>
      </c>
    </row>
    <row r="13" spans="2:11" ht="15.75" customHeight="1">
      <c r="B13" s="454">
        <v>44044</v>
      </c>
      <c r="C13" s="314">
        <v>498.19</v>
      </c>
      <c r="D13" s="314">
        <v>495.19</v>
      </c>
      <c r="E13" s="314">
        <v>489.52</v>
      </c>
      <c r="F13" s="314">
        <v>291.84614992480823</v>
      </c>
      <c r="G13" s="314">
        <v>546.97583411464359</v>
      </c>
      <c r="H13" s="314">
        <v>309.02589498002465</v>
      </c>
      <c r="I13" s="314">
        <v>323.55908414821954</v>
      </c>
    </row>
    <row r="14" spans="2:11" ht="15.75" customHeight="1">
      <c r="B14" s="454">
        <v>44075</v>
      </c>
      <c r="C14" s="314">
        <v>511.14</v>
      </c>
      <c r="D14" s="314">
        <v>507.45</v>
      </c>
      <c r="E14" s="314">
        <v>500.95</v>
      </c>
      <c r="F14" s="314"/>
      <c r="G14" s="314">
        <v>547.30008592686488</v>
      </c>
      <c r="H14" s="314">
        <v>309.20908809427397</v>
      </c>
      <c r="I14" s="314">
        <v>399.7482975605551</v>
      </c>
    </row>
    <row r="15" spans="2:11" ht="15.75" customHeight="1">
      <c r="B15" s="454">
        <v>44105</v>
      </c>
      <c r="C15" s="314">
        <v>477.5</v>
      </c>
      <c r="D15" s="314">
        <v>474.18</v>
      </c>
      <c r="E15" s="314">
        <v>471.68</v>
      </c>
      <c r="F15" s="314"/>
      <c r="G15" s="314">
        <v>611.45540506874011</v>
      </c>
      <c r="H15" s="314">
        <v>345.45503111228254</v>
      </c>
      <c r="I15" s="314">
        <v>404.84333117663368</v>
      </c>
    </row>
    <row r="16" spans="2:11" ht="15.75" customHeight="1">
      <c r="B16" s="454">
        <v>44136</v>
      </c>
      <c r="C16" s="314">
        <v>484.24</v>
      </c>
      <c r="D16" s="314">
        <v>480.62</v>
      </c>
      <c r="E16" s="314">
        <v>479.48</v>
      </c>
      <c r="F16" s="314"/>
      <c r="G16" s="314">
        <v>657.03983530257608</v>
      </c>
      <c r="H16" s="314">
        <v>371.20894649863055</v>
      </c>
      <c r="I16" s="314">
        <v>385.96019122371985</v>
      </c>
    </row>
    <row r="17" spans="2:11" ht="15.75" customHeight="1">
      <c r="B17" s="454">
        <v>44166</v>
      </c>
      <c r="C17" s="314">
        <v>518.64</v>
      </c>
      <c r="D17" s="314">
        <v>515.45000000000005</v>
      </c>
      <c r="E17" s="314">
        <v>512.23</v>
      </c>
      <c r="F17" s="314"/>
      <c r="G17" s="314">
        <v>522.55345354356325</v>
      </c>
      <c r="H17" s="314">
        <v>295.2279398551205</v>
      </c>
      <c r="I17" s="314">
        <v>380.64937613685606</v>
      </c>
    </row>
    <row r="18" spans="2:11" ht="15.75" customHeight="1">
      <c r="B18" s="454">
        <v>44197</v>
      </c>
      <c r="C18" s="314">
        <v>538.1</v>
      </c>
      <c r="D18" s="314">
        <v>534.45000000000005</v>
      </c>
      <c r="E18" s="314">
        <v>530.04999999999995</v>
      </c>
      <c r="F18" s="314"/>
      <c r="G18" s="314">
        <v>524.3046206835927</v>
      </c>
      <c r="H18" s="314">
        <v>296.21729982123884</v>
      </c>
      <c r="I18" s="314">
        <v>354.63184719282259</v>
      </c>
      <c r="K18" s="392"/>
    </row>
    <row r="19" spans="2:11" ht="15.75" customHeight="1">
      <c r="B19" s="454">
        <v>44228</v>
      </c>
      <c r="C19" s="314">
        <v>557.4</v>
      </c>
      <c r="D19" s="314">
        <v>553.65</v>
      </c>
      <c r="E19" s="314">
        <v>548.79999999999995</v>
      </c>
      <c r="F19" s="314"/>
      <c r="G19" s="314">
        <v>570.13865280248558</v>
      </c>
      <c r="H19" s="314">
        <v>322.11223322174328</v>
      </c>
      <c r="I19" s="314">
        <v>346.645816900304</v>
      </c>
      <c r="K19" s="392"/>
    </row>
    <row r="20" spans="2:11" ht="15" customHeight="1">
      <c r="B20" s="454">
        <v>44256</v>
      </c>
      <c r="C20" s="314">
        <v>530.96</v>
      </c>
      <c r="D20" s="314">
        <v>529.48</v>
      </c>
      <c r="E20" s="314">
        <v>526.70000000000005</v>
      </c>
      <c r="F20" s="314">
        <v>320.36014703250407</v>
      </c>
      <c r="G20" s="314">
        <v>575.27615541876776</v>
      </c>
      <c r="H20" s="314">
        <v>325.01477707275012</v>
      </c>
      <c r="I20" s="314">
        <v>323.65679107525546</v>
      </c>
      <c r="K20" s="392"/>
    </row>
    <row r="21" spans="2:11" ht="15" customHeight="1">
      <c r="B21" s="454">
        <v>44287</v>
      </c>
      <c r="C21" s="314">
        <v>499.86</v>
      </c>
      <c r="D21" s="314">
        <v>496.29</v>
      </c>
      <c r="E21" s="314">
        <v>493.62</v>
      </c>
      <c r="F21" s="314">
        <v>325.82232582232575</v>
      </c>
      <c r="G21" s="314">
        <v>595.9091176226982</v>
      </c>
      <c r="H21" s="314">
        <v>336.67181786593119</v>
      </c>
      <c r="I21" s="314">
        <v>323.81323726778271</v>
      </c>
      <c r="K21" s="392"/>
    </row>
    <row r="22" spans="2:11" ht="15" customHeight="1">
      <c r="B22" s="454">
        <v>44317</v>
      </c>
      <c r="C22" s="314">
        <v>493.19</v>
      </c>
      <c r="D22" s="314">
        <v>490.05</v>
      </c>
      <c r="E22" s="314">
        <v>487.57</v>
      </c>
      <c r="F22" s="314">
        <v>316.43935750174597</v>
      </c>
      <c r="G22" s="314">
        <v>550.41993363719439</v>
      </c>
      <c r="H22" s="314">
        <v>310.97171391931886</v>
      </c>
      <c r="I22" s="314">
        <v>313.9434403710859</v>
      </c>
      <c r="K22" s="392"/>
    </row>
    <row r="23" spans="2:11" ht="15" customHeight="1">
      <c r="B23" s="454">
        <v>44348</v>
      </c>
      <c r="C23" s="314">
        <v>474.64</v>
      </c>
      <c r="D23" s="314">
        <v>471.74</v>
      </c>
      <c r="E23" s="314">
        <v>468.5</v>
      </c>
      <c r="F23" s="314">
        <v>313.03621732228555</v>
      </c>
      <c r="G23" s="314">
        <v>628.28779953260755</v>
      </c>
      <c r="H23" s="314">
        <v>354.96485849299859</v>
      </c>
      <c r="I23" s="314">
        <v>311.01889320156727</v>
      </c>
      <c r="K23" s="392"/>
    </row>
    <row r="24" spans="2:11" ht="15" customHeight="1">
      <c r="B24" s="454">
        <v>44378</v>
      </c>
      <c r="C24" s="314">
        <v>420.5</v>
      </c>
      <c r="D24" s="314">
        <v>417.5</v>
      </c>
      <c r="E24" s="314">
        <v>417.05</v>
      </c>
      <c r="F24" s="314">
        <v>303.82175790203075</v>
      </c>
      <c r="G24" s="314">
        <v>590.01634891700269</v>
      </c>
      <c r="H24" s="314">
        <v>333.34257000960605</v>
      </c>
      <c r="I24" s="314">
        <v>306.60507126141908</v>
      </c>
      <c r="K24" s="392"/>
    </row>
    <row r="25" spans="2:11" ht="15" customHeight="1">
      <c r="B25" s="454">
        <v>44409</v>
      </c>
      <c r="C25" s="314">
        <v>402.27</v>
      </c>
      <c r="D25" s="314">
        <v>399.27</v>
      </c>
      <c r="E25" s="314">
        <v>397.14</v>
      </c>
      <c r="F25" s="314">
        <v>302.24536116845979</v>
      </c>
      <c r="G25" s="314">
        <v>602.79229418600823</v>
      </c>
      <c r="H25" s="314">
        <v>340.56061818418544</v>
      </c>
      <c r="I25" s="314">
        <v>304.83743804463126</v>
      </c>
      <c r="K25" s="392"/>
    </row>
    <row r="26" spans="2:11" ht="15" customHeight="1">
      <c r="B26" s="454">
        <v>44440</v>
      </c>
      <c r="C26" s="314">
        <v>400.91</v>
      </c>
      <c r="D26" s="314">
        <v>397.91</v>
      </c>
      <c r="E26" s="314">
        <v>396.14</v>
      </c>
      <c r="F26" s="314"/>
      <c r="G26" s="314">
        <v>588.77641975476865</v>
      </c>
      <c r="H26" s="314">
        <v>332.64204505919133</v>
      </c>
      <c r="I26" s="314">
        <v>300.36581890262835</v>
      </c>
      <c r="K26" s="392"/>
    </row>
    <row r="27" spans="2:11" ht="15" customHeight="1">
      <c r="B27" s="454">
        <v>44470</v>
      </c>
      <c r="C27" s="314">
        <v>400</v>
      </c>
      <c r="D27" s="314">
        <v>397</v>
      </c>
      <c r="E27" s="314">
        <v>396.33</v>
      </c>
      <c r="F27" s="314"/>
      <c r="G27" s="314">
        <v>565.97413856195249</v>
      </c>
      <c r="H27" s="314">
        <v>319.75940031748729</v>
      </c>
      <c r="I27" s="314">
        <v>294.88614859040638</v>
      </c>
      <c r="K27" s="392"/>
    </row>
    <row r="28" spans="2:11" ht="15" customHeight="1">
      <c r="B28" s="454">
        <v>44501</v>
      </c>
      <c r="C28" s="314">
        <v>400.05</v>
      </c>
      <c r="D28" s="314">
        <v>397.05</v>
      </c>
      <c r="E28" s="314">
        <v>397.09</v>
      </c>
      <c r="F28" s="314"/>
      <c r="G28" s="314">
        <v>601.55447686894615</v>
      </c>
      <c r="H28" s="314">
        <v>339.86128636663625</v>
      </c>
      <c r="I28" s="314">
        <v>274.59154525571</v>
      </c>
      <c r="K28" s="392"/>
    </row>
    <row r="29" spans="2:11" ht="15" customHeight="1">
      <c r="B29" s="454">
        <v>44531</v>
      </c>
      <c r="C29" s="314">
        <v>399.55</v>
      </c>
      <c r="D29" s="314">
        <v>396.82</v>
      </c>
      <c r="E29" s="314">
        <v>396.05</v>
      </c>
      <c r="F29" s="314"/>
      <c r="G29" s="314">
        <v>590.44644989820915</v>
      </c>
      <c r="H29" s="314">
        <v>333.58556491424247</v>
      </c>
      <c r="I29" s="314">
        <v>275.22231745047623</v>
      </c>
      <c r="K29" s="392"/>
    </row>
    <row r="30" spans="2:11" ht="15" customHeight="1">
      <c r="B30" s="454">
        <v>44562</v>
      </c>
      <c r="C30" s="314">
        <v>421.19</v>
      </c>
      <c r="D30" s="314">
        <v>418.33</v>
      </c>
      <c r="E30" s="314">
        <v>417.33</v>
      </c>
      <c r="F30" s="314"/>
      <c r="G30" s="314">
        <v>558.27043492401322</v>
      </c>
      <c r="H30" s="314">
        <v>315.40702538079842</v>
      </c>
      <c r="I30" s="314">
        <v>266.40188147517387</v>
      </c>
      <c r="K30" s="392"/>
    </row>
    <row r="31" spans="2:11" ht="15" customHeight="1">
      <c r="B31" s="454">
        <v>44593</v>
      </c>
      <c r="C31" s="314">
        <v>431.8</v>
      </c>
      <c r="D31" s="314">
        <v>428.8</v>
      </c>
      <c r="E31" s="314">
        <v>428.6</v>
      </c>
      <c r="F31" s="314"/>
      <c r="G31" s="314">
        <v>546.3050779635397</v>
      </c>
      <c r="H31" s="314">
        <v>308.6469367025648</v>
      </c>
      <c r="I31" s="314">
        <v>274.23891360105068</v>
      </c>
      <c r="K31" s="392"/>
    </row>
    <row r="32" spans="2:11" ht="15" customHeight="1">
      <c r="B32" s="454">
        <v>44621</v>
      </c>
      <c r="C32" s="314">
        <v>420.7</v>
      </c>
      <c r="D32" s="314">
        <v>417.7</v>
      </c>
      <c r="E32" s="314">
        <v>419</v>
      </c>
      <c r="F32" s="314"/>
      <c r="G32" s="314">
        <v>545.80731285261425</v>
      </c>
      <c r="H32" s="314">
        <v>308.36571347605326</v>
      </c>
      <c r="I32" s="314">
        <v>294.40171076440697</v>
      </c>
      <c r="K32" s="392"/>
    </row>
    <row r="33" spans="2:11" ht="15" customHeight="1">
      <c r="B33" s="454">
        <v>44652</v>
      </c>
      <c r="C33" s="314">
        <v>429.4</v>
      </c>
      <c r="D33" s="314">
        <v>426.4</v>
      </c>
      <c r="E33" s="314">
        <v>428.5</v>
      </c>
      <c r="F33" s="314">
        <v>316.96764484574862</v>
      </c>
      <c r="G33" s="314">
        <v>549.72457402147984</v>
      </c>
      <c r="H33" s="314">
        <v>310.57885537936716</v>
      </c>
      <c r="I33" s="314">
        <v>304.41770736448223</v>
      </c>
      <c r="K33" s="392"/>
    </row>
    <row r="34" spans="2:11" ht="15" customHeight="1">
      <c r="B34" s="454">
        <v>44682</v>
      </c>
      <c r="C34" s="314">
        <v>460.14</v>
      </c>
      <c r="D34" s="314">
        <v>457.14</v>
      </c>
      <c r="E34" s="314">
        <v>456.95</v>
      </c>
      <c r="F34" s="314">
        <v>314.3432345565642</v>
      </c>
      <c r="G34" s="314">
        <v>564.81641387732293</v>
      </c>
      <c r="H34" s="314">
        <v>319.10531857475871</v>
      </c>
      <c r="I34" s="314">
        <v>296.43473791218946</v>
      </c>
      <c r="K34" s="392"/>
    </row>
    <row r="35" spans="2:11" ht="24" customHeight="1">
      <c r="B35" s="791" t="s">
        <v>703</v>
      </c>
      <c r="C35" s="791"/>
      <c r="D35" s="791"/>
      <c r="E35" s="791"/>
      <c r="F35" s="791"/>
      <c r="G35" s="791"/>
      <c r="H35" s="791"/>
      <c r="I35" s="791"/>
    </row>
    <row r="36" spans="2:11" ht="33.450000000000003" customHeight="1">
      <c r="B36" s="791"/>
      <c r="C36" s="791"/>
      <c r="D36" s="791"/>
      <c r="E36" s="791"/>
      <c r="F36" s="791"/>
      <c r="G36" s="791"/>
      <c r="H36" s="791"/>
      <c r="I36" s="791"/>
    </row>
    <row r="37" spans="2:11" ht="15" customHeight="1"/>
    <row r="38" spans="2:11" ht="15" customHeight="1"/>
    <row r="39" spans="2:11" ht="15" customHeight="1"/>
    <row r="40" spans="2:11" ht="15" customHeight="1"/>
    <row r="41" spans="2:11" ht="15" customHeight="1"/>
    <row r="42" spans="2:11" ht="15" customHeight="1"/>
    <row r="43" spans="2:11" ht="15" customHeight="1"/>
    <row r="44" spans="2:11" ht="15" customHeight="1"/>
    <row r="45" spans="2:11" ht="15" customHeight="1"/>
    <row r="46" spans="2:11" ht="13.8" customHeight="1"/>
    <row r="47" spans="2:11" ht="13.8" customHeight="1"/>
    <row r="48" spans="2:11" ht="13.8" customHeight="1"/>
    <row r="49" spans="2:9" ht="13.8" customHeight="1"/>
    <row r="50" spans="2:9" ht="13.8" customHeight="1"/>
    <row r="51" spans="2:9" ht="30" hidden="1" customHeight="1"/>
    <row r="52" spans="2:9" ht="11.25" hidden="1" customHeight="1"/>
    <row r="53" spans="2:9" ht="11.25" hidden="1" customHeight="1"/>
    <row r="54" spans="2:9" ht="12" hidden="1" customHeight="1"/>
    <row r="55" spans="2:9" ht="19.05" customHeight="1">
      <c r="B55" s="846" t="s">
        <v>620</v>
      </c>
      <c r="C55" s="846"/>
      <c r="D55" s="846"/>
      <c r="E55" s="846"/>
      <c r="F55" s="846"/>
      <c r="G55" s="846"/>
      <c r="H55" s="846"/>
      <c r="I55" s="846"/>
    </row>
    <row r="56" spans="2:9">
      <c r="B56" s="846"/>
      <c r="C56" s="846"/>
      <c r="D56" s="846"/>
      <c r="E56" s="846"/>
      <c r="F56" s="846"/>
      <c r="G56" s="846"/>
      <c r="H56" s="846"/>
      <c r="I56" s="846"/>
    </row>
  </sheetData>
  <mergeCells count="5">
    <mergeCell ref="B1:I1"/>
    <mergeCell ref="B3:I3"/>
    <mergeCell ref="B4:I4"/>
    <mergeCell ref="B35:I36"/>
    <mergeCell ref="B55:I56"/>
  </mergeCells>
  <printOptions horizontalCentered="1" verticalCentered="1"/>
  <pageMargins left="0.59055118110236227" right="0.59055118110236227" top="0" bottom="0.23622047244094491" header="0" footer="0.23622047244094491"/>
  <pageSetup scale="87"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G1:T62"/>
  <sheetViews>
    <sheetView zoomScale="90" zoomScaleNormal="90" workbookViewId="0">
      <pane ySplit="1" topLeftCell="A2" activePane="bottomLeft" state="frozen"/>
      <selection pane="bottomLeft" activeCell="G25" sqref="G25"/>
    </sheetView>
  </sheetViews>
  <sheetFormatPr baseColWidth="10" defaultColWidth="10.921875" defaultRowHeight="13.2"/>
  <cols>
    <col min="1" max="1" width="8" style="704" customWidth="1"/>
    <col min="2" max="4" width="10.921875" style="704"/>
    <col min="5" max="5" width="21.3046875" style="704" customWidth="1"/>
    <col min="6" max="6" width="10.921875" style="704"/>
    <col min="7" max="7" width="10.921875" style="704" customWidth="1"/>
    <col min="8" max="8" width="15.07421875" style="704" bestFit="1" customWidth="1"/>
    <col min="9" max="12" width="10.921875" style="704" hidden="1" customWidth="1"/>
    <col min="13" max="13" width="0" style="704" hidden="1" customWidth="1"/>
    <col min="14" max="16384" width="10.921875" style="704"/>
  </cols>
  <sheetData>
    <row r="1" spans="7:20">
      <c r="H1" s="704" t="s">
        <v>621</v>
      </c>
      <c r="I1" s="705">
        <v>44378</v>
      </c>
      <c r="J1" s="705">
        <v>44440</v>
      </c>
      <c r="K1" s="705">
        <v>44501</v>
      </c>
      <c r="L1" s="705">
        <v>44562</v>
      </c>
      <c r="M1" s="705">
        <v>44621</v>
      </c>
      <c r="N1" s="705">
        <v>44682</v>
      </c>
      <c r="O1" s="705">
        <v>44743</v>
      </c>
      <c r="P1" s="705">
        <v>44805</v>
      </c>
      <c r="Q1" s="705">
        <v>44866</v>
      </c>
      <c r="R1" s="705">
        <v>44927</v>
      </c>
      <c r="S1" s="705">
        <v>44986</v>
      </c>
      <c r="T1" s="705">
        <v>45047</v>
      </c>
    </row>
    <row r="2" spans="7:20">
      <c r="G2" s="706">
        <v>44340</v>
      </c>
      <c r="H2" s="704" t="s">
        <v>282</v>
      </c>
      <c r="I2" s="707">
        <v>289.90811125416673</v>
      </c>
      <c r="J2" s="707">
        <v>295.4196723046262</v>
      </c>
      <c r="K2" s="707">
        <v>298.39591527187429</v>
      </c>
      <c r="L2" s="707">
        <v>302.80516411224181</v>
      </c>
      <c r="M2" s="707">
        <v>302.80516411224181</v>
      </c>
      <c r="N2" s="707">
        <v>302.80516411224181</v>
      </c>
      <c r="O2" s="707">
        <v>302.80516411224181</v>
      </c>
    </row>
    <row r="3" spans="7:20">
      <c r="G3" s="706">
        <v>44348</v>
      </c>
      <c r="H3" s="704" t="s">
        <v>283</v>
      </c>
      <c r="I3" s="707">
        <v>292.88435422141481</v>
      </c>
      <c r="J3" s="707">
        <v>298.61637771389263</v>
      </c>
      <c r="K3" s="707">
        <v>301.37215823912237</v>
      </c>
      <c r="L3" s="707">
        <v>305.1200197534348</v>
      </c>
      <c r="M3" s="707">
        <v>305.230250974444</v>
      </c>
      <c r="N3" s="707">
        <v>305.230250974444</v>
      </c>
      <c r="O3" s="707">
        <v>305.230250974444</v>
      </c>
    </row>
    <row r="4" spans="7:20">
      <c r="G4" s="706">
        <v>44354</v>
      </c>
      <c r="H4" s="704" t="s">
        <v>284</v>
      </c>
      <c r="I4" s="707">
        <v>292.55366055838726</v>
      </c>
      <c r="J4" s="707">
        <v>298.94707137692023</v>
      </c>
      <c r="K4" s="707">
        <v>302.36423922820507</v>
      </c>
      <c r="L4" s="707">
        <v>306.44279440554504</v>
      </c>
      <c r="M4" s="707">
        <v>306.77348806857265</v>
      </c>
      <c r="N4" s="707">
        <v>306.77348806857265</v>
      </c>
      <c r="O4" s="707">
        <v>306.77348806857265</v>
      </c>
    </row>
    <row r="5" spans="7:20">
      <c r="G5" s="706">
        <v>44361</v>
      </c>
      <c r="H5" s="704" t="s">
        <v>285</v>
      </c>
      <c r="I5" s="708">
        <v>275.6882837439814</v>
      </c>
      <c r="J5" s="708">
        <v>281.86123212049591</v>
      </c>
      <c r="K5" s="708">
        <v>286.93186828691864</v>
      </c>
      <c r="L5" s="708">
        <v>292.00250445334132</v>
      </c>
      <c r="M5" s="708">
        <v>292.44342933737806</v>
      </c>
      <c r="N5" s="708">
        <v>292.44342933737806</v>
      </c>
      <c r="O5" s="708">
        <v>292.44342933737806</v>
      </c>
    </row>
    <row r="6" spans="7:20">
      <c r="G6" s="706">
        <v>44368</v>
      </c>
      <c r="H6" s="704" t="s">
        <v>286</v>
      </c>
      <c r="I6" s="708">
        <v>280.42822624737647</v>
      </c>
      <c r="J6" s="708">
        <v>287.04209950792779</v>
      </c>
      <c r="K6" s="708">
        <v>291.89227323233212</v>
      </c>
      <c r="L6" s="708">
        <v>296.74244695673644</v>
      </c>
      <c r="M6" s="708">
        <v>297.18337184077319</v>
      </c>
      <c r="N6" s="708">
        <v>297.18337184077319</v>
      </c>
      <c r="O6" s="708">
        <v>297.18337184077319</v>
      </c>
    </row>
    <row r="7" spans="7:20">
      <c r="G7" s="706">
        <v>44375</v>
      </c>
      <c r="H7" s="704" t="s">
        <v>287</v>
      </c>
      <c r="I7" s="708">
        <v>290.01834247517593</v>
      </c>
      <c r="J7" s="708">
        <v>296.74244695673644</v>
      </c>
      <c r="K7" s="708">
        <v>302.14377678618666</v>
      </c>
      <c r="L7" s="708">
        <v>306.1121007425175</v>
      </c>
      <c r="M7" s="708">
        <v>307.65533783664614</v>
      </c>
      <c r="N7" s="708">
        <v>307.65533783664614</v>
      </c>
      <c r="O7" s="708">
        <v>307.65533783664614</v>
      </c>
    </row>
    <row r="8" spans="7:20">
      <c r="G8" s="706">
        <v>44383</v>
      </c>
      <c r="H8" s="704" t="s">
        <v>288</v>
      </c>
      <c r="I8" s="708">
        <v>276.01897740700895</v>
      </c>
      <c r="J8" s="708">
        <v>282.63285066756026</v>
      </c>
      <c r="K8" s="708">
        <v>287.37279317095539</v>
      </c>
      <c r="L8" s="708">
        <v>292.55366055838726</v>
      </c>
      <c r="M8" s="708">
        <v>297.84475916682834</v>
      </c>
      <c r="N8" s="708">
        <v>297.84475916682834</v>
      </c>
      <c r="O8" s="708">
        <v>297.84475916682834</v>
      </c>
    </row>
    <row r="9" spans="7:20">
      <c r="G9" s="706">
        <v>44389</v>
      </c>
      <c r="H9" s="704" t="s">
        <v>289</v>
      </c>
      <c r="I9" s="708">
        <v>279.10545159526623</v>
      </c>
      <c r="J9" s="708">
        <v>284.28631898269811</v>
      </c>
      <c r="K9" s="708">
        <v>289.35695514912078</v>
      </c>
      <c r="L9" s="708">
        <v>293.65597276847916</v>
      </c>
      <c r="M9" s="708">
        <v>297.51406550380079</v>
      </c>
      <c r="N9" s="708">
        <v>297.51406550380079</v>
      </c>
      <c r="O9" s="708">
        <v>297.51406550380079</v>
      </c>
    </row>
    <row r="10" spans="7:20">
      <c r="G10" s="706">
        <v>44396</v>
      </c>
      <c r="H10" s="704" t="s">
        <v>290</v>
      </c>
      <c r="I10" s="708"/>
      <c r="J10" s="708">
        <v>287.48302439196459</v>
      </c>
      <c r="K10" s="708">
        <v>292.66389177939647</v>
      </c>
      <c r="L10" s="708">
        <v>295.97082840967215</v>
      </c>
      <c r="M10" s="708">
        <v>299.27776503994778</v>
      </c>
      <c r="N10" s="708">
        <v>299.27776503994778</v>
      </c>
      <c r="O10" s="708">
        <v>299.27776503994778</v>
      </c>
    </row>
    <row r="11" spans="7:20">
      <c r="G11" s="706">
        <v>44403</v>
      </c>
      <c r="H11" s="704" t="s">
        <v>291</v>
      </c>
      <c r="I11" s="708"/>
      <c r="J11" s="708">
        <v>298.61637771389263</v>
      </c>
      <c r="K11" s="708">
        <v>303.24608899627862</v>
      </c>
      <c r="L11" s="708">
        <v>305.78140707948995</v>
      </c>
      <c r="M11" s="708">
        <v>308.09626272068289</v>
      </c>
      <c r="N11" s="708">
        <v>308.09626272068289</v>
      </c>
      <c r="O11" s="708">
        <v>308.09626272068289</v>
      </c>
    </row>
    <row r="12" spans="7:20">
      <c r="G12" s="706">
        <v>44410</v>
      </c>
      <c r="H12" s="704" t="s">
        <v>292</v>
      </c>
      <c r="I12" s="708"/>
      <c r="J12" s="708">
        <v>297.51406550380079</v>
      </c>
      <c r="K12" s="708">
        <v>303.68701388031536</v>
      </c>
      <c r="L12" s="708">
        <v>305.67117585848075</v>
      </c>
      <c r="M12" s="708">
        <v>306.44279440554504</v>
      </c>
      <c r="N12" s="708">
        <v>311.18273690894017</v>
      </c>
      <c r="O12" s="708">
        <v>311.18273690894017</v>
      </c>
    </row>
    <row r="13" spans="7:20">
      <c r="G13" s="706">
        <v>44417</v>
      </c>
      <c r="H13" s="704" t="s">
        <v>293</v>
      </c>
      <c r="J13" s="708">
        <v>295.1992098626078</v>
      </c>
      <c r="K13" s="708">
        <v>301.37215823912237</v>
      </c>
      <c r="L13" s="708">
        <v>303.24608899627862</v>
      </c>
      <c r="M13" s="708">
        <v>304.78932609040726</v>
      </c>
      <c r="N13" s="708">
        <v>308.64741882572883</v>
      </c>
      <c r="O13" s="708">
        <v>308.64741882572883</v>
      </c>
    </row>
    <row r="14" spans="7:20">
      <c r="G14" s="706">
        <v>44424</v>
      </c>
      <c r="H14" s="704" t="s">
        <v>294</v>
      </c>
      <c r="J14" s="708">
        <v>298.72660893490183</v>
      </c>
      <c r="K14" s="708">
        <v>304.67909486939806</v>
      </c>
      <c r="L14" s="708">
        <v>307.21441295260939</v>
      </c>
      <c r="M14" s="708">
        <v>308.20649394169209</v>
      </c>
      <c r="N14" s="708">
        <v>310.41111836187588</v>
      </c>
      <c r="O14" s="708">
        <v>312.61574278205961</v>
      </c>
    </row>
    <row r="15" spans="7:20">
      <c r="G15" s="706">
        <v>44431</v>
      </c>
      <c r="H15" s="704" t="s">
        <v>295</v>
      </c>
      <c r="J15" s="708">
        <v>295.1992098626078</v>
      </c>
      <c r="K15" s="708">
        <v>300.60053969205802</v>
      </c>
      <c r="L15" s="708">
        <v>303.02562655426021</v>
      </c>
      <c r="M15" s="708">
        <v>303.68701388031536</v>
      </c>
      <c r="N15" s="708">
        <v>305.78140707948995</v>
      </c>
      <c r="O15" s="708">
        <v>307.98603149967369</v>
      </c>
    </row>
    <row r="16" spans="7:20">
      <c r="G16" s="706">
        <v>44438</v>
      </c>
      <c r="H16" s="704" t="s">
        <v>296</v>
      </c>
      <c r="J16" s="708">
        <v>290.12857369618513</v>
      </c>
      <c r="K16" s="708">
        <v>296.3015220726997</v>
      </c>
      <c r="L16" s="708">
        <v>299.27776503994778</v>
      </c>
      <c r="M16" s="708">
        <v>301.48238946013157</v>
      </c>
      <c r="N16" s="708">
        <v>303.57678265930616</v>
      </c>
      <c r="O16" s="708">
        <v>305.78140707948995</v>
      </c>
    </row>
    <row r="17" spans="7:15">
      <c r="G17" s="706">
        <v>44446</v>
      </c>
      <c r="H17" s="704" t="s">
        <v>297</v>
      </c>
      <c r="J17" s="708">
        <v>288.80579904407489</v>
      </c>
      <c r="K17" s="708">
        <v>293.98666643150671</v>
      </c>
      <c r="L17" s="708">
        <v>298.39591527187429</v>
      </c>
      <c r="M17" s="708">
        <v>302.36423922820507</v>
      </c>
      <c r="N17" s="708">
        <v>304.56886364838886</v>
      </c>
      <c r="O17" s="708">
        <v>306.77348806857265</v>
      </c>
    </row>
    <row r="18" spans="7:15">
      <c r="G18" s="706">
        <v>44452</v>
      </c>
      <c r="H18" s="704" t="s">
        <v>298</v>
      </c>
      <c r="K18" s="708">
        <v>298.72660893490183</v>
      </c>
      <c r="L18" s="708">
        <v>302.58470167022341</v>
      </c>
      <c r="M18" s="708">
        <v>306.66325684756345</v>
      </c>
      <c r="N18" s="708">
        <v>308.86788126774718</v>
      </c>
      <c r="O18" s="708">
        <v>311.07250568793097</v>
      </c>
    </row>
    <row r="19" spans="7:15">
      <c r="G19" s="706">
        <v>44459</v>
      </c>
      <c r="H19" s="704" t="s">
        <v>299</v>
      </c>
      <c r="K19" s="708">
        <v>302.58470167022341</v>
      </c>
      <c r="L19" s="708">
        <v>306.33256318453584</v>
      </c>
      <c r="M19" s="708">
        <v>310.52134958288508</v>
      </c>
      <c r="N19" s="708">
        <v>312.72597400306881</v>
      </c>
      <c r="O19" s="708">
        <v>314.9305984232526</v>
      </c>
    </row>
    <row r="20" spans="7:15">
      <c r="G20" s="706">
        <v>44466</v>
      </c>
      <c r="H20" s="704" t="s">
        <v>300</v>
      </c>
      <c r="K20" s="708">
        <v>308.53718760471969</v>
      </c>
      <c r="L20" s="708">
        <v>313.16689888710556</v>
      </c>
      <c r="M20" s="708">
        <v>316.0329106333445</v>
      </c>
      <c r="N20" s="708">
        <v>318.12730383251909</v>
      </c>
      <c r="O20" s="708">
        <v>320.33192825270288</v>
      </c>
    </row>
    <row r="21" spans="7:15">
      <c r="G21" s="706">
        <v>44473</v>
      </c>
      <c r="H21" s="704" t="s">
        <v>301</v>
      </c>
      <c r="K21" s="708">
        <v>298.50614649288349</v>
      </c>
      <c r="L21" s="708">
        <v>304.34840120637045</v>
      </c>
      <c r="M21" s="708">
        <v>308.09626272068289</v>
      </c>
      <c r="N21" s="708">
        <v>310.74181202490342</v>
      </c>
      <c r="O21" s="708">
        <v>312.94643644508722</v>
      </c>
    </row>
    <row r="22" spans="7:15">
      <c r="G22" s="706">
        <v>44480</v>
      </c>
      <c r="H22" s="704" t="s">
        <v>302</v>
      </c>
      <c r="K22" s="708">
        <v>303.79724510132456</v>
      </c>
      <c r="L22" s="708">
        <v>309.97019347783913</v>
      </c>
      <c r="M22" s="708">
        <v>313.49759255013316</v>
      </c>
      <c r="N22" s="708">
        <v>316.80452918040885</v>
      </c>
      <c r="O22" s="708">
        <v>319.00915360059258</v>
      </c>
    </row>
    <row r="23" spans="7:15">
      <c r="G23" s="706">
        <v>44487</v>
      </c>
      <c r="H23" s="704" t="s">
        <v>642</v>
      </c>
      <c r="K23" s="708">
        <v>305.34048219545315</v>
      </c>
      <c r="L23" s="708">
        <v>311.18273690894017</v>
      </c>
      <c r="M23" s="708">
        <v>314.7101359812342</v>
      </c>
      <c r="N23" s="708">
        <v>317.1352228434364</v>
      </c>
      <c r="O23" s="708">
        <v>319.33984726362013</v>
      </c>
    </row>
    <row r="24" spans="7:15">
      <c r="G24" s="706">
        <v>44494</v>
      </c>
      <c r="H24" s="704" t="s">
        <v>643</v>
      </c>
      <c r="K24" s="708">
        <v>295.4196723046262</v>
      </c>
      <c r="L24" s="708">
        <v>301.37215823912237</v>
      </c>
      <c r="M24" s="708">
        <v>305.67117585848075</v>
      </c>
      <c r="N24" s="708">
        <v>307.98603149967369</v>
      </c>
      <c r="O24" s="708">
        <v>310.19065591985748</v>
      </c>
    </row>
    <row r="25" spans="7:15">
      <c r="G25" s="706">
        <v>44501</v>
      </c>
      <c r="H25" s="704" t="s">
        <v>644</v>
      </c>
      <c r="K25" s="708">
        <v>291.12065468526782</v>
      </c>
      <c r="L25" s="708">
        <v>297.07314061976399</v>
      </c>
      <c r="M25" s="708">
        <v>301.81308312315912</v>
      </c>
      <c r="N25" s="708">
        <v>304.12793876435211</v>
      </c>
      <c r="O25" s="708">
        <v>306.33256318453584</v>
      </c>
    </row>
    <row r="26" spans="7:15">
      <c r="G26" s="706">
        <v>44508</v>
      </c>
      <c r="H26" s="704" t="s">
        <v>645</v>
      </c>
      <c r="L26" s="708">
        <v>299.71868992398453</v>
      </c>
      <c r="M26" s="708">
        <v>304.45863242737965</v>
      </c>
      <c r="N26" s="708">
        <v>308.20649394169209</v>
      </c>
      <c r="O26" s="708">
        <v>311.29296812994937</v>
      </c>
    </row>
    <row r="27" spans="7:15">
      <c r="G27" s="706">
        <v>44515</v>
      </c>
      <c r="H27" s="704" t="s">
        <v>646</v>
      </c>
      <c r="L27" s="708">
        <v>311.95435545600452</v>
      </c>
      <c r="M27" s="708">
        <v>316.0329106333445</v>
      </c>
      <c r="N27" s="708">
        <v>318.89892237958338</v>
      </c>
      <c r="O27" s="708">
        <v>319.56030970563853</v>
      </c>
    </row>
    <row r="28" spans="7:15">
      <c r="G28" s="706">
        <v>44522</v>
      </c>
      <c r="H28" s="704" t="s">
        <v>647</v>
      </c>
      <c r="L28" s="708">
        <v>320.66262191573043</v>
      </c>
      <c r="M28" s="708">
        <v>325.6230268611439</v>
      </c>
      <c r="N28" s="708">
        <v>328.48903860738284</v>
      </c>
      <c r="O28" s="708">
        <v>329.15042593343793</v>
      </c>
    </row>
    <row r="29" spans="7:15">
      <c r="G29" s="706">
        <v>44529</v>
      </c>
      <c r="H29" s="704" t="s">
        <v>648</v>
      </c>
      <c r="L29" s="708">
        <v>315.15106086527095</v>
      </c>
      <c r="M29" s="708">
        <v>320.44215947371202</v>
      </c>
      <c r="N29" s="708">
        <v>323.52863366196937</v>
      </c>
      <c r="O29" s="708">
        <v>324.85140831407961</v>
      </c>
    </row>
    <row r="30" spans="7:15">
      <c r="G30" s="706">
        <v>44536</v>
      </c>
      <c r="H30" s="704" t="s">
        <v>649</v>
      </c>
      <c r="L30" s="708">
        <v>309.19857493077478</v>
      </c>
      <c r="M30" s="708">
        <v>315.04082964426181</v>
      </c>
      <c r="N30" s="708">
        <v>318.89892237958338</v>
      </c>
      <c r="O30" s="708">
        <v>320.22169703169368</v>
      </c>
    </row>
    <row r="31" spans="7:15">
      <c r="G31" s="706">
        <v>44543</v>
      </c>
      <c r="H31" s="704" t="s">
        <v>650</v>
      </c>
      <c r="L31" s="708">
        <v>303.68701388031536</v>
      </c>
      <c r="M31" s="708">
        <v>309.41903737279318</v>
      </c>
      <c r="N31" s="708">
        <v>313.71805499215151</v>
      </c>
      <c r="O31" s="708">
        <v>315.15106086527095</v>
      </c>
    </row>
    <row r="32" spans="7:15">
      <c r="G32" s="706">
        <v>44550</v>
      </c>
      <c r="H32" s="704" t="s">
        <v>651</v>
      </c>
      <c r="L32" s="708">
        <v>301.15169579710397</v>
      </c>
      <c r="M32" s="708">
        <v>305.8916383004991</v>
      </c>
      <c r="N32" s="708">
        <v>310.19065591985748</v>
      </c>
      <c r="O32" s="708">
        <v>314.37944231820666</v>
      </c>
    </row>
    <row r="33" spans="7:19">
      <c r="G33" s="706">
        <v>44557</v>
      </c>
      <c r="H33" s="704" t="s">
        <v>652</v>
      </c>
      <c r="L33" s="708">
        <v>316.1431418543537</v>
      </c>
      <c r="M33" s="708">
        <v>319.56030970563853</v>
      </c>
      <c r="N33" s="708">
        <v>323.08770877793262</v>
      </c>
      <c r="O33" s="708">
        <v>325.51279564013475</v>
      </c>
    </row>
    <row r="34" spans="7:19">
      <c r="G34" s="706">
        <v>44564</v>
      </c>
      <c r="H34" s="704" t="s">
        <v>653</v>
      </c>
      <c r="L34" s="708">
        <v>318.23753505352829</v>
      </c>
      <c r="M34" s="708">
        <v>322.64678389389582</v>
      </c>
      <c r="N34" s="708">
        <v>325.9537205241715</v>
      </c>
      <c r="O34" s="708">
        <v>327.71742006031849</v>
      </c>
    </row>
    <row r="35" spans="7:19">
      <c r="G35" s="706">
        <v>44571</v>
      </c>
      <c r="H35" s="704" t="s">
        <v>670</v>
      </c>
      <c r="M35" s="708">
        <v>321.43424046279472</v>
      </c>
      <c r="N35" s="708">
        <v>325.40256441912555</v>
      </c>
      <c r="O35" s="708">
        <v>326.72533907123579</v>
      </c>
      <c r="P35" s="708"/>
      <c r="Q35" s="708"/>
      <c r="R35" s="708"/>
    </row>
    <row r="36" spans="7:19">
      <c r="G36" s="706">
        <v>44579</v>
      </c>
      <c r="H36" s="704" t="s">
        <v>671</v>
      </c>
      <c r="M36" s="708">
        <v>320.11146581068448</v>
      </c>
      <c r="N36" s="708">
        <v>324.41048343004286</v>
      </c>
      <c r="O36" s="708">
        <v>326.9458015132542</v>
      </c>
      <c r="P36" s="708">
        <v>314.7101359812342</v>
      </c>
      <c r="Q36" s="708">
        <v>314.7101359812342</v>
      </c>
      <c r="R36" s="708">
        <v>318.12730383251909</v>
      </c>
    </row>
    <row r="37" spans="7:19">
      <c r="G37" s="706">
        <v>44585</v>
      </c>
      <c r="H37" s="704" t="s">
        <v>672</v>
      </c>
      <c r="M37" s="708">
        <v>330.25273814352988</v>
      </c>
      <c r="N37" s="708">
        <v>334.33129332086986</v>
      </c>
      <c r="O37" s="708">
        <v>336.53591774105365</v>
      </c>
      <c r="P37" s="708">
        <v>318.78869115857424</v>
      </c>
      <c r="Q37" s="708">
        <v>318.78869115857424</v>
      </c>
      <c r="R37" s="708">
        <v>322.20585900985907</v>
      </c>
    </row>
    <row r="38" spans="7:19">
      <c r="G38" s="706">
        <v>44592</v>
      </c>
      <c r="H38" s="709" t="s">
        <v>673</v>
      </c>
      <c r="M38" s="708">
        <v>332.01643767967687</v>
      </c>
      <c r="N38" s="708">
        <v>336.756380183072</v>
      </c>
      <c r="O38" s="708">
        <v>338.96100460325579</v>
      </c>
      <c r="P38" s="708">
        <v>317.68637894848234</v>
      </c>
      <c r="Q38" s="708">
        <v>321.10354679976717</v>
      </c>
      <c r="R38" s="708">
        <v>324.52071465105206</v>
      </c>
    </row>
    <row r="39" spans="7:19">
      <c r="G39" s="706">
        <v>44599</v>
      </c>
      <c r="H39" s="709" t="s">
        <v>674</v>
      </c>
      <c r="M39" s="708">
        <v>340.61447291839363</v>
      </c>
      <c r="N39" s="708">
        <v>346.12603396885305</v>
      </c>
      <c r="O39" s="708">
        <v>348.99204571509193</v>
      </c>
      <c r="P39" s="708">
        <v>326.17418296618985</v>
      </c>
      <c r="Q39" s="708">
        <v>329.59135081747473</v>
      </c>
      <c r="R39" s="708">
        <v>333.00851866875956</v>
      </c>
    </row>
    <row r="40" spans="7:19">
      <c r="G40" s="706">
        <v>44606</v>
      </c>
      <c r="H40" s="709" t="s">
        <v>676</v>
      </c>
      <c r="M40" s="708">
        <v>331.79597523765852</v>
      </c>
      <c r="N40" s="708">
        <v>337.41776750912715</v>
      </c>
      <c r="O40" s="708">
        <v>340.28377925536603</v>
      </c>
      <c r="P40" s="708">
        <v>322.53655267288667</v>
      </c>
      <c r="Q40" s="708">
        <v>325.9537205241715</v>
      </c>
      <c r="R40" s="708">
        <v>326.50487662921745</v>
      </c>
    </row>
    <row r="41" spans="7:19">
      <c r="G41" s="706">
        <v>44613</v>
      </c>
      <c r="H41" s="709" t="s">
        <v>677</v>
      </c>
      <c r="M41" s="708">
        <v>333.33921233178717</v>
      </c>
      <c r="N41" s="708">
        <v>339.62239192931094</v>
      </c>
      <c r="O41" s="708">
        <v>342.70886611756822</v>
      </c>
      <c r="P41" s="708">
        <v>328.48903860738284</v>
      </c>
      <c r="Q41" s="708">
        <v>331.90620645866767</v>
      </c>
      <c r="R41" s="708">
        <v>332.45736256371362</v>
      </c>
    </row>
    <row r="42" spans="7:19">
      <c r="G42" s="706">
        <v>44620</v>
      </c>
      <c r="H42" s="709" t="s">
        <v>678</v>
      </c>
      <c r="M42" s="708">
        <v>338.74054216123739</v>
      </c>
      <c r="N42" s="708">
        <v>345.7953403058255</v>
      </c>
      <c r="O42" s="708">
        <v>349.87389548316548</v>
      </c>
      <c r="P42" s="708">
        <v>334.33129332086986</v>
      </c>
      <c r="Q42" s="708">
        <v>337.74846117215469</v>
      </c>
      <c r="R42" s="708">
        <v>338.29961727720064</v>
      </c>
    </row>
    <row r="43" spans="7:19" ht="13.8">
      <c r="G43" s="706">
        <v>44627</v>
      </c>
      <c r="H43" s="710" t="s">
        <v>705</v>
      </c>
      <c r="M43" s="708"/>
      <c r="N43" s="708">
        <v>358.25146827986384</v>
      </c>
      <c r="O43" s="708">
        <v>362.33002345720377</v>
      </c>
      <c r="P43" s="708">
        <v>341.93724757050387</v>
      </c>
      <c r="Q43" s="708">
        <v>345.02372175876116</v>
      </c>
      <c r="R43" s="708">
        <v>348.77158327307359</v>
      </c>
    </row>
    <row r="44" spans="7:19" ht="13.8">
      <c r="G44" s="706">
        <v>44634</v>
      </c>
      <c r="H44" s="710" t="s">
        <v>706</v>
      </c>
      <c r="N44" s="708">
        <v>354.94453164958821</v>
      </c>
      <c r="O44" s="708">
        <v>360.45609270004763</v>
      </c>
      <c r="P44" s="708">
        <v>347.77950228399089</v>
      </c>
      <c r="Q44" s="708">
        <v>350.53528280922063</v>
      </c>
      <c r="R44" s="708">
        <v>354.28314432353301</v>
      </c>
      <c r="S44" s="708"/>
    </row>
    <row r="45" spans="7:19" ht="13.8">
      <c r="G45" s="706">
        <v>44641</v>
      </c>
      <c r="H45" s="710" t="s">
        <v>707</v>
      </c>
      <c r="N45" s="708">
        <v>351.19667013527572</v>
      </c>
      <c r="O45" s="708">
        <v>357.03892484876275</v>
      </c>
      <c r="P45" s="708">
        <v>349.54320182013794</v>
      </c>
      <c r="Q45" s="708">
        <v>351.19667013527572</v>
      </c>
      <c r="R45" s="708">
        <v>355.4956877546341</v>
      </c>
      <c r="S45" s="708">
        <v>356.26730630169845</v>
      </c>
    </row>
    <row r="46" spans="7:19" ht="13.8">
      <c r="G46" s="706">
        <v>44648</v>
      </c>
      <c r="H46" s="710" t="s">
        <v>708</v>
      </c>
      <c r="N46" s="708">
        <v>351.85805746133087</v>
      </c>
      <c r="O46" s="708">
        <v>357.47984973279949</v>
      </c>
      <c r="P46" s="708">
        <v>351.63759501931253</v>
      </c>
      <c r="Q46" s="708">
        <v>353.40129455545951</v>
      </c>
      <c r="R46" s="708">
        <v>357.7003121748179</v>
      </c>
      <c r="S46" s="708">
        <v>358.47193072188225</v>
      </c>
    </row>
    <row r="47" spans="7:19" ht="13.8">
      <c r="G47" s="706">
        <v>44655</v>
      </c>
      <c r="H47" s="710" t="s">
        <v>709</v>
      </c>
      <c r="N47" s="708">
        <v>351.96828868234007</v>
      </c>
      <c r="O47" s="708">
        <v>358.25146827986384</v>
      </c>
      <c r="P47" s="708">
        <v>353.51152577646872</v>
      </c>
      <c r="Q47" s="708">
        <v>354.94453164958821</v>
      </c>
      <c r="R47" s="708">
        <v>356.26730630169845</v>
      </c>
      <c r="S47" s="708">
        <v>357.03892484876275</v>
      </c>
    </row>
    <row r="48" spans="7:19" ht="13.8">
      <c r="G48" s="706">
        <v>44662</v>
      </c>
      <c r="H48" s="710" t="s">
        <v>710</v>
      </c>
      <c r="N48" s="708">
        <v>344.47256565371521</v>
      </c>
      <c r="O48" s="708">
        <v>351.52736379830333</v>
      </c>
      <c r="P48" s="708">
        <v>351.30690135628492</v>
      </c>
      <c r="Q48" s="708">
        <v>353.62175699747786</v>
      </c>
      <c r="R48" s="708">
        <v>355.38545653362496</v>
      </c>
      <c r="S48" s="708">
        <v>356.15707508068925</v>
      </c>
    </row>
    <row r="49" spans="7:20" ht="13.8">
      <c r="G49" s="706">
        <v>44669</v>
      </c>
      <c r="H49" s="710" t="s">
        <v>711</v>
      </c>
      <c r="N49" s="708">
        <v>364.86534154041516</v>
      </c>
      <c r="O49" s="708">
        <v>372.14060212702162</v>
      </c>
      <c r="P49" s="708">
        <v>369.27459038078268</v>
      </c>
      <c r="Q49" s="708">
        <v>371.47921480096653</v>
      </c>
      <c r="R49" s="708">
        <v>373.68383922115027</v>
      </c>
      <c r="S49" s="708">
        <v>374.45545776821456</v>
      </c>
    </row>
    <row r="50" spans="7:20" ht="13.8">
      <c r="G50" s="706">
        <v>44676</v>
      </c>
      <c r="H50" s="710" t="s">
        <v>712</v>
      </c>
      <c r="N50" s="708">
        <v>359.35378048995574</v>
      </c>
      <c r="O50" s="708">
        <v>367.4006596236265</v>
      </c>
      <c r="P50" s="708">
        <v>371.36898357995727</v>
      </c>
      <c r="Q50" s="708">
        <v>372.14060212702162</v>
      </c>
      <c r="R50" s="708">
        <v>374.12476410518701</v>
      </c>
      <c r="S50" s="708">
        <v>376.3293885253708</v>
      </c>
    </row>
    <row r="51" spans="7:20">
      <c r="G51" s="706">
        <v>44683</v>
      </c>
      <c r="H51" s="711" t="s">
        <v>733</v>
      </c>
      <c r="N51" s="708">
        <v>369.83</v>
      </c>
      <c r="O51" s="708">
        <v>378.42</v>
      </c>
      <c r="P51" s="708">
        <v>379.42</v>
      </c>
      <c r="Q51" s="708">
        <v>380.74</v>
      </c>
      <c r="R51" s="708">
        <v>382.06</v>
      </c>
      <c r="S51" s="708">
        <v>384.27</v>
      </c>
    </row>
    <row r="52" spans="7:20">
      <c r="G52" s="706">
        <v>44690</v>
      </c>
      <c r="H52" s="709" t="s">
        <v>734</v>
      </c>
      <c r="N52" s="708">
        <v>363.65279810931412</v>
      </c>
      <c r="O52" s="708">
        <v>371.47921480096653</v>
      </c>
      <c r="P52" s="708">
        <v>374.45545776821456</v>
      </c>
      <c r="Q52" s="708">
        <v>376.43961974637995</v>
      </c>
      <c r="R52" s="708">
        <v>377.87262561949944</v>
      </c>
      <c r="S52" s="708">
        <v>380.07725003968329</v>
      </c>
    </row>
    <row r="53" spans="7:20">
      <c r="G53" s="706">
        <v>44697</v>
      </c>
      <c r="H53" s="709" t="s">
        <v>735</v>
      </c>
      <c r="N53" s="708">
        <v>392.97430289775832</v>
      </c>
      <c r="O53" s="708">
        <v>393.63569022381347</v>
      </c>
      <c r="P53" s="708">
        <v>394.73800243390536</v>
      </c>
      <c r="Q53" s="708">
        <v>395.28915853895126</v>
      </c>
      <c r="R53" s="708">
        <v>396.9426268540891</v>
      </c>
      <c r="S53" s="708">
        <v>402.45418790454852</v>
      </c>
    </row>
    <row r="54" spans="7:20">
      <c r="G54" s="747">
        <v>44704</v>
      </c>
      <c r="H54" s="709"/>
      <c r="O54" s="708">
        <v>380.73863736573833</v>
      </c>
      <c r="P54" s="708">
        <v>386.2501984161978</v>
      </c>
      <c r="Q54" s="708">
        <v>387.79343551032645</v>
      </c>
      <c r="R54" s="708">
        <v>389.99805993051024</v>
      </c>
      <c r="S54" s="708">
        <v>393.30499656078587</v>
      </c>
      <c r="T54" s="708">
        <v>398.81655761124534</v>
      </c>
    </row>
    <row r="55" spans="7:20">
      <c r="G55" s="747">
        <v>44712</v>
      </c>
      <c r="H55" s="709"/>
      <c r="O55" s="708">
        <v>386.80135452124375</v>
      </c>
      <c r="P55" s="708">
        <v>392.64360923473072</v>
      </c>
      <c r="Q55" s="708">
        <v>394.07661510785022</v>
      </c>
      <c r="R55" s="708">
        <v>396.28123952803401</v>
      </c>
      <c r="S55" s="708">
        <v>398.3756327272086</v>
      </c>
      <c r="T55" s="708">
        <v>403.88719377766802</v>
      </c>
    </row>
    <row r="56" spans="7:20">
      <c r="G56" s="747">
        <v>44718</v>
      </c>
      <c r="H56" s="709"/>
      <c r="O56" s="708">
        <v>379.85678759766483</v>
      </c>
      <c r="P56" s="708">
        <v>386.36042963720701</v>
      </c>
      <c r="Q56" s="708">
        <v>388.12412917335399</v>
      </c>
      <c r="R56" s="708">
        <v>388.23436039436319</v>
      </c>
      <c r="S56" s="708">
        <v>390.43898481454698</v>
      </c>
      <c r="T56" s="708">
        <v>395.95054586500646</v>
      </c>
    </row>
    <row r="57" spans="7:20">
      <c r="G57" s="747">
        <v>44725</v>
      </c>
      <c r="H57" s="709"/>
      <c r="O57" s="708">
        <v>361.12</v>
      </c>
      <c r="P57" s="708">
        <v>368.61</v>
      </c>
      <c r="Q57" s="708">
        <v>372.58</v>
      </c>
      <c r="R57" s="708">
        <v>376</v>
      </c>
      <c r="S57" s="708">
        <v>381.18</v>
      </c>
      <c r="T57" s="708">
        <v>386.69</v>
      </c>
    </row>
    <row r="58" spans="7:20">
      <c r="H58" s="709"/>
    </row>
    <row r="59" spans="7:20">
      <c r="H59" s="709"/>
    </row>
    <row r="60" spans="7:20">
      <c r="H60" s="709"/>
    </row>
    <row r="61" spans="7:20">
      <c r="H61" s="709"/>
    </row>
    <row r="62" spans="7:20">
      <c r="H62" s="709"/>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J38"/>
  <sheetViews>
    <sheetView topLeftCell="A16" zoomScaleNormal="100" workbookViewId="0">
      <selection activeCell="F42" sqref="F42"/>
    </sheetView>
  </sheetViews>
  <sheetFormatPr baseColWidth="10" defaultColWidth="10.921875" defaultRowHeight="17.399999999999999"/>
  <cols>
    <col min="1" max="1" width="1.3828125" customWidth="1"/>
    <col min="2" max="8" width="8.765625" customWidth="1"/>
  </cols>
  <sheetData>
    <row r="1" spans="2:10">
      <c r="B1" s="766" t="s">
        <v>622</v>
      </c>
      <c r="C1" s="766"/>
      <c r="D1" s="766"/>
      <c r="E1" s="766"/>
      <c r="F1" s="766"/>
      <c r="G1" s="766"/>
      <c r="H1" s="766"/>
    </row>
    <row r="2" spans="2:10">
      <c r="B2" s="17"/>
      <c r="C2" s="17"/>
      <c r="D2" s="17"/>
      <c r="E2" s="17"/>
      <c r="F2" s="17"/>
      <c r="G2" s="17"/>
      <c r="H2" s="17"/>
    </row>
    <row r="3" spans="2:10" ht="35.25" customHeight="1">
      <c r="B3" s="857" t="s">
        <v>498</v>
      </c>
      <c r="C3" s="857"/>
      <c r="D3" s="857"/>
      <c r="E3" s="857"/>
      <c r="F3" s="857"/>
      <c r="G3" s="857"/>
      <c r="H3" s="857"/>
    </row>
    <row r="4" spans="2:10" ht="18" customHeight="1">
      <c r="B4" s="790" t="s">
        <v>675</v>
      </c>
      <c r="C4" s="790"/>
      <c r="D4" s="790"/>
      <c r="E4" s="790"/>
      <c r="F4" s="790"/>
      <c r="G4" s="790"/>
      <c r="H4" s="790"/>
    </row>
    <row r="5" spans="2:10" ht="18" customHeight="1">
      <c r="B5" s="790" t="s">
        <v>623</v>
      </c>
      <c r="C5" s="790"/>
      <c r="D5" s="790"/>
      <c r="E5" s="790"/>
      <c r="F5" s="790"/>
      <c r="G5" s="790"/>
      <c r="H5" s="790"/>
    </row>
    <row r="6" spans="2:10" ht="60.75" customHeight="1">
      <c r="B6" s="455" t="s">
        <v>624</v>
      </c>
      <c r="C6" s="456" t="s">
        <v>625</v>
      </c>
      <c r="D6" s="456" t="s">
        <v>626</v>
      </c>
      <c r="E6" s="456" t="s">
        <v>627</v>
      </c>
      <c r="F6" s="456" t="s">
        <v>628</v>
      </c>
      <c r="G6" s="456" t="s">
        <v>629</v>
      </c>
      <c r="H6" s="456" t="s">
        <v>630</v>
      </c>
    </row>
    <row r="7" spans="2:10" ht="15.75" customHeight="1">
      <c r="B7" s="454">
        <v>43831</v>
      </c>
      <c r="C7" s="267">
        <v>790</v>
      </c>
      <c r="D7" s="267">
        <v>540</v>
      </c>
      <c r="E7" s="267">
        <v>1350</v>
      </c>
      <c r="F7" s="267">
        <v>1099</v>
      </c>
      <c r="G7" s="267">
        <v>1020</v>
      </c>
      <c r="H7" s="267">
        <v>891</v>
      </c>
      <c r="I7" s="282"/>
      <c r="J7" s="282"/>
    </row>
    <row r="8" spans="2:10" ht="15.75" customHeight="1">
      <c r="B8" s="454">
        <v>43862</v>
      </c>
      <c r="C8" s="267">
        <v>829</v>
      </c>
      <c r="D8" s="267">
        <v>540</v>
      </c>
      <c r="E8" s="267">
        <v>1350</v>
      </c>
      <c r="F8" s="267">
        <v>1190</v>
      </c>
      <c r="G8" s="267">
        <v>1027</v>
      </c>
      <c r="H8" s="267">
        <v>886</v>
      </c>
      <c r="I8" s="282"/>
      <c r="J8" s="282"/>
    </row>
    <row r="9" spans="2:10" ht="15.75" customHeight="1">
      <c r="B9" s="454">
        <v>43891</v>
      </c>
      <c r="C9" s="267">
        <v>890</v>
      </c>
      <c r="D9" s="267">
        <v>575</v>
      </c>
      <c r="E9" s="267">
        <v>1450</v>
      </c>
      <c r="F9" s="267">
        <v>1190</v>
      </c>
      <c r="G9" s="267">
        <v>1046</v>
      </c>
      <c r="H9" s="267">
        <v>912</v>
      </c>
      <c r="I9" s="282"/>
      <c r="J9" s="282"/>
    </row>
    <row r="10" spans="2:10" ht="15.75" customHeight="1">
      <c r="B10" s="454">
        <v>43922</v>
      </c>
      <c r="C10" s="267">
        <v>910</v>
      </c>
      <c r="D10" s="267">
        <v>575</v>
      </c>
      <c r="E10" s="267">
        <v>1450</v>
      </c>
      <c r="F10" s="267">
        <v>1229</v>
      </c>
      <c r="G10" s="267">
        <v>1056</v>
      </c>
      <c r="H10" s="267">
        <v>913</v>
      </c>
      <c r="I10" s="282"/>
      <c r="J10" s="282"/>
    </row>
    <row r="11" spans="2:10" ht="15.75" customHeight="1">
      <c r="B11" s="454">
        <v>43952</v>
      </c>
      <c r="C11" s="267">
        <v>910</v>
      </c>
      <c r="D11" s="267">
        <v>790</v>
      </c>
      <c r="E11" s="267">
        <v>1595</v>
      </c>
      <c r="F11" s="267">
        <v>1190</v>
      </c>
      <c r="G11" s="267">
        <v>1091</v>
      </c>
      <c r="H11" s="267">
        <v>927</v>
      </c>
      <c r="I11" s="282"/>
      <c r="J11" s="282"/>
    </row>
    <row r="12" spans="2:10" ht="15.75" customHeight="1">
      <c r="B12" s="454">
        <v>43983</v>
      </c>
      <c r="C12" s="267">
        <v>910</v>
      </c>
      <c r="D12" s="267">
        <v>799</v>
      </c>
      <c r="E12" s="267">
        <v>1595</v>
      </c>
      <c r="F12" s="267">
        <v>1190</v>
      </c>
      <c r="G12" s="267">
        <v>1072</v>
      </c>
      <c r="H12" s="267">
        <v>914</v>
      </c>
      <c r="I12" s="282"/>
      <c r="J12" s="282"/>
    </row>
    <row r="13" spans="2:10" ht="15.75" customHeight="1">
      <c r="B13" s="454">
        <v>44013</v>
      </c>
      <c r="C13" s="267">
        <v>910</v>
      </c>
      <c r="D13" s="267">
        <v>799</v>
      </c>
      <c r="E13" s="267">
        <v>1595</v>
      </c>
      <c r="F13" s="267">
        <v>1190</v>
      </c>
      <c r="G13" s="267">
        <v>1050</v>
      </c>
      <c r="H13" s="267">
        <v>906</v>
      </c>
      <c r="I13" s="282"/>
      <c r="J13" s="282"/>
    </row>
    <row r="14" spans="2:10" ht="15.75" customHeight="1">
      <c r="B14" s="454">
        <v>44044</v>
      </c>
      <c r="C14" s="267">
        <v>910</v>
      </c>
      <c r="D14" s="267">
        <v>799</v>
      </c>
      <c r="E14" s="267">
        <v>1169</v>
      </c>
      <c r="F14" s="267">
        <v>1079</v>
      </c>
      <c r="G14" s="267">
        <v>1041</v>
      </c>
      <c r="H14" s="267">
        <v>895</v>
      </c>
      <c r="I14" s="282"/>
      <c r="J14" s="282"/>
    </row>
    <row r="15" spans="2:10" ht="15.75" customHeight="1">
      <c r="B15" s="454">
        <v>44075</v>
      </c>
      <c r="C15" s="267">
        <v>910</v>
      </c>
      <c r="D15" s="267">
        <v>699</v>
      </c>
      <c r="E15" s="267">
        <v>1249</v>
      </c>
      <c r="F15" s="267">
        <v>1079</v>
      </c>
      <c r="G15" s="267">
        <v>1051</v>
      </c>
      <c r="H15" s="267">
        <v>901</v>
      </c>
      <c r="I15" s="282"/>
      <c r="J15" s="282"/>
    </row>
    <row r="16" spans="2:10" ht="15.75" customHeight="1">
      <c r="B16" s="454">
        <v>44105</v>
      </c>
      <c r="C16" s="267">
        <v>850</v>
      </c>
      <c r="D16" s="267">
        <v>560</v>
      </c>
      <c r="E16" s="267">
        <v>1249</v>
      </c>
      <c r="F16" s="267">
        <v>1150</v>
      </c>
      <c r="G16" s="267">
        <v>1158</v>
      </c>
      <c r="H16" s="267">
        <v>910</v>
      </c>
      <c r="I16" s="282"/>
      <c r="J16" s="282"/>
    </row>
    <row r="17" spans="2:10" ht="15.75" customHeight="1">
      <c r="B17" s="454">
        <v>44136</v>
      </c>
      <c r="C17" s="267">
        <v>910</v>
      </c>
      <c r="D17" s="267">
        <v>779</v>
      </c>
      <c r="E17" s="267">
        <v>1339</v>
      </c>
      <c r="F17" s="267">
        <v>1150</v>
      </c>
      <c r="G17" s="267">
        <v>1069</v>
      </c>
      <c r="H17" s="267">
        <v>898</v>
      </c>
      <c r="I17" s="282"/>
      <c r="J17" s="282"/>
    </row>
    <row r="18" spans="2:10" ht="15.75" customHeight="1">
      <c r="B18" s="454">
        <v>44166</v>
      </c>
      <c r="C18" s="267">
        <v>910</v>
      </c>
      <c r="D18" s="267">
        <v>699</v>
      </c>
      <c r="E18" s="267">
        <v>1399</v>
      </c>
      <c r="F18" s="267">
        <v>1060</v>
      </c>
      <c r="G18" s="267">
        <v>1063</v>
      </c>
      <c r="H18" s="267">
        <v>896</v>
      </c>
      <c r="I18" s="282"/>
      <c r="J18" s="282"/>
    </row>
    <row r="19" spans="2:10" ht="15.75" customHeight="1">
      <c r="B19" s="454">
        <v>44197</v>
      </c>
      <c r="C19" s="267">
        <v>910</v>
      </c>
      <c r="D19" s="267">
        <v>699</v>
      </c>
      <c r="E19" s="267">
        <v>1139</v>
      </c>
      <c r="F19" s="267">
        <v>1090</v>
      </c>
      <c r="G19" s="267">
        <v>1062</v>
      </c>
      <c r="H19" s="267">
        <v>901</v>
      </c>
      <c r="I19" s="282"/>
      <c r="J19" s="282"/>
    </row>
    <row r="20" spans="2:10" ht="15.75" customHeight="1">
      <c r="B20" s="454">
        <v>44228</v>
      </c>
      <c r="C20" s="267">
        <v>989</v>
      </c>
      <c r="D20" s="267">
        <v>799</v>
      </c>
      <c r="E20" s="267">
        <v>1399</v>
      </c>
      <c r="F20" s="267">
        <v>1039</v>
      </c>
      <c r="G20" s="267">
        <v>1072</v>
      </c>
      <c r="H20" s="267">
        <v>900</v>
      </c>
      <c r="I20" s="282"/>
      <c r="J20" s="282"/>
    </row>
    <row r="21" spans="2:10" ht="15.75" customHeight="1">
      <c r="B21" s="454">
        <v>44256</v>
      </c>
      <c r="C21" s="267">
        <v>989</v>
      </c>
      <c r="D21" s="267">
        <v>790</v>
      </c>
      <c r="E21" s="267">
        <v>1399</v>
      </c>
      <c r="F21" s="267">
        <v>1090</v>
      </c>
      <c r="G21" s="267">
        <v>1070</v>
      </c>
      <c r="H21" s="267">
        <v>911</v>
      </c>
      <c r="I21" s="282"/>
      <c r="J21" s="282"/>
    </row>
    <row r="22" spans="2:10" ht="15.75" customHeight="1">
      <c r="B22" s="454">
        <v>44287</v>
      </c>
      <c r="C22" s="267">
        <v>910</v>
      </c>
      <c r="D22" s="267">
        <v>799</v>
      </c>
      <c r="E22" s="267">
        <v>1399</v>
      </c>
      <c r="F22" s="267">
        <v>1039</v>
      </c>
      <c r="G22" s="267">
        <v>1088</v>
      </c>
      <c r="H22" s="267">
        <v>920</v>
      </c>
      <c r="I22" s="282"/>
      <c r="J22" s="282"/>
    </row>
    <row r="23" spans="2:10" ht="15.75" customHeight="1">
      <c r="B23" s="454">
        <v>44317</v>
      </c>
      <c r="C23" s="267">
        <v>950</v>
      </c>
      <c r="D23" s="267">
        <v>849</v>
      </c>
      <c r="E23" s="267">
        <v>1399</v>
      </c>
      <c r="F23" s="267">
        <v>1039</v>
      </c>
      <c r="G23" s="267">
        <v>1081</v>
      </c>
      <c r="H23" s="267">
        <v>918</v>
      </c>
      <c r="I23" s="282"/>
      <c r="J23" s="282"/>
    </row>
    <row r="24" spans="2:10" ht="15.75" customHeight="1">
      <c r="B24" s="454">
        <v>44348</v>
      </c>
      <c r="C24" s="267">
        <v>950</v>
      </c>
      <c r="D24" s="267">
        <v>849</v>
      </c>
      <c r="E24" s="267">
        <v>1320</v>
      </c>
      <c r="F24" s="267">
        <v>1050</v>
      </c>
      <c r="G24" s="267">
        <v>1057</v>
      </c>
      <c r="H24" s="267">
        <v>911</v>
      </c>
      <c r="I24" s="282"/>
      <c r="J24" s="282"/>
    </row>
    <row r="25" spans="2:10" ht="15.75" customHeight="1">
      <c r="B25" s="454">
        <v>44378</v>
      </c>
      <c r="C25" s="492">
        <v>910</v>
      </c>
      <c r="D25" s="492">
        <v>820</v>
      </c>
      <c r="E25" s="492">
        <v>1320</v>
      </c>
      <c r="F25" s="492">
        <v>1070</v>
      </c>
      <c r="G25" s="492">
        <v>1082</v>
      </c>
      <c r="H25" s="492">
        <v>916</v>
      </c>
      <c r="I25" s="282"/>
      <c r="J25" s="282"/>
    </row>
    <row r="26" spans="2:10" ht="15.75" customHeight="1">
      <c r="B26" s="454">
        <v>44409</v>
      </c>
      <c r="C26" s="492">
        <v>910</v>
      </c>
      <c r="D26" s="492">
        <v>800</v>
      </c>
      <c r="E26" s="492">
        <v>1320</v>
      </c>
      <c r="F26" s="492">
        <v>1110</v>
      </c>
      <c r="G26" s="492">
        <v>1108</v>
      </c>
      <c r="H26" s="492">
        <v>911</v>
      </c>
      <c r="I26" s="282"/>
      <c r="J26" s="282"/>
    </row>
    <row r="27" spans="2:10" ht="15.75" customHeight="1">
      <c r="B27" s="454">
        <v>44440</v>
      </c>
      <c r="C27" s="492">
        <v>850</v>
      </c>
      <c r="D27" s="492">
        <v>790</v>
      </c>
      <c r="E27" s="492">
        <v>1399</v>
      </c>
      <c r="F27" s="492">
        <v>1090</v>
      </c>
      <c r="G27" s="492">
        <v>1130</v>
      </c>
      <c r="H27" s="492">
        <v>913</v>
      </c>
      <c r="I27" s="282"/>
      <c r="J27" s="282"/>
    </row>
    <row r="28" spans="2:10" ht="15.75" customHeight="1">
      <c r="B28" s="454">
        <v>44470</v>
      </c>
      <c r="C28" s="492">
        <v>850</v>
      </c>
      <c r="D28" s="492">
        <v>790</v>
      </c>
      <c r="E28" s="492">
        <v>1399</v>
      </c>
      <c r="F28" s="492">
        <v>1289</v>
      </c>
      <c r="G28" s="492">
        <v>1139</v>
      </c>
      <c r="H28" s="492">
        <v>916</v>
      </c>
      <c r="I28" s="282"/>
      <c r="J28" s="282"/>
    </row>
    <row r="29" spans="2:10" ht="15.75" customHeight="1">
      <c r="B29" s="454">
        <v>44501</v>
      </c>
      <c r="C29" s="492">
        <v>799</v>
      </c>
      <c r="D29" s="492">
        <v>810</v>
      </c>
      <c r="E29" s="492">
        <v>1459</v>
      </c>
      <c r="F29" s="492">
        <v>1090</v>
      </c>
      <c r="G29" s="492">
        <v>1158</v>
      </c>
      <c r="H29" s="492">
        <v>922</v>
      </c>
      <c r="I29" s="282"/>
      <c r="J29" s="282"/>
    </row>
    <row r="30" spans="2:10" ht="15.75" customHeight="1">
      <c r="B30" s="454">
        <v>44531</v>
      </c>
      <c r="C30" s="492">
        <v>850</v>
      </c>
      <c r="D30" s="492">
        <v>850</v>
      </c>
      <c r="E30" s="492">
        <v>1399</v>
      </c>
      <c r="F30" s="492">
        <v>1359</v>
      </c>
      <c r="G30" s="492">
        <v>1184</v>
      </c>
      <c r="H30" s="492">
        <v>929</v>
      </c>
      <c r="I30" s="282"/>
      <c r="J30" s="282"/>
    </row>
    <row r="31" spans="2:10" ht="15.75" customHeight="1">
      <c r="B31" s="454">
        <v>44562</v>
      </c>
      <c r="C31" s="492">
        <v>980</v>
      </c>
      <c r="D31" s="492">
        <v>830</v>
      </c>
      <c r="E31" s="492">
        <v>1439</v>
      </c>
      <c r="F31" s="492">
        <v>1199</v>
      </c>
      <c r="G31" s="492">
        <v>1195</v>
      </c>
      <c r="H31" s="492">
        <v>901</v>
      </c>
      <c r="I31" s="282"/>
      <c r="J31" s="282"/>
    </row>
    <row r="32" spans="2:10" ht="15.75" customHeight="1">
      <c r="B32" s="454">
        <v>44593</v>
      </c>
      <c r="C32" s="492">
        <v>830</v>
      </c>
      <c r="D32" s="492">
        <v>750</v>
      </c>
      <c r="E32" s="492">
        <v>1399</v>
      </c>
      <c r="F32" s="492">
        <v>1290</v>
      </c>
      <c r="G32" s="492">
        <v>1158</v>
      </c>
      <c r="H32" s="492">
        <v>922</v>
      </c>
      <c r="I32" s="282"/>
      <c r="J32" s="282"/>
    </row>
    <row r="33" spans="2:10" ht="15.75" customHeight="1">
      <c r="B33" s="454">
        <v>44621</v>
      </c>
      <c r="C33" s="492">
        <v>980</v>
      </c>
      <c r="D33" s="492">
        <v>780</v>
      </c>
      <c r="E33" s="492">
        <v>1499</v>
      </c>
      <c r="F33" s="492">
        <v>1280</v>
      </c>
      <c r="G33" s="492">
        <v>1224</v>
      </c>
      <c r="H33" s="492">
        <v>951</v>
      </c>
      <c r="I33" s="282" t="s">
        <v>690</v>
      </c>
      <c r="J33" s="282"/>
    </row>
    <row r="34" spans="2:10" ht="15.75" customHeight="1">
      <c r="B34" s="454">
        <v>44652</v>
      </c>
      <c r="C34" s="492">
        <v>780</v>
      </c>
      <c r="D34" s="492">
        <v>780</v>
      </c>
      <c r="E34" s="492">
        <v>1650</v>
      </c>
      <c r="F34" s="492">
        <v>1090</v>
      </c>
      <c r="G34" s="492">
        <v>1341</v>
      </c>
      <c r="H34" s="492">
        <v>951</v>
      </c>
      <c r="I34" s="282"/>
      <c r="J34" s="282"/>
    </row>
    <row r="35" spans="2:10" ht="15.75" customHeight="1">
      <c r="B35" s="454">
        <v>44682</v>
      </c>
      <c r="C35" s="492">
        <v>1000</v>
      </c>
      <c r="D35" s="492">
        <v>820</v>
      </c>
      <c r="E35" s="492">
        <v>1590</v>
      </c>
      <c r="F35" s="492">
        <v>1349</v>
      </c>
      <c r="G35" s="492">
        <v>1353</v>
      </c>
      <c r="H35" s="492">
        <v>992</v>
      </c>
      <c r="I35" s="282"/>
      <c r="J35" s="282"/>
    </row>
    <row r="36" spans="2:10">
      <c r="B36" s="1000" t="s">
        <v>631</v>
      </c>
      <c r="C36" s="1000"/>
      <c r="D36" s="1000"/>
      <c r="E36" s="1000"/>
      <c r="F36" s="1000"/>
      <c r="G36" s="1000"/>
      <c r="H36" s="1000"/>
    </row>
    <row r="38" spans="2:10">
      <c r="C38" s="11"/>
      <c r="D38" s="11"/>
      <c r="E38" s="11"/>
      <c r="F38" s="11"/>
      <c r="G38" s="11"/>
      <c r="H38" s="11"/>
    </row>
  </sheetData>
  <mergeCells count="5">
    <mergeCell ref="B36:H36"/>
    <mergeCell ref="B1:H1"/>
    <mergeCell ref="B3:H3"/>
    <mergeCell ref="B4:H4"/>
    <mergeCell ref="B5:H5"/>
  </mergeCells>
  <pageMargins left="0.70866141732283472" right="0.70866141732283472" top="0.74803149606299213" bottom="0.74803149606299213" header="0.31496062992125984" footer="0.31496062992125984"/>
  <pageSetup scale="88"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H1:AE1"/>
  <sheetViews>
    <sheetView zoomScale="70" zoomScaleNormal="70" workbookViewId="0">
      <selection activeCell="J13" sqref="J13"/>
    </sheetView>
  </sheetViews>
  <sheetFormatPr baseColWidth="10" defaultColWidth="10.921875" defaultRowHeight="17.399999999999999"/>
  <cols>
    <col min="1" max="1" width="5.84375" customWidth="1"/>
    <col min="2" max="2" width="12.3828125" customWidth="1"/>
    <col min="8" max="31" width="10.921875" style="748"/>
  </cols>
  <sheetData/>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L328"/>
  <sheetViews>
    <sheetView zoomScale="80" zoomScaleNormal="80" workbookViewId="0">
      <pane ySplit="1" topLeftCell="A2" activePane="bottomLeft" state="frozen"/>
      <selection pane="bottomLeft" activeCell="I14" sqref="I14"/>
    </sheetView>
  </sheetViews>
  <sheetFormatPr baseColWidth="10" defaultColWidth="10.921875" defaultRowHeight="13.8"/>
  <cols>
    <col min="1" max="10" width="12.921875" style="660" customWidth="1"/>
    <col min="11" max="11" width="10.921875" style="661"/>
    <col min="12" max="12" width="10.921875" style="662"/>
    <col min="13" max="13" width="9.84375" style="662" bestFit="1" customWidth="1"/>
    <col min="14" max="14" width="10.921875" style="662"/>
    <col min="15" max="32" width="10.921875" style="656"/>
    <col min="33" max="38" width="10.921875" style="750"/>
    <col min="39" max="263" width="10.921875" style="656"/>
    <col min="264" max="264" width="8.69140625" style="656" bestFit="1" customWidth="1"/>
    <col min="265" max="519" width="10.921875" style="656"/>
    <col min="520" max="520" width="8.69140625" style="656" bestFit="1" customWidth="1"/>
    <col min="521" max="775" width="10.921875" style="656"/>
    <col min="776" max="776" width="8.69140625" style="656" bestFit="1" customWidth="1"/>
    <col min="777" max="1031" width="10.921875" style="656"/>
    <col min="1032" max="1032" width="8.69140625" style="656" bestFit="1" customWidth="1"/>
    <col min="1033" max="1287" width="10.921875" style="656"/>
    <col min="1288" max="1288" width="8.69140625" style="656" bestFit="1" customWidth="1"/>
    <col min="1289" max="1543" width="10.921875" style="656"/>
    <col min="1544" max="1544" width="8.69140625" style="656" bestFit="1" customWidth="1"/>
    <col min="1545" max="1799" width="10.921875" style="656"/>
    <col min="1800" max="1800" width="8.69140625" style="656" bestFit="1" customWidth="1"/>
    <col min="1801" max="2055" width="10.921875" style="656"/>
    <col min="2056" max="2056" width="8.69140625" style="656" bestFit="1" customWidth="1"/>
    <col min="2057" max="2311" width="10.921875" style="656"/>
    <col min="2312" max="2312" width="8.69140625" style="656" bestFit="1" customWidth="1"/>
    <col min="2313" max="2567" width="10.921875" style="656"/>
    <col min="2568" max="2568" width="8.69140625" style="656" bestFit="1" customWidth="1"/>
    <col min="2569" max="2823" width="10.921875" style="656"/>
    <col min="2824" max="2824" width="8.69140625" style="656" bestFit="1" customWidth="1"/>
    <col min="2825" max="3079" width="10.921875" style="656"/>
    <col min="3080" max="3080" width="8.69140625" style="656" bestFit="1" customWidth="1"/>
    <col min="3081" max="3335" width="10.921875" style="656"/>
    <col min="3336" max="3336" width="8.69140625" style="656" bestFit="1" customWidth="1"/>
    <col min="3337" max="3591" width="10.921875" style="656"/>
    <col min="3592" max="3592" width="8.69140625" style="656" bestFit="1" customWidth="1"/>
    <col min="3593" max="3847" width="10.921875" style="656"/>
    <col min="3848" max="3848" width="8.69140625" style="656" bestFit="1" customWidth="1"/>
    <col min="3849" max="4103" width="10.921875" style="656"/>
    <col min="4104" max="4104" width="8.69140625" style="656" bestFit="1" customWidth="1"/>
    <col min="4105" max="4359" width="10.921875" style="656"/>
    <col min="4360" max="4360" width="8.69140625" style="656" bestFit="1" customWidth="1"/>
    <col min="4361" max="4615" width="10.921875" style="656"/>
    <col min="4616" max="4616" width="8.69140625" style="656" bestFit="1" customWidth="1"/>
    <col min="4617" max="4871" width="10.921875" style="656"/>
    <col min="4872" max="4872" width="8.69140625" style="656" bestFit="1" customWidth="1"/>
    <col min="4873" max="5127" width="10.921875" style="656"/>
    <col min="5128" max="5128" width="8.69140625" style="656" bestFit="1" customWidth="1"/>
    <col min="5129" max="5383" width="10.921875" style="656"/>
    <col min="5384" max="5384" width="8.69140625" style="656" bestFit="1" customWidth="1"/>
    <col min="5385" max="5639" width="10.921875" style="656"/>
    <col min="5640" max="5640" width="8.69140625" style="656" bestFit="1" customWidth="1"/>
    <col min="5641" max="5895" width="10.921875" style="656"/>
    <col min="5896" max="5896" width="8.69140625" style="656" bestFit="1" customWidth="1"/>
    <col min="5897" max="6151" width="10.921875" style="656"/>
    <col min="6152" max="6152" width="8.69140625" style="656" bestFit="1" customWidth="1"/>
    <col min="6153" max="6407" width="10.921875" style="656"/>
    <col min="6408" max="6408" width="8.69140625" style="656" bestFit="1" customWidth="1"/>
    <col min="6409" max="6663" width="10.921875" style="656"/>
    <col min="6664" max="6664" width="8.69140625" style="656" bestFit="1" customWidth="1"/>
    <col min="6665" max="6919" width="10.921875" style="656"/>
    <col min="6920" max="6920" width="8.69140625" style="656" bestFit="1" customWidth="1"/>
    <col min="6921" max="7175" width="10.921875" style="656"/>
    <col min="7176" max="7176" width="8.69140625" style="656" bestFit="1" customWidth="1"/>
    <col min="7177" max="7431" width="10.921875" style="656"/>
    <col min="7432" max="7432" width="8.69140625" style="656" bestFit="1" customWidth="1"/>
    <col min="7433" max="7687" width="10.921875" style="656"/>
    <col min="7688" max="7688" width="8.69140625" style="656" bestFit="1" customWidth="1"/>
    <col min="7689" max="7943" width="10.921875" style="656"/>
    <col min="7944" max="7944" width="8.69140625" style="656" bestFit="1" customWidth="1"/>
    <col min="7945" max="8199" width="10.921875" style="656"/>
    <col min="8200" max="8200" width="8.69140625" style="656" bestFit="1" customWidth="1"/>
    <col min="8201" max="8455" width="10.921875" style="656"/>
    <col min="8456" max="8456" width="8.69140625" style="656" bestFit="1" customWidth="1"/>
    <col min="8457" max="8711" width="10.921875" style="656"/>
    <col min="8712" max="8712" width="8.69140625" style="656" bestFit="1" customWidth="1"/>
    <col min="8713" max="8967" width="10.921875" style="656"/>
    <col min="8968" max="8968" width="8.69140625" style="656" bestFit="1" customWidth="1"/>
    <col min="8969" max="9223" width="10.921875" style="656"/>
    <col min="9224" max="9224" width="8.69140625" style="656" bestFit="1" customWidth="1"/>
    <col min="9225" max="9479" width="10.921875" style="656"/>
    <col min="9480" max="9480" width="8.69140625" style="656" bestFit="1" customWidth="1"/>
    <col min="9481" max="9735" width="10.921875" style="656"/>
    <col min="9736" max="9736" width="8.69140625" style="656" bestFit="1" customWidth="1"/>
    <col min="9737" max="9991" width="10.921875" style="656"/>
    <col min="9992" max="9992" width="8.69140625" style="656" bestFit="1" customWidth="1"/>
    <col min="9993" max="10247" width="10.921875" style="656"/>
    <col min="10248" max="10248" width="8.69140625" style="656" bestFit="1" customWidth="1"/>
    <col min="10249" max="10503" width="10.921875" style="656"/>
    <col min="10504" max="10504" width="8.69140625" style="656" bestFit="1" customWidth="1"/>
    <col min="10505" max="10759" width="10.921875" style="656"/>
    <col min="10760" max="10760" width="8.69140625" style="656" bestFit="1" customWidth="1"/>
    <col min="10761" max="11015" width="10.921875" style="656"/>
    <col min="11016" max="11016" width="8.69140625" style="656" bestFit="1" customWidth="1"/>
    <col min="11017" max="11271" width="10.921875" style="656"/>
    <col min="11272" max="11272" width="8.69140625" style="656" bestFit="1" customWidth="1"/>
    <col min="11273" max="11527" width="10.921875" style="656"/>
    <col min="11528" max="11528" width="8.69140625" style="656" bestFit="1" customWidth="1"/>
    <col min="11529" max="11783" width="10.921875" style="656"/>
    <col min="11784" max="11784" width="8.69140625" style="656" bestFit="1" customWidth="1"/>
    <col min="11785" max="12039" width="10.921875" style="656"/>
    <col min="12040" max="12040" width="8.69140625" style="656" bestFit="1" customWidth="1"/>
    <col min="12041" max="12295" width="10.921875" style="656"/>
    <col min="12296" max="12296" width="8.69140625" style="656" bestFit="1" customWidth="1"/>
    <col min="12297" max="12551" width="10.921875" style="656"/>
    <col min="12552" max="12552" width="8.69140625" style="656" bestFit="1" customWidth="1"/>
    <col min="12553" max="12807" width="10.921875" style="656"/>
    <col min="12808" max="12808" width="8.69140625" style="656" bestFit="1" customWidth="1"/>
    <col min="12809" max="13063" width="10.921875" style="656"/>
    <col min="13064" max="13064" width="8.69140625" style="656" bestFit="1" customWidth="1"/>
    <col min="13065" max="13319" width="10.921875" style="656"/>
    <col min="13320" max="13320" width="8.69140625" style="656" bestFit="1" customWidth="1"/>
    <col min="13321" max="13575" width="10.921875" style="656"/>
    <col min="13576" max="13576" width="8.69140625" style="656" bestFit="1" customWidth="1"/>
    <col min="13577" max="13831" width="10.921875" style="656"/>
    <col min="13832" max="13832" width="8.69140625" style="656" bestFit="1" customWidth="1"/>
    <col min="13833" max="14087" width="10.921875" style="656"/>
    <col min="14088" max="14088" width="8.69140625" style="656" bestFit="1" customWidth="1"/>
    <col min="14089" max="14343" width="10.921875" style="656"/>
    <col min="14344" max="14344" width="8.69140625" style="656" bestFit="1" customWidth="1"/>
    <col min="14345" max="14599" width="10.921875" style="656"/>
    <col min="14600" max="14600" width="8.69140625" style="656" bestFit="1" customWidth="1"/>
    <col min="14601" max="14855" width="10.921875" style="656"/>
    <col min="14856" max="14856" width="8.69140625" style="656" bestFit="1" customWidth="1"/>
    <col min="14857" max="15111" width="10.921875" style="656"/>
    <col min="15112" max="15112" width="8.69140625" style="656" bestFit="1" customWidth="1"/>
    <col min="15113" max="15367" width="10.921875" style="656"/>
    <col min="15368" max="15368" width="8.69140625" style="656" bestFit="1" customWidth="1"/>
    <col min="15369" max="15623" width="10.921875" style="656"/>
    <col min="15624" max="15624" width="8.69140625" style="656" bestFit="1" customWidth="1"/>
    <col min="15625" max="15879" width="10.921875" style="656"/>
    <col min="15880" max="15880" width="8.69140625" style="656" bestFit="1" customWidth="1"/>
    <col min="15881" max="16135" width="10.921875" style="656"/>
    <col min="16136" max="16136" width="8.69140625" style="656" bestFit="1" customWidth="1"/>
    <col min="16137" max="16381" width="10.921875" style="656"/>
    <col min="16382" max="16384" width="10.921875" style="656" customWidth="1"/>
  </cols>
  <sheetData>
    <row r="1" spans="1:38" s="652" customFormat="1" ht="39.299999999999997" customHeight="1">
      <c r="A1" s="649" t="s">
        <v>201</v>
      </c>
      <c r="B1" s="649" t="s">
        <v>182</v>
      </c>
      <c r="C1" s="649" t="s">
        <v>632</v>
      </c>
      <c r="D1" s="649" t="s">
        <v>633</v>
      </c>
      <c r="E1" s="649"/>
      <c r="F1" s="649" t="s">
        <v>634</v>
      </c>
      <c r="G1" s="649" t="s">
        <v>635</v>
      </c>
      <c r="H1" s="649"/>
      <c r="I1" s="650" t="s">
        <v>636</v>
      </c>
      <c r="J1" s="650" t="s">
        <v>637</v>
      </c>
      <c r="K1" s="650" t="s">
        <v>638</v>
      </c>
      <c r="L1" s="650" t="s">
        <v>639</v>
      </c>
      <c r="M1" s="650" t="s">
        <v>640</v>
      </c>
      <c r="N1" s="650" t="s">
        <v>641</v>
      </c>
      <c r="O1" s="651" t="s">
        <v>704</v>
      </c>
      <c r="P1" s="650" t="s">
        <v>639</v>
      </c>
      <c r="Q1" s="650" t="s">
        <v>640</v>
      </c>
      <c r="R1" s="650" t="s">
        <v>641</v>
      </c>
      <c r="AG1" s="749"/>
      <c r="AH1" s="749"/>
      <c r="AI1" s="749"/>
      <c r="AJ1" s="749"/>
      <c r="AK1" s="749"/>
      <c r="AL1" s="749"/>
    </row>
    <row r="2" spans="1:38" ht="17.399999999999999">
      <c r="A2" s="653">
        <v>43101</v>
      </c>
      <c r="B2" s="654">
        <v>2018</v>
      </c>
      <c r="C2" s="654">
        <v>526.76401313995609</v>
      </c>
      <c r="D2" s="654">
        <v>605.53</v>
      </c>
      <c r="E2" s="654"/>
      <c r="F2" s="654">
        <v>318971.41287663759</v>
      </c>
      <c r="G2" s="654">
        <v>17101</v>
      </c>
      <c r="H2" s="654"/>
      <c r="I2" s="655">
        <v>1075</v>
      </c>
      <c r="J2" s="655">
        <v>848</v>
      </c>
      <c r="K2" s="655">
        <v>100</v>
      </c>
      <c r="L2" s="655">
        <v>100</v>
      </c>
      <c r="M2" s="655">
        <v>100</v>
      </c>
      <c r="N2" s="655">
        <v>100</v>
      </c>
      <c r="O2" s="655">
        <v>100</v>
      </c>
      <c r="P2" s="655">
        <v>100</v>
      </c>
      <c r="Q2" s="655">
        <v>100</v>
      </c>
      <c r="R2" s="655">
        <v>100</v>
      </c>
      <c r="T2" s="656" t="s">
        <v>690</v>
      </c>
    </row>
    <row r="3" spans="1:38" ht="17.399999999999999">
      <c r="A3" s="653">
        <v>43132</v>
      </c>
      <c r="B3" s="654">
        <v>2018</v>
      </c>
      <c r="C3" s="654">
        <v>495.56544584585271</v>
      </c>
      <c r="D3" s="654">
        <v>596.84</v>
      </c>
      <c r="E3" s="654"/>
      <c r="F3" s="654">
        <v>295773.28069863876</v>
      </c>
      <c r="G3" s="654">
        <v>16788.949628236933</v>
      </c>
      <c r="H3" s="654"/>
      <c r="I3" s="655">
        <v>1058</v>
      </c>
      <c r="J3" s="655">
        <v>841</v>
      </c>
      <c r="K3" s="657">
        <f t="shared" ref="K3:K41" si="0">((F3-F2)/F2)+K2</f>
        <v>99.927272065014265</v>
      </c>
      <c r="L3" s="657">
        <f t="shared" ref="L3:L41" si="1">((G3-G2)/G2)+L2</f>
        <v>99.98175250735261</v>
      </c>
      <c r="M3" s="657">
        <f t="shared" ref="M3:N18" si="2">((I3-I2)/I2)+M2</f>
        <v>99.984186046511624</v>
      </c>
      <c r="N3" s="657">
        <f t="shared" si="2"/>
        <v>99.991745283018872</v>
      </c>
      <c r="O3" s="658">
        <f>$O$2+(F3/$F$2-1)*100</f>
        <v>92.727206501426906</v>
      </c>
      <c r="P3" s="658">
        <f>$P$2+(G3/$G$2-1)*100</f>
        <v>98.175250735260704</v>
      </c>
      <c r="Q3" s="658">
        <f>$Q$2+(I3/$I$2-1)*100</f>
        <v>98.418604651162795</v>
      </c>
      <c r="R3" s="658">
        <f>$R$2+(J3/$J$2-1)*100</f>
        <v>99.174528301886795</v>
      </c>
    </row>
    <row r="4" spans="1:38" ht="17.399999999999999">
      <c r="A4" s="653">
        <v>43160</v>
      </c>
      <c r="B4" s="654">
        <v>2018</v>
      </c>
      <c r="C4" s="654">
        <v>514.13077812871245</v>
      </c>
      <c r="D4" s="654">
        <v>603.45000000000005</v>
      </c>
      <c r="E4" s="654"/>
      <c r="F4" s="654">
        <v>310252.21806177153</v>
      </c>
      <c r="G4" s="654">
        <v>16809.814461659975</v>
      </c>
      <c r="H4" s="654"/>
      <c r="I4" s="655">
        <v>1055</v>
      </c>
      <c r="J4" s="655">
        <v>869</v>
      </c>
      <c r="K4" s="657">
        <f t="shared" si="0"/>
        <v>99.976224889045341</v>
      </c>
      <c r="L4" s="657">
        <f t="shared" si="1"/>
        <v>99.982995279168904</v>
      </c>
      <c r="M4" s="657">
        <f t="shared" si="2"/>
        <v>99.981350507759259</v>
      </c>
      <c r="N4" s="657">
        <f t="shared" si="2"/>
        <v>100.02503898099746</v>
      </c>
      <c r="O4" s="658">
        <f t="shared" ref="O4:O51" si="3">$O$2+(F4/$F$2-1)*100</f>
        <v>97.266465124183966</v>
      </c>
      <c r="P4" s="658">
        <f t="shared" ref="P4:P52" si="4">$P$2+(G4/$G$2-1)*100</f>
        <v>98.297260169931434</v>
      </c>
      <c r="Q4" s="658">
        <f t="shared" ref="Q4:Q52" si="5">$Q$2+(I4/$I$2-1)*100</f>
        <v>98.139534883720927</v>
      </c>
      <c r="R4" s="658">
        <f t="shared" ref="R4:R52" si="6">$R$2+(J4/$J$2-1)*100</f>
        <v>102.47641509433963</v>
      </c>
    </row>
    <row r="5" spans="1:38" ht="17.399999999999999">
      <c r="A5" s="653">
        <v>43191</v>
      </c>
      <c r="B5" s="654">
        <v>2018</v>
      </c>
      <c r="C5" s="654">
        <v>489.637153560461</v>
      </c>
      <c r="D5" s="654">
        <v>600.54999999999995</v>
      </c>
      <c r="E5" s="654"/>
      <c r="F5" s="654">
        <v>294051.59257073485</v>
      </c>
      <c r="G5" s="654">
        <v>16425.033333333333</v>
      </c>
      <c r="H5" s="654"/>
      <c r="I5" s="655">
        <v>1039</v>
      </c>
      <c r="J5" s="655">
        <v>857</v>
      </c>
      <c r="K5" s="657">
        <f t="shared" si="0"/>
        <v>99.924007291400926</v>
      </c>
      <c r="L5" s="657">
        <f t="shared" si="1"/>
        <v>99.960105012937575</v>
      </c>
      <c r="M5" s="657">
        <f t="shared" si="2"/>
        <v>99.966184630982013</v>
      </c>
      <c r="N5" s="657">
        <f t="shared" si="2"/>
        <v>100.01123000516317</v>
      </c>
      <c r="O5" s="658">
        <f t="shared" si="3"/>
        <v>92.187443984034871</v>
      </c>
      <c r="P5" s="658">
        <f t="shared" si="4"/>
        <v>96.047209714831482</v>
      </c>
      <c r="Q5" s="658">
        <f t="shared" si="5"/>
        <v>96.651162790697668</v>
      </c>
      <c r="R5" s="658">
        <f t="shared" si="6"/>
        <v>101.06132075471699</v>
      </c>
    </row>
    <row r="6" spans="1:38" ht="17.399999999999999">
      <c r="A6" s="653">
        <v>43221</v>
      </c>
      <c r="B6" s="654">
        <v>2018</v>
      </c>
      <c r="C6" s="654">
        <v>472.71516704684882</v>
      </c>
      <c r="D6" s="654">
        <v>626.12</v>
      </c>
      <c r="E6" s="654"/>
      <c r="F6" s="654">
        <v>295976.42039137299</v>
      </c>
      <c r="G6" s="654">
        <v>16962.290322580644</v>
      </c>
      <c r="H6" s="654"/>
      <c r="I6" s="655">
        <v>1043</v>
      </c>
      <c r="J6" s="655">
        <v>855</v>
      </c>
      <c r="K6" s="657">
        <f t="shared" si="0"/>
        <v>99.930553176100304</v>
      </c>
      <c r="L6" s="657">
        <f t="shared" si="1"/>
        <v>99.992814656707793</v>
      </c>
      <c r="M6" s="657">
        <f t="shared" si="2"/>
        <v>99.970034486612434</v>
      </c>
      <c r="N6" s="657">
        <f t="shared" si="2"/>
        <v>100.00889628287612</v>
      </c>
      <c r="O6" s="658">
        <f t="shared" si="3"/>
        <v>92.790892363085234</v>
      </c>
      <c r="P6" s="658">
        <f t="shared" si="4"/>
        <v>99.188879729727176</v>
      </c>
      <c r="Q6" s="658">
        <f t="shared" si="5"/>
        <v>97.023255813953497</v>
      </c>
      <c r="R6" s="658">
        <f t="shared" si="6"/>
        <v>100.8254716981132</v>
      </c>
    </row>
    <row r="7" spans="1:38" ht="17.399999999999999">
      <c r="A7" s="653">
        <v>43252</v>
      </c>
      <c r="B7" s="654">
        <v>2018</v>
      </c>
      <c r="C7" s="654">
        <v>486.61890554471432</v>
      </c>
      <c r="D7" s="654">
        <v>636</v>
      </c>
      <c r="E7" s="654"/>
      <c r="F7" s="654">
        <v>309489.62392643833</v>
      </c>
      <c r="G7" s="654">
        <v>17243.266666666666</v>
      </c>
      <c r="H7" s="654"/>
      <c r="I7" s="655">
        <v>1031</v>
      </c>
      <c r="J7" s="655">
        <v>858</v>
      </c>
      <c r="K7" s="657">
        <f t="shared" si="0"/>
        <v>99.976209527769115</v>
      </c>
      <c r="L7" s="657">
        <f t="shared" si="1"/>
        <v>100.00937942117902</v>
      </c>
      <c r="M7" s="657">
        <f t="shared" si="2"/>
        <v>99.958529213362198</v>
      </c>
      <c r="N7" s="657">
        <f t="shared" si="2"/>
        <v>100.01240505480595</v>
      </c>
      <c r="O7" s="658">
        <f t="shared" si="3"/>
        <v>97.027385976477348</v>
      </c>
      <c r="P7" s="658">
        <f t="shared" si="4"/>
        <v>100.8319201606144</v>
      </c>
      <c r="Q7" s="658">
        <f t="shared" si="5"/>
        <v>95.906976744186039</v>
      </c>
      <c r="R7" s="658">
        <f t="shared" si="6"/>
        <v>101.17924528301887</v>
      </c>
    </row>
    <row r="8" spans="1:38" ht="17.399999999999999">
      <c r="A8" s="653">
        <v>43282</v>
      </c>
      <c r="B8" s="654">
        <v>2018</v>
      </c>
      <c r="C8" s="654">
        <v>484.64459706534194</v>
      </c>
      <c r="D8" s="654">
        <v>652.41999999999996</v>
      </c>
      <c r="E8" s="654"/>
      <c r="F8" s="654">
        <v>316191.82801737037</v>
      </c>
      <c r="G8" s="654">
        <v>17764.774193548386</v>
      </c>
      <c r="H8" s="654"/>
      <c r="I8" s="655">
        <v>1056</v>
      </c>
      <c r="J8" s="655">
        <v>849</v>
      </c>
      <c r="K8" s="657">
        <f t="shared" si="0"/>
        <v>99.997865194301326</v>
      </c>
      <c r="L8" s="657">
        <f t="shared" si="1"/>
        <v>100.03962354701451</v>
      </c>
      <c r="M8" s="657">
        <f t="shared" si="2"/>
        <v>99.982777515981013</v>
      </c>
      <c r="N8" s="657">
        <f t="shared" si="2"/>
        <v>100.00191554431645</v>
      </c>
      <c r="O8" s="658">
        <f t="shared" si="3"/>
        <v>99.128578691676609</v>
      </c>
      <c r="P8" s="658">
        <f t="shared" si="4"/>
        <v>103.88149344218694</v>
      </c>
      <c r="Q8" s="658">
        <f t="shared" si="5"/>
        <v>98.232558139534888</v>
      </c>
      <c r="R8" s="658">
        <f t="shared" si="6"/>
        <v>100.11792452830188</v>
      </c>
    </row>
    <row r="9" spans="1:38" ht="17.399999999999999">
      <c r="A9" s="653">
        <v>43313</v>
      </c>
      <c r="B9" s="654">
        <v>2018</v>
      </c>
      <c r="C9" s="654">
        <v>482.57519317917985</v>
      </c>
      <c r="D9" s="654">
        <v>656.25</v>
      </c>
      <c r="E9" s="654"/>
      <c r="F9" s="654">
        <v>316689.97052383679</v>
      </c>
      <c r="G9" s="654">
        <v>17689.774193548386</v>
      </c>
      <c r="H9" s="654"/>
      <c r="I9" s="655">
        <v>1059</v>
      </c>
      <c r="J9" s="655">
        <v>849</v>
      </c>
      <c r="K9" s="657">
        <f t="shared" si="0"/>
        <v>99.999440638263906</v>
      </c>
      <c r="L9" s="657">
        <f t="shared" si="1"/>
        <v>100.03540170894425</v>
      </c>
      <c r="M9" s="657">
        <f t="shared" si="2"/>
        <v>99.98561842507192</v>
      </c>
      <c r="N9" s="657">
        <f t="shared" si="2"/>
        <v>100.00191554431645</v>
      </c>
      <c r="O9" s="658">
        <f t="shared" si="3"/>
        <v>99.284750212495325</v>
      </c>
      <c r="P9" s="658">
        <f t="shared" si="4"/>
        <v>103.44292259837661</v>
      </c>
      <c r="Q9" s="658">
        <f t="shared" si="5"/>
        <v>98.511627906976742</v>
      </c>
      <c r="R9" s="658">
        <f t="shared" si="6"/>
        <v>100.11792452830188</v>
      </c>
    </row>
    <row r="10" spans="1:38" ht="17.399999999999999">
      <c r="A10" s="653">
        <v>43344</v>
      </c>
      <c r="B10" s="654">
        <v>2018</v>
      </c>
      <c r="C10" s="654">
        <v>548.20325955495946</v>
      </c>
      <c r="D10" s="654">
        <v>680.91</v>
      </c>
      <c r="E10" s="654"/>
      <c r="F10" s="654">
        <v>373277.08146356745</v>
      </c>
      <c r="G10" s="654">
        <v>18374</v>
      </c>
      <c r="H10" s="654"/>
      <c r="I10" s="655">
        <v>1022</v>
      </c>
      <c r="J10" s="655">
        <v>855</v>
      </c>
      <c r="K10" s="657">
        <f t="shared" si="0"/>
        <v>100.17812362859078</v>
      </c>
      <c r="L10" s="657">
        <f t="shared" si="1"/>
        <v>100.07408088025335</v>
      </c>
      <c r="M10" s="657">
        <f t="shared" si="2"/>
        <v>99.950679803731035</v>
      </c>
      <c r="N10" s="657">
        <f t="shared" si="2"/>
        <v>100.00898268212563</v>
      </c>
      <c r="O10" s="658">
        <f t="shared" si="3"/>
        <v>117.02524627432133</v>
      </c>
      <c r="P10" s="658">
        <f t="shared" si="4"/>
        <v>107.44400912227354</v>
      </c>
      <c r="Q10" s="658">
        <f t="shared" si="5"/>
        <v>95.069767441860463</v>
      </c>
      <c r="R10" s="658">
        <f t="shared" si="6"/>
        <v>100.8254716981132</v>
      </c>
    </row>
    <row r="11" spans="1:38" ht="17.399999999999999">
      <c r="A11" s="653">
        <v>43374</v>
      </c>
      <c r="B11" s="654">
        <v>2018</v>
      </c>
      <c r="C11" s="654">
        <v>489.31342370973459</v>
      </c>
      <c r="D11" s="654">
        <v>676.84</v>
      </c>
      <c r="E11" s="654"/>
      <c r="F11" s="654">
        <v>331186.8977036968</v>
      </c>
      <c r="G11" s="654">
        <v>18376.483870967742</v>
      </c>
      <c r="H11" s="654"/>
      <c r="I11" s="655">
        <v>1034</v>
      </c>
      <c r="J11" s="655">
        <v>838</v>
      </c>
      <c r="K11" s="657">
        <f t="shared" si="0"/>
        <v>100.06536507509256</v>
      </c>
      <c r="L11" s="657">
        <f t="shared" si="1"/>
        <v>100.07421606426161</v>
      </c>
      <c r="M11" s="657">
        <f t="shared" si="2"/>
        <v>99.962421486705594</v>
      </c>
      <c r="N11" s="657">
        <f t="shared" si="2"/>
        <v>99.989099641189966</v>
      </c>
      <c r="O11" s="658">
        <f t="shared" si="3"/>
        <v>103.82964878165541</v>
      </c>
      <c r="P11" s="658">
        <f t="shared" si="4"/>
        <v>107.45853383409008</v>
      </c>
      <c r="Q11" s="658">
        <f t="shared" si="5"/>
        <v>96.186046511627907</v>
      </c>
      <c r="R11" s="658">
        <f t="shared" si="6"/>
        <v>98.820754716981128</v>
      </c>
    </row>
    <row r="12" spans="1:38" ht="17.399999999999999">
      <c r="A12" s="653">
        <v>43405</v>
      </c>
      <c r="B12" s="654">
        <v>2018</v>
      </c>
      <c r="C12" s="654">
        <v>483.01113818721484</v>
      </c>
      <c r="D12" s="654">
        <v>677.61</v>
      </c>
      <c r="E12" s="654"/>
      <c r="F12" s="654">
        <v>327293.17734703864</v>
      </c>
      <c r="G12" s="654">
        <v>18183.233333333334</v>
      </c>
      <c r="H12" s="654"/>
      <c r="I12" s="655">
        <v>1048</v>
      </c>
      <c r="J12" s="655">
        <v>848</v>
      </c>
      <c r="K12" s="657">
        <f t="shared" si="0"/>
        <v>100.05360820794698</v>
      </c>
      <c r="L12" s="657">
        <f t="shared" si="1"/>
        <v>100.06369987743331</v>
      </c>
      <c r="M12" s="657">
        <f t="shared" si="2"/>
        <v>99.975961138543113</v>
      </c>
      <c r="N12" s="657">
        <f t="shared" si="2"/>
        <v>100.00103281541431</v>
      </c>
      <c r="O12" s="658">
        <f t="shared" si="3"/>
        <v>102.60893739515757</v>
      </c>
      <c r="P12" s="658">
        <f t="shared" si="4"/>
        <v>106.32847981599515</v>
      </c>
      <c r="Q12" s="658">
        <f t="shared" si="5"/>
        <v>97.488372093023258</v>
      </c>
      <c r="R12" s="658">
        <f t="shared" si="6"/>
        <v>100</v>
      </c>
    </row>
    <row r="13" spans="1:38" ht="17.399999999999999">
      <c r="A13" s="653">
        <v>43435</v>
      </c>
      <c r="B13" s="654">
        <v>2018</v>
      </c>
      <c r="C13" s="654">
        <v>497.34466978273326</v>
      </c>
      <c r="D13" s="654">
        <v>681.99</v>
      </c>
      <c r="E13" s="654"/>
      <c r="F13" s="654">
        <v>339184.09134512627</v>
      </c>
      <c r="G13" s="654">
        <v>18058.129032258064</v>
      </c>
      <c r="H13" s="654"/>
      <c r="I13" s="655">
        <v>1024</v>
      </c>
      <c r="J13" s="655">
        <v>860</v>
      </c>
      <c r="K13" s="657">
        <f t="shared" si="0"/>
        <v>100.08993928607843</v>
      </c>
      <c r="L13" s="657">
        <f t="shared" si="1"/>
        <v>100.05681967638316</v>
      </c>
      <c r="M13" s="657">
        <f t="shared" si="2"/>
        <v>99.953060375184336</v>
      </c>
      <c r="N13" s="657">
        <f t="shared" si="2"/>
        <v>100.01518375881054</v>
      </c>
      <c r="O13" s="658">
        <f t="shared" si="3"/>
        <v>106.33683071664667</v>
      </c>
      <c r="P13" s="658">
        <f t="shared" si="4"/>
        <v>105.59691849750345</v>
      </c>
      <c r="Q13" s="658">
        <f t="shared" si="5"/>
        <v>95.255813953488371</v>
      </c>
      <c r="R13" s="658">
        <f t="shared" si="6"/>
        <v>101.41509433962264</v>
      </c>
    </row>
    <row r="14" spans="1:38" ht="17.399999999999999">
      <c r="A14" s="653">
        <v>43466</v>
      </c>
      <c r="B14" s="654">
        <v>2019</v>
      </c>
      <c r="C14" s="654">
        <v>482.22886004072933</v>
      </c>
      <c r="D14" s="654">
        <v>677.06</v>
      </c>
      <c r="E14" s="654"/>
      <c r="F14" s="654">
        <v>326497.87197917618</v>
      </c>
      <c r="G14" s="654">
        <v>17418.774193548386</v>
      </c>
      <c r="H14" s="654"/>
      <c r="I14" s="655">
        <v>1030</v>
      </c>
      <c r="J14" s="655">
        <v>870</v>
      </c>
      <c r="K14" s="657">
        <f t="shared" si="0"/>
        <v>100.05253712103101</v>
      </c>
      <c r="L14" s="657">
        <f t="shared" si="1"/>
        <v>100.02141430091112</v>
      </c>
      <c r="M14" s="657">
        <f t="shared" si="2"/>
        <v>99.958919750184336</v>
      </c>
      <c r="N14" s="657">
        <f t="shared" si="2"/>
        <v>100.02681166578728</v>
      </c>
      <c r="O14" s="658">
        <f t="shared" si="3"/>
        <v>102.35960302356295</v>
      </c>
      <c r="P14" s="658">
        <f t="shared" si="4"/>
        <v>101.85821994940873</v>
      </c>
      <c r="Q14" s="658">
        <f t="shared" si="5"/>
        <v>95.813953488372093</v>
      </c>
      <c r="R14" s="658">
        <f t="shared" si="6"/>
        <v>102.59433962264151</v>
      </c>
    </row>
    <row r="15" spans="1:38" ht="17.399999999999999">
      <c r="A15" s="653">
        <v>43497</v>
      </c>
      <c r="B15" s="654">
        <v>2019</v>
      </c>
      <c r="C15" s="654">
        <v>477.87947560177287</v>
      </c>
      <c r="D15" s="654">
        <v>656.3</v>
      </c>
      <c r="E15" s="654"/>
      <c r="F15" s="654">
        <v>313632.29983744351</v>
      </c>
      <c r="G15" s="654">
        <v>16800.678571428572</v>
      </c>
      <c r="H15" s="654"/>
      <c r="I15" s="655">
        <v>1039</v>
      </c>
      <c r="J15" s="655">
        <v>852</v>
      </c>
      <c r="K15" s="657">
        <f t="shared" si="0"/>
        <v>100.0131323553468</v>
      </c>
      <c r="L15" s="657">
        <f t="shared" si="1"/>
        <v>99.985929850900348</v>
      </c>
      <c r="M15" s="657">
        <f t="shared" si="2"/>
        <v>99.967657614262009</v>
      </c>
      <c r="N15" s="657">
        <f t="shared" si="2"/>
        <v>100.00612201061486</v>
      </c>
      <c r="O15" s="658">
        <f t="shared" si="3"/>
        <v>98.32614685089068</v>
      </c>
      <c r="P15" s="658">
        <f t="shared" si="4"/>
        <v>98.243837035428172</v>
      </c>
      <c r="Q15" s="658">
        <f t="shared" si="5"/>
        <v>96.651162790697668</v>
      </c>
      <c r="R15" s="658">
        <f t="shared" si="6"/>
        <v>100.47169811320755</v>
      </c>
    </row>
    <row r="16" spans="1:38" ht="17.399999999999999">
      <c r="A16" s="653">
        <v>43525</v>
      </c>
      <c r="B16" s="654">
        <v>2019</v>
      </c>
      <c r="C16" s="654">
        <v>467.57669299463851</v>
      </c>
      <c r="D16" s="654">
        <v>667.68</v>
      </c>
      <c r="E16" s="654"/>
      <c r="F16" s="654">
        <v>312191.60637866019</v>
      </c>
      <c r="G16" s="654">
        <v>17042.727272727272</v>
      </c>
      <c r="H16" s="654"/>
      <c r="I16" s="655">
        <v>1029</v>
      </c>
      <c r="J16" s="655">
        <v>860</v>
      </c>
      <c r="K16" s="657">
        <f t="shared" si="0"/>
        <v>100.00853878045183</v>
      </c>
      <c r="L16" s="657">
        <f t="shared" si="1"/>
        <v>100.00033692977335</v>
      </c>
      <c r="M16" s="657">
        <f t="shared" si="2"/>
        <v>99.958032975185972</v>
      </c>
      <c r="N16" s="657">
        <f t="shared" si="2"/>
        <v>100.01551168197636</v>
      </c>
      <c r="O16" s="658">
        <f t="shared" si="3"/>
        <v>97.874478331197821</v>
      </c>
      <c r="P16" s="658">
        <f t="shared" si="4"/>
        <v>99.659243744384966</v>
      </c>
      <c r="Q16" s="658">
        <f t="shared" si="5"/>
        <v>95.720930232558146</v>
      </c>
      <c r="R16" s="658">
        <f t="shared" si="6"/>
        <v>101.41509433962264</v>
      </c>
    </row>
    <row r="17" spans="1:18" ht="17.399999999999999">
      <c r="A17" s="653">
        <v>43556</v>
      </c>
      <c r="B17" s="654">
        <v>2019</v>
      </c>
      <c r="C17" s="654">
        <v>468.09882119599968</v>
      </c>
      <c r="D17" s="654">
        <v>667.4</v>
      </c>
      <c r="E17" s="654"/>
      <c r="F17" s="654">
        <v>312409.15326621017</v>
      </c>
      <c r="G17" s="654">
        <v>17138.81818181818</v>
      </c>
      <c r="H17" s="654"/>
      <c r="I17" s="655">
        <v>1000</v>
      </c>
      <c r="J17" s="655">
        <v>852</v>
      </c>
      <c r="K17" s="657">
        <f t="shared" si="0"/>
        <v>100.00923561817298</v>
      </c>
      <c r="L17" s="657">
        <f t="shared" si="1"/>
        <v>100.00597516522436</v>
      </c>
      <c r="M17" s="657">
        <f t="shared" si="2"/>
        <v>99.929850273533887</v>
      </c>
      <c r="N17" s="657">
        <f t="shared" si="2"/>
        <v>100.00620935639496</v>
      </c>
      <c r="O17" s="658">
        <f t="shared" si="3"/>
        <v>97.942680959636533</v>
      </c>
      <c r="P17" s="658">
        <f t="shared" si="4"/>
        <v>100.22114602548496</v>
      </c>
      <c r="Q17" s="658">
        <f t="shared" si="5"/>
        <v>93.023255813953483</v>
      </c>
      <c r="R17" s="658">
        <f t="shared" si="6"/>
        <v>100.47169811320755</v>
      </c>
    </row>
    <row r="18" spans="1:18" ht="17.399999999999999">
      <c r="A18" s="653">
        <v>43586</v>
      </c>
      <c r="B18" s="654">
        <v>2019</v>
      </c>
      <c r="C18" s="654">
        <v>473.81868707171242</v>
      </c>
      <c r="D18" s="654">
        <v>693.56</v>
      </c>
      <c r="E18" s="654"/>
      <c r="F18" s="654">
        <v>328621.68860545685</v>
      </c>
      <c r="G18" s="654">
        <v>17727.961538461539</v>
      </c>
      <c r="H18" s="654"/>
      <c r="I18" s="655">
        <v>1003</v>
      </c>
      <c r="J18" s="655">
        <v>852</v>
      </c>
      <c r="K18" s="657">
        <f t="shared" si="0"/>
        <v>100.06113081768856</v>
      </c>
      <c r="L18" s="657">
        <f t="shared" si="1"/>
        <v>100.04034995993852</v>
      </c>
      <c r="M18" s="657">
        <f t="shared" si="2"/>
        <v>99.932850273533887</v>
      </c>
      <c r="N18" s="657">
        <f t="shared" si="2"/>
        <v>100.00620935639496</v>
      </c>
      <c r="O18" s="658">
        <f t="shared" si="3"/>
        <v>103.02543592912869</v>
      </c>
      <c r="P18" s="658">
        <f t="shared" si="4"/>
        <v>103.66622734612912</v>
      </c>
      <c r="Q18" s="658">
        <f t="shared" si="5"/>
        <v>93.302325581395351</v>
      </c>
      <c r="R18" s="658">
        <f t="shared" si="6"/>
        <v>100.47169811320755</v>
      </c>
    </row>
    <row r="19" spans="1:18" ht="17.399999999999999">
      <c r="A19" s="653">
        <v>43617</v>
      </c>
      <c r="B19" s="654">
        <v>2019</v>
      </c>
      <c r="C19" s="654">
        <v>475.61044269523131</v>
      </c>
      <c r="D19" s="654">
        <v>692.41</v>
      </c>
      <c r="E19" s="654"/>
      <c r="F19" s="654">
        <v>329317.4266266051</v>
      </c>
      <c r="G19" s="654">
        <v>17624.2</v>
      </c>
      <c r="H19" s="654"/>
      <c r="I19" s="655">
        <v>997</v>
      </c>
      <c r="J19" s="655">
        <v>854</v>
      </c>
      <c r="K19" s="657">
        <f t="shared" si="0"/>
        <v>100.06324795738223</v>
      </c>
      <c r="L19" s="657">
        <f t="shared" si="1"/>
        <v>100.03449697237217</v>
      </c>
      <c r="M19" s="657">
        <f t="shared" ref="M19:N19" si="7">((I19-I18)/I18)+M18</f>
        <v>99.926868219695407</v>
      </c>
      <c r="N19" s="657">
        <f t="shared" si="7"/>
        <v>100.00855677423533</v>
      </c>
      <c r="O19" s="658">
        <f t="shared" si="3"/>
        <v>103.24355516899215</v>
      </c>
      <c r="P19" s="658">
        <f t="shared" si="4"/>
        <v>103.05947020642068</v>
      </c>
      <c r="Q19" s="658">
        <f t="shared" si="5"/>
        <v>92.744186046511629</v>
      </c>
      <c r="R19" s="658">
        <f t="shared" si="6"/>
        <v>100.70754716981132</v>
      </c>
    </row>
    <row r="20" spans="1:18" ht="17.399999999999999">
      <c r="A20" s="653">
        <v>43647</v>
      </c>
      <c r="B20" s="654">
        <v>2019</v>
      </c>
      <c r="C20" s="654">
        <v>475.55786177351911</v>
      </c>
      <c r="D20" s="654">
        <v>686.06</v>
      </c>
      <c r="E20" s="654"/>
      <c r="F20" s="654">
        <v>326261.22664834047</v>
      </c>
      <c r="G20" s="654">
        <v>17395.354838709678</v>
      </c>
      <c r="H20" s="654"/>
      <c r="I20" s="655">
        <v>1020</v>
      </c>
      <c r="J20" s="655">
        <v>858</v>
      </c>
      <c r="K20" s="657">
        <f t="shared" si="0"/>
        <v>100.053967549693</v>
      </c>
      <c r="L20" s="657">
        <f t="shared" si="1"/>
        <v>100.02151226036877</v>
      </c>
      <c r="M20" s="657">
        <f t="shared" ref="M20:N35" si="8">((I20-I19)/I19)+M19</f>
        <v>99.949937427318275</v>
      </c>
      <c r="N20" s="657">
        <f t="shared" si="8"/>
        <v>100.01324061498474</v>
      </c>
      <c r="O20" s="658">
        <f t="shared" si="3"/>
        <v>102.2854128857379</v>
      </c>
      <c r="P20" s="658">
        <f t="shared" si="4"/>
        <v>101.72127266656732</v>
      </c>
      <c r="Q20" s="658">
        <f t="shared" si="5"/>
        <v>94.883720930232556</v>
      </c>
      <c r="R20" s="658">
        <f t="shared" si="6"/>
        <v>101.17924528301887</v>
      </c>
    </row>
    <row r="21" spans="1:18" ht="17.399999999999999">
      <c r="A21" s="653">
        <v>43678</v>
      </c>
      <c r="B21" s="654">
        <v>2019</v>
      </c>
      <c r="C21" s="654">
        <v>457.63729113509004</v>
      </c>
      <c r="D21" s="654">
        <v>713.7</v>
      </c>
      <c r="E21" s="654"/>
      <c r="F21" s="654">
        <v>326615.73468311375</v>
      </c>
      <c r="G21" s="654">
        <v>17811.387096774193</v>
      </c>
      <c r="H21" s="654"/>
      <c r="I21" s="655">
        <v>1019</v>
      </c>
      <c r="J21" s="655">
        <v>850</v>
      </c>
      <c r="K21" s="657">
        <f t="shared" si="0"/>
        <v>100.05505412696856</v>
      </c>
      <c r="L21" s="657">
        <f t="shared" si="1"/>
        <v>100.04542854502763</v>
      </c>
      <c r="M21" s="657">
        <f t="shared" si="8"/>
        <v>99.948957035161413</v>
      </c>
      <c r="N21" s="657">
        <f t="shared" si="8"/>
        <v>100.00391660566073</v>
      </c>
      <c r="O21" s="658">
        <f t="shared" si="3"/>
        <v>102.39655389100109</v>
      </c>
      <c r="P21" s="658">
        <f t="shared" si="4"/>
        <v>104.15406757952279</v>
      </c>
      <c r="Q21" s="658">
        <f t="shared" si="5"/>
        <v>94.790697674418595</v>
      </c>
      <c r="R21" s="658">
        <f t="shared" si="6"/>
        <v>100.23584905660377</v>
      </c>
    </row>
    <row r="22" spans="1:18" ht="17.399999999999999">
      <c r="A22" s="653">
        <v>43709</v>
      </c>
      <c r="B22" s="654">
        <v>2019</v>
      </c>
      <c r="C22" s="654">
        <v>450.86018289965739</v>
      </c>
      <c r="D22" s="654">
        <v>718.44</v>
      </c>
      <c r="E22" s="654"/>
      <c r="F22" s="654">
        <v>323915.98980242986</v>
      </c>
      <c r="G22" s="654">
        <v>17833.400000000001</v>
      </c>
      <c r="H22" s="654"/>
      <c r="I22" s="655">
        <v>1036</v>
      </c>
      <c r="J22" s="655">
        <v>860</v>
      </c>
      <c r="K22" s="657">
        <f t="shared" si="0"/>
        <v>100.04678831306555</v>
      </c>
      <c r="L22" s="657">
        <f t="shared" si="1"/>
        <v>100.04666443435541</v>
      </c>
      <c r="M22" s="657">
        <f t="shared" si="8"/>
        <v>99.965640057732557</v>
      </c>
      <c r="N22" s="657">
        <f t="shared" si="8"/>
        <v>100.01568131154309</v>
      </c>
      <c r="O22" s="658">
        <f t="shared" si="3"/>
        <v>101.55016303222904</v>
      </c>
      <c r="P22" s="658">
        <f t="shared" si="4"/>
        <v>104.28279048008888</v>
      </c>
      <c r="Q22" s="658">
        <f t="shared" si="5"/>
        <v>96.372093023255815</v>
      </c>
      <c r="R22" s="658">
        <f t="shared" si="6"/>
        <v>101.41509433962264</v>
      </c>
    </row>
    <row r="23" spans="1:18" ht="17.399999999999999">
      <c r="A23" s="653">
        <v>43739</v>
      </c>
      <c r="B23" s="654">
        <v>2019</v>
      </c>
      <c r="C23" s="654">
        <v>475.89310072347382</v>
      </c>
      <c r="D23" s="654">
        <v>721.03</v>
      </c>
      <c r="E23" s="654"/>
      <c r="F23" s="654">
        <v>343133.20241464634</v>
      </c>
      <c r="G23" s="654">
        <v>18352.806451612902</v>
      </c>
      <c r="H23" s="654"/>
      <c r="I23" s="655">
        <v>1016</v>
      </c>
      <c r="J23" s="655">
        <v>844</v>
      </c>
      <c r="K23" s="657">
        <f t="shared" si="0"/>
        <v>100.10611608081156</v>
      </c>
      <c r="L23" s="657">
        <f t="shared" si="1"/>
        <v>100.07578992089263</v>
      </c>
      <c r="M23" s="657">
        <f t="shared" si="8"/>
        <v>99.946335038427534</v>
      </c>
      <c r="N23" s="657">
        <f t="shared" si="8"/>
        <v>99.997076660380301</v>
      </c>
      <c r="O23" s="658">
        <f t="shared" si="3"/>
        <v>107.57490751917425</v>
      </c>
      <c r="P23" s="658">
        <f t="shared" si="4"/>
        <v>107.3200774902807</v>
      </c>
      <c r="Q23" s="658">
        <f t="shared" si="5"/>
        <v>94.511627906976742</v>
      </c>
      <c r="R23" s="658">
        <f t="shared" si="6"/>
        <v>99.528301886792448</v>
      </c>
    </row>
    <row r="24" spans="1:18" ht="17.399999999999999">
      <c r="A24" s="653">
        <v>43770</v>
      </c>
      <c r="B24" s="654">
        <v>2019</v>
      </c>
      <c r="C24" s="654">
        <v>489.04519227923464</v>
      </c>
      <c r="D24" s="654">
        <v>776.53</v>
      </c>
      <c r="E24" s="654"/>
      <c r="F24" s="654">
        <v>379758.26316059404</v>
      </c>
      <c r="G24" s="654">
        <v>20124.133333333335</v>
      </c>
      <c r="H24" s="654"/>
      <c r="I24" s="655">
        <v>1018</v>
      </c>
      <c r="J24" s="655">
        <v>860</v>
      </c>
      <c r="K24" s="657">
        <f t="shared" si="0"/>
        <v>100.21285323270538</v>
      </c>
      <c r="L24" s="657">
        <f t="shared" si="1"/>
        <v>100.17230523512485</v>
      </c>
      <c r="M24" s="657">
        <f t="shared" si="8"/>
        <v>99.948303542364542</v>
      </c>
      <c r="N24" s="657">
        <f t="shared" si="8"/>
        <v>100.01603400635186</v>
      </c>
      <c r="O24" s="658">
        <f t="shared" si="3"/>
        <v>119.05714676301284</v>
      </c>
      <c r="P24" s="658">
        <f t="shared" si="4"/>
        <v>117.67810849268074</v>
      </c>
      <c r="Q24" s="658">
        <f t="shared" si="5"/>
        <v>94.697674418604649</v>
      </c>
      <c r="R24" s="658">
        <f t="shared" si="6"/>
        <v>101.41509433962264</v>
      </c>
    </row>
    <row r="25" spans="1:18" ht="17.399999999999999">
      <c r="A25" s="653">
        <v>43800</v>
      </c>
      <c r="B25" s="654">
        <v>2019</v>
      </c>
      <c r="C25" s="654">
        <v>478.82288509528576</v>
      </c>
      <c r="D25" s="654">
        <v>770.39</v>
      </c>
      <c r="E25" s="654"/>
      <c r="F25" s="654">
        <v>368880.36244855716</v>
      </c>
      <c r="G25" s="654">
        <v>20699.129032258064</v>
      </c>
      <c r="H25" s="654"/>
      <c r="I25" s="655">
        <v>1012</v>
      </c>
      <c r="J25" s="655">
        <v>887</v>
      </c>
      <c r="K25" s="657">
        <f t="shared" si="0"/>
        <v>100.1842089561556</v>
      </c>
      <c r="L25" s="657">
        <f t="shared" si="1"/>
        <v>100.20087768042724</v>
      </c>
      <c r="M25" s="657">
        <f t="shared" si="8"/>
        <v>99.942409632737821</v>
      </c>
      <c r="N25" s="657">
        <f t="shared" si="8"/>
        <v>100.04742935518907</v>
      </c>
      <c r="O25" s="658">
        <f t="shared" si="3"/>
        <v>115.64684092590514</v>
      </c>
      <c r="P25" s="658">
        <f t="shared" si="4"/>
        <v>121.04045981087694</v>
      </c>
      <c r="Q25" s="658">
        <f t="shared" si="5"/>
        <v>94.139534883720927</v>
      </c>
      <c r="R25" s="658">
        <f t="shared" si="6"/>
        <v>104.59905660377358</v>
      </c>
    </row>
    <row r="26" spans="1:18" ht="17.399999999999999">
      <c r="A26" s="653">
        <v>43831</v>
      </c>
      <c r="B26" s="654">
        <v>2020</v>
      </c>
      <c r="C26" s="654">
        <v>485.83611795904483</v>
      </c>
      <c r="D26" s="654">
        <v>772.65</v>
      </c>
      <c r="E26" s="654"/>
      <c r="F26" s="654">
        <v>375381.276541056</v>
      </c>
      <c r="G26" s="654">
        <v>20834.903225806451</v>
      </c>
      <c r="H26" s="654"/>
      <c r="I26" s="655">
        <v>1020</v>
      </c>
      <c r="J26" s="655">
        <v>891</v>
      </c>
      <c r="K26" s="657">
        <f t="shared" si="0"/>
        <v>100.20183232338867</v>
      </c>
      <c r="L26" s="657">
        <f t="shared" si="1"/>
        <v>100.20743709620443</v>
      </c>
      <c r="M26" s="657">
        <f t="shared" si="8"/>
        <v>99.950314771077743</v>
      </c>
      <c r="N26" s="657">
        <f t="shared" si="8"/>
        <v>100.05193893805266</v>
      </c>
      <c r="O26" s="658">
        <f t="shared" si="3"/>
        <v>117.68492767288677</v>
      </c>
      <c r="P26" s="658">
        <f t="shared" si="4"/>
        <v>121.83441451263931</v>
      </c>
      <c r="Q26" s="658">
        <f t="shared" si="5"/>
        <v>94.883720930232556</v>
      </c>
      <c r="R26" s="658">
        <f t="shared" si="6"/>
        <v>105.07075471698113</v>
      </c>
    </row>
    <row r="27" spans="1:18" ht="17.399999999999999">
      <c r="A27" s="653">
        <v>43862</v>
      </c>
      <c r="B27" s="654">
        <v>2020</v>
      </c>
      <c r="C27" s="654">
        <v>487.76342375700193</v>
      </c>
      <c r="D27" s="654">
        <v>796.38</v>
      </c>
      <c r="E27" s="654"/>
      <c r="F27" s="654">
        <v>388445.03541160119</v>
      </c>
      <c r="G27" s="654">
        <v>21530.862068965518</v>
      </c>
      <c r="H27" s="654"/>
      <c r="I27" s="655">
        <v>1027</v>
      </c>
      <c r="J27" s="655">
        <v>886</v>
      </c>
      <c r="K27" s="657">
        <f t="shared" si="0"/>
        <v>100.23663362991871</v>
      </c>
      <c r="L27" s="657">
        <f t="shared" si="1"/>
        <v>100.24084060356016</v>
      </c>
      <c r="M27" s="657">
        <f t="shared" si="8"/>
        <v>99.957177516175776</v>
      </c>
      <c r="N27" s="657">
        <f t="shared" si="8"/>
        <v>100.04632726577432</v>
      </c>
      <c r="O27" s="658">
        <f t="shared" si="3"/>
        <v>121.78051691479719</v>
      </c>
      <c r="P27" s="658">
        <f t="shared" si="4"/>
        <v>125.90411127399285</v>
      </c>
      <c r="Q27" s="658">
        <f t="shared" si="5"/>
        <v>95.534883720930225</v>
      </c>
      <c r="R27" s="658">
        <f t="shared" si="6"/>
        <v>104.48113207547169</v>
      </c>
    </row>
    <row r="28" spans="1:18" ht="17.399999999999999">
      <c r="A28" s="653">
        <v>43891</v>
      </c>
      <c r="B28" s="654">
        <v>2020</v>
      </c>
      <c r="C28" s="654">
        <v>494.50513305175457</v>
      </c>
      <c r="D28" s="654">
        <v>839.97</v>
      </c>
      <c r="E28" s="654"/>
      <c r="F28" s="654">
        <v>415369.47660948231</v>
      </c>
      <c r="G28" s="654">
        <v>22503.741935483871</v>
      </c>
      <c r="H28" s="654"/>
      <c r="I28" s="655">
        <v>1046</v>
      </c>
      <c r="J28" s="655">
        <v>912</v>
      </c>
      <c r="K28" s="657">
        <f t="shared" si="0"/>
        <v>100.30594701725381</v>
      </c>
      <c r="L28" s="657">
        <f t="shared" si="1"/>
        <v>100.28602596880016</v>
      </c>
      <c r="M28" s="657">
        <f t="shared" si="8"/>
        <v>99.975678003030694</v>
      </c>
      <c r="N28" s="657">
        <f t="shared" si="8"/>
        <v>100.07567263823482</v>
      </c>
      <c r="O28" s="658">
        <f t="shared" si="3"/>
        <v>130.22153705358124</v>
      </c>
      <c r="P28" s="658">
        <f t="shared" si="4"/>
        <v>131.59313452712632</v>
      </c>
      <c r="Q28" s="658">
        <f t="shared" si="5"/>
        <v>97.302325581395337</v>
      </c>
      <c r="R28" s="658">
        <f t="shared" si="6"/>
        <v>107.54716981132076</v>
      </c>
    </row>
    <row r="29" spans="1:18" ht="17.399999999999999">
      <c r="A29" s="653">
        <v>43922</v>
      </c>
      <c r="B29" s="654">
        <v>2020</v>
      </c>
      <c r="C29" s="654">
        <v>485.93022164445802</v>
      </c>
      <c r="D29" s="654">
        <v>853.38</v>
      </c>
      <c r="E29" s="654"/>
      <c r="F29" s="654">
        <v>414683.13254694757</v>
      </c>
      <c r="G29" s="654">
        <v>23391.4</v>
      </c>
      <c r="H29" s="654"/>
      <c r="I29" s="655">
        <v>1056</v>
      </c>
      <c r="J29" s="655">
        <v>913</v>
      </c>
      <c r="K29" s="657">
        <f t="shared" si="0"/>
        <v>100.30429464725269</v>
      </c>
      <c r="L29" s="657">
        <f t="shared" si="1"/>
        <v>100.32547087832059</v>
      </c>
      <c r="M29" s="657">
        <f t="shared" si="8"/>
        <v>99.985238232476206</v>
      </c>
      <c r="N29" s="657">
        <f t="shared" si="8"/>
        <v>100.07676912946289</v>
      </c>
      <c r="O29" s="658">
        <f t="shared" si="3"/>
        <v>130.00636289225284</v>
      </c>
      <c r="P29" s="658">
        <f t="shared" si="4"/>
        <v>136.78381381205776</v>
      </c>
      <c r="Q29" s="658">
        <f t="shared" si="5"/>
        <v>98.232558139534888</v>
      </c>
      <c r="R29" s="658">
        <f t="shared" si="6"/>
        <v>107.66509433962264</v>
      </c>
    </row>
    <row r="30" spans="1:18" ht="17.399999999999999">
      <c r="A30" s="653">
        <v>43952</v>
      </c>
      <c r="B30" s="654">
        <v>2020</v>
      </c>
      <c r="C30" s="654">
        <v>488.60434020492249</v>
      </c>
      <c r="D30" s="654">
        <v>821.81</v>
      </c>
      <c r="E30" s="654"/>
      <c r="F30" s="654">
        <v>401539.93282380735</v>
      </c>
      <c r="G30" s="654">
        <v>23366.354838709678</v>
      </c>
      <c r="H30" s="654"/>
      <c r="I30" s="655">
        <v>1091</v>
      </c>
      <c r="J30" s="655">
        <v>927</v>
      </c>
      <c r="K30" s="657">
        <f t="shared" si="0"/>
        <v>100.27260008653492</v>
      </c>
      <c r="L30" s="657">
        <f t="shared" si="1"/>
        <v>100.32440017877758</v>
      </c>
      <c r="M30" s="657">
        <f t="shared" si="8"/>
        <v>100.01838217187014</v>
      </c>
      <c r="N30" s="657">
        <f t="shared" si="8"/>
        <v>100.09210319298973</v>
      </c>
      <c r="O30" s="658">
        <f t="shared" si="3"/>
        <v>125.88586832986917</v>
      </c>
      <c r="P30" s="658">
        <f t="shared" si="4"/>
        <v>136.63735944511828</v>
      </c>
      <c r="Q30" s="658">
        <f t="shared" si="5"/>
        <v>101.48837209302326</v>
      </c>
      <c r="R30" s="658">
        <f t="shared" si="6"/>
        <v>109.31603773584905</v>
      </c>
    </row>
    <row r="31" spans="1:18" ht="17.399999999999999">
      <c r="A31" s="653">
        <v>43983</v>
      </c>
      <c r="B31" s="654">
        <v>2020</v>
      </c>
      <c r="C31" s="654">
        <v>506.83333341292433</v>
      </c>
      <c r="D31" s="654">
        <v>792.72</v>
      </c>
      <c r="E31" s="654"/>
      <c r="F31" s="654">
        <v>401776.92006309336</v>
      </c>
      <c r="G31" s="654">
        <v>22901.533333333333</v>
      </c>
      <c r="H31" s="654"/>
      <c r="I31" s="655">
        <v>1072</v>
      </c>
      <c r="J31" s="655">
        <v>914</v>
      </c>
      <c r="K31" s="657">
        <f t="shared" si="0"/>
        <v>100.27319028247787</v>
      </c>
      <c r="L31" s="657">
        <f t="shared" si="1"/>
        <v>100.30450740951234</v>
      </c>
      <c r="M31" s="657">
        <f t="shared" si="8"/>
        <v>100.00096695647143</v>
      </c>
      <c r="N31" s="657">
        <f t="shared" si="8"/>
        <v>100.07807946051939</v>
      </c>
      <c r="O31" s="658">
        <f t="shared" si="3"/>
        <v>125.9601656586325</v>
      </c>
      <c r="P31" s="658">
        <f t="shared" si="4"/>
        <v>133.91926398066389</v>
      </c>
      <c r="Q31" s="658">
        <f t="shared" si="5"/>
        <v>99.720930232558132</v>
      </c>
      <c r="R31" s="658">
        <f t="shared" si="6"/>
        <v>107.78301886792451</v>
      </c>
    </row>
    <row r="32" spans="1:18" ht="17.399999999999999">
      <c r="A32" s="653">
        <v>44013</v>
      </c>
      <c r="B32" s="654">
        <v>2020</v>
      </c>
      <c r="C32" s="654">
        <v>534.75582564397189</v>
      </c>
      <c r="D32" s="654">
        <v>784.73</v>
      </c>
      <c r="E32" s="654"/>
      <c r="F32" s="654">
        <v>419638.93905759405</v>
      </c>
      <c r="G32" s="654">
        <v>23378.064516129034</v>
      </c>
      <c r="H32" s="654"/>
      <c r="I32" s="655">
        <v>1050</v>
      </c>
      <c r="J32" s="655">
        <v>906</v>
      </c>
      <c r="K32" s="657">
        <f t="shared" si="0"/>
        <v>100.31764783616636</v>
      </c>
      <c r="L32" s="657">
        <f t="shared" si="1"/>
        <v>100.32531523822232</v>
      </c>
      <c r="M32" s="657">
        <f t="shared" si="8"/>
        <v>99.980444568411727</v>
      </c>
      <c r="N32" s="657">
        <f t="shared" si="8"/>
        <v>100.06932672528963</v>
      </c>
      <c r="O32" s="658">
        <f t="shared" si="3"/>
        <v>131.56004648601211</v>
      </c>
      <c r="P32" s="658">
        <f t="shared" si="4"/>
        <v>136.705833086539</v>
      </c>
      <c r="Q32" s="658">
        <f t="shared" si="5"/>
        <v>97.674418604651152</v>
      </c>
      <c r="R32" s="658">
        <f t="shared" si="6"/>
        <v>106.83962264150944</v>
      </c>
    </row>
    <row r="33" spans="1:18" ht="17.399999999999999">
      <c r="A33" s="653">
        <v>44044</v>
      </c>
      <c r="B33" s="654">
        <v>2020</v>
      </c>
      <c r="C33" s="654">
        <v>546.97583411464359</v>
      </c>
      <c r="D33" s="654">
        <v>784.66</v>
      </c>
      <c r="E33" s="654"/>
      <c r="F33" s="654">
        <v>429190.05799639621</v>
      </c>
      <c r="G33" s="654">
        <v>25388.387096774193</v>
      </c>
      <c r="H33" s="654"/>
      <c r="I33" s="655">
        <v>1041</v>
      </c>
      <c r="J33" s="655">
        <v>895</v>
      </c>
      <c r="K33" s="657">
        <f t="shared" si="0"/>
        <v>100.34040816188887</v>
      </c>
      <c r="L33" s="657">
        <f t="shared" si="1"/>
        <v>100.41130706955028</v>
      </c>
      <c r="M33" s="657">
        <f t="shared" si="8"/>
        <v>99.971873139840298</v>
      </c>
      <c r="N33" s="657">
        <f t="shared" si="8"/>
        <v>100.05718544493642</v>
      </c>
      <c r="O33" s="658">
        <f t="shared" si="3"/>
        <v>134.55439599610321</v>
      </c>
      <c r="P33" s="658">
        <f t="shared" si="4"/>
        <v>148.46141802686506</v>
      </c>
      <c r="Q33" s="658">
        <f t="shared" si="5"/>
        <v>96.837209302325576</v>
      </c>
      <c r="R33" s="658">
        <f t="shared" si="6"/>
        <v>105.54245283018868</v>
      </c>
    </row>
    <row r="34" spans="1:18" ht="17.399999999999999">
      <c r="A34" s="653">
        <v>44075</v>
      </c>
      <c r="B34" s="654">
        <v>2020</v>
      </c>
      <c r="C34" s="654">
        <v>547.30008592686488</v>
      </c>
      <c r="D34" s="654">
        <v>773.4</v>
      </c>
      <c r="E34" s="654"/>
      <c r="F34" s="654">
        <v>423281.88645583729</v>
      </c>
      <c r="G34" s="654">
        <v>30916.533333333333</v>
      </c>
      <c r="H34" s="654"/>
      <c r="I34" s="655">
        <v>1055</v>
      </c>
      <c r="J34" s="655">
        <v>900</v>
      </c>
      <c r="K34" s="657">
        <f t="shared" si="0"/>
        <v>100.32664229888603</v>
      </c>
      <c r="L34" s="657">
        <f t="shared" si="1"/>
        <v>100.62905017451742</v>
      </c>
      <c r="M34" s="657">
        <f t="shared" si="8"/>
        <v>99.985321746948841</v>
      </c>
      <c r="N34" s="657">
        <f t="shared" si="8"/>
        <v>100.0627720371152</v>
      </c>
      <c r="O34" s="658">
        <f t="shared" si="3"/>
        <v>132.70213861439109</v>
      </c>
      <c r="P34" s="658">
        <f t="shared" si="4"/>
        <v>180.78786815585832</v>
      </c>
      <c r="Q34" s="658">
        <f t="shared" si="5"/>
        <v>98.139534883720927</v>
      </c>
      <c r="R34" s="658">
        <f t="shared" si="6"/>
        <v>106.13207547169812</v>
      </c>
    </row>
    <row r="35" spans="1:18" ht="17.399999999999999">
      <c r="A35" s="653">
        <v>44105</v>
      </c>
      <c r="B35" s="654">
        <v>2020</v>
      </c>
      <c r="C35" s="654">
        <v>611.45540506874011</v>
      </c>
      <c r="D35" s="654">
        <v>778.27</v>
      </c>
      <c r="E35" s="654"/>
      <c r="F35" s="654">
        <v>475877.39810284832</v>
      </c>
      <c r="G35" s="654">
        <v>31507.741935483871</v>
      </c>
      <c r="H35" s="654"/>
      <c r="I35" s="655">
        <v>1158</v>
      </c>
      <c r="J35" s="655">
        <v>910</v>
      </c>
      <c r="K35" s="657">
        <f t="shared" si="0"/>
        <v>100.45089876562831</v>
      </c>
      <c r="L35" s="657">
        <f t="shared" si="1"/>
        <v>100.64817290719175</v>
      </c>
      <c r="M35" s="657">
        <f t="shared" si="8"/>
        <v>100.08295207870239</v>
      </c>
      <c r="N35" s="657">
        <f t="shared" si="8"/>
        <v>100.0738831482263</v>
      </c>
      <c r="O35" s="658">
        <f t="shared" si="3"/>
        <v>149.19123748776013</v>
      </c>
      <c r="P35" s="658">
        <f t="shared" si="4"/>
        <v>184.24502622936598</v>
      </c>
      <c r="Q35" s="658">
        <f t="shared" si="5"/>
        <v>107.72093023255813</v>
      </c>
      <c r="R35" s="658">
        <f t="shared" si="6"/>
        <v>107.31132075471699</v>
      </c>
    </row>
    <row r="36" spans="1:18" ht="17.399999999999999">
      <c r="A36" s="653">
        <v>44136</v>
      </c>
      <c r="B36" s="654">
        <v>2020</v>
      </c>
      <c r="C36" s="654">
        <v>657.03983530257608</v>
      </c>
      <c r="D36" s="654">
        <v>763.72</v>
      </c>
      <c r="E36" s="654"/>
      <c r="F36" s="654">
        <v>501794.46301728341</v>
      </c>
      <c r="G36" s="654">
        <v>29467.733333333334</v>
      </c>
      <c r="H36" s="654"/>
      <c r="I36" s="655">
        <v>1069</v>
      </c>
      <c r="J36" s="655">
        <v>898</v>
      </c>
      <c r="K36" s="657">
        <f t="shared" si="0"/>
        <v>100.50536040851733</v>
      </c>
      <c r="L36" s="657">
        <f t="shared" si="1"/>
        <v>100.58342664240617</v>
      </c>
      <c r="M36" s="657">
        <f t="shared" ref="M36:N40" si="9">((I36-I35)/I35)+M35</f>
        <v>100.00609542930688</v>
      </c>
      <c r="N36" s="657">
        <f t="shared" si="9"/>
        <v>100.06069633503948</v>
      </c>
      <c r="O36" s="658">
        <f t="shared" si="3"/>
        <v>157.31643738599007</v>
      </c>
      <c r="P36" s="658">
        <f t="shared" si="4"/>
        <v>172.31584897569343</v>
      </c>
      <c r="Q36" s="658">
        <f t="shared" si="5"/>
        <v>99.441860465116278</v>
      </c>
      <c r="R36" s="658">
        <f t="shared" si="6"/>
        <v>105.89622641509433</v>
      </c>
    </row>
    <row r="37" spans="1:18" ht="17.399999999999999">
      <c r="A37" s="653">
        <v>44166</v>
      </c>
      <c r="B37" s="654">
        <v>2020</v>
      </c>
      <c r="C37" s="654">
        <v>522.55345354356325</v>
      </c>
      <c r="D37" s="654">
        <v>734.73</v>
      </c>
      <c r="E37" s="654"/>
      <c r="F37" s="654">
        <v>383935.69892206223</v>
      </c>
      <c r="G37" s="654">
        <v>27967.451612903227</v>
      </c>
      <c r="H37" s="654"/>
      <c r="I37" s="655">
        <v>1063</v>
      </c>
      <c r="J37" s="655">
        <v>896</v>
      </c>
      <c r="K37" s="657">
        <f t="shared" si="0"/>
        <v>100.2704858278244</v>
      </c>
      <c r="L37" s="657">
        <f t="shared" si="1"/>
        <v>100.532513947376</v>
      </c>
      <c r="M37" s="657">
        <f t="shared" si="9"/>
        <v>100.00048270713663</v>
      </c>
      <c r="N37" s="657">
        <f t="shared" si="9"/>
        <v>100.05846916354727</v>
      </c>
      <c r="O37" s="658">
        <f t="shared" si="3"/>
        <v>120.36680511884921</v>
      </c>
      <c r="P37" s="658">
        <f t="shared" si="4"/>
        <v>163.54278470793068</v>
      </c>
      <c r="Q37" s="658">
        <f t="shared" si="5"/>
        <v>98.883720930232556</v>
      </c>
      <c r="R37" s="658">
        <f t="shared" si="6"/>
        <v>105.66037735849056</v>
      </c>
    </row>
    <row r="38" spans="1:18" ht="17.399999999999999">
      <c r="A38" s="653">
        <v>44197</v>
      </c>
      <c r="B38" s="654">
        <v>2021</v>
      </c>
      <c r="C38" s="654">
        <v>524.3046206835927</v>
      </c>
      <c r="D38" s="654">
        <v>723.56</v>
      </c>
      <c r="E38" s="654"/>
      <c r="F38" s="654">
        <f t="shared" ref="F38:F40" si="10">C38*D38</f>
        <v>379365.85134182032</v>
      </c>
      <c r="G38" s="654">
        <v>25659.741935483871</v>
      </c>
      <c r="H38" s="654"/>
      <c r="I38" s="655">
        <v>1062</v>
      </c>
      <c r="J38" s="655">
        <v>901</v>
      </c>
      <c r="K38" s="657">
        <f t="shared" si="0"/>
        <v>100.25858318997886</v>
      </c>
      <c r="L38" s="657">
        <f t="shared" si="1"/>
        <v>100.44999982669886</v>
      </c>
      <c r="M38" s="657">
        <f t="shared" si="9"/>
        <v>99.999541973364288</v>
      </c>
      <c r="N38" s="657">
        <f t="shared" si="9"/>
        <v>100.06404952069013</v>
      </c>
      <c r="O38" s="658">
        <f t="shared" si="3"/>
        <v>118.93412262889538</v>
      </c>
      <c r="P38" s="658">
        <f t="shared" si="4"/>
        <v>150.0481956346639</v>
      </c>
      <c r="Q38" s="658">
        <f t="shared" si="5"/>
        <v>98.79069767441861</v>
      </c>
      <c r="R38" s="658">
        <f t="shared" si="6"/>
        <v>106.25</v>
      </c>
    </row>
    <row r="39" spans="1:18" ht="17.399999999999999">
      <c r="A39" s="653">
        <v>44228</v>
      </c>
      <c r="B39" s="654">
        <v>2021</v>
      </c>
      <c r="C39" s="654">
        <v>570.13865280248558</v>
      </c>
      <c r="D39" s="654">
        <v>722.63</v>
      </c>
      <c r="E39" s="654"/>
      <c r="F39" s="654">
        <f t="shared" si="10"/>
        <v>411999.29467466014</v>
      </c>
      <c r="G39" s="654">
        <v>25049.666666666668</v>
      </c>
      <c r="H39" s="654"/>
      <c r="I39" s="655">
        <v>1072</v>
      </c>
      <c r="J39" s="655">
        <v>900</v>
      </c>
      <c r="K39" s="657">
        <f t="shared" si="0"/>
        <v>100.34460422539208</v>
      </c>
      <c r="L39" s="657">
        <f t="shared" si="1"/>
        <v>100.4262242458551</v>
      </c>
      <c r="M39" s="657">
        <f t="shared" si="9"/>
        <v>100.00895816922116</v>
      </c>
      <c r="N39" s="657">
        <f t="shared" si="9"/>
        <v>100.0629396427767</v>
      </c>
      <c r="O39" s="658">
        <f t="shared" si="3"/>
        <v>129.16495900339544</v>
      </c>
      <c r="P39" s="658">
        <f t="shared" si="4"/>
        <v>146.4807126288911</v>
      </c>
      <c r="Q39" s="658">
        <f t="shared" si="5"/>
        <v>99.720930232558132</v>
      </c>
      <c r="R39" s="658">
        <f t="shared" si="6"/>
        <v>106.13207547169812</v>
      </c>
    </row>
    <row r="40" spans="1:18" ht="17.399999999999999">
      <c r="A40" s="653">
        <v>44256</v>
      </c>
      <c r="B40" s="654">
        <v>2021</v>
      </c>
      <c r="C40" s="654">
        <v>575.27615541876776</v>
      </c>
      <c r="D40" s="654">
        <v>726.37</v>
      </c>
      <c r="E40" s="659">
        <f t="shared" ref="E40:E51" si="11">D40/D39-1</f>
        <v>5.1755393493211344E-3</v>
      </c>
      <c r="F40" s="654">
        <f t="shared" si="10"/>
        <v>417863.34101153031</v>
      </c>
      <c r="G40" s="654">
        <f>'57'!I20*'61'!D40/10</f>
        <v>23509.458333333332</v>
      </c>
      <c r="H40" s="659">
        <f t="shared" ref="H40:H51" si="12">G40/G39-1</f>
        <v>-6.1486180787502231E-2</v>
      </c>
      <c r="I40" s="655">
        <v>1070</v>
      </c>
      <c r="J40" s="655">
        <v>911</v>
      </c>
      <c r="K40" s="657">
        <f t="shared" si="0"/>
        <v>100.35883737193545</v>
      </c>
      <c r="L40" s="657">
        <f t="shared" si="1"/>
        <v>100.3647380650676</v>
      </c>
      <c r="M40" s="657">
        <f t="shared" si="9"/>
        <v>100.00709249757936</v>
      </c>
      <c r="N40" s="657">
        <f t="shared" si="9"/>
        <v>100.07516186499892</v>
      </c>
      <c r="O40" s="658">
        <f t="shared" si="3"/>
        <v>131.00338279315935</v>
      </c>
      <c r="P40" s="658">
        <f t="shared" si="4"/>
        <v>137.47417305030893</v>
      </c>
      <c r="Q40" s="658">
        <f t="shared" si="5"/>
        <v>99.534883720930239</v>
      </c>
      <c r="R40" s="658">
        <f t="shared" si="6"/>
        <v>107.42924528301887</v>
      </c>
    </row>
    <row r="41" spans="1:18" ht="17.399999999999999">
      <c r="A41" s="653">
        <v>44287</v>
      </c>
      <c r="B41" s="654">
        <v>2021</v>
      </c>
      <c r="C41" s="654">
        <f>'57'!G21</f>
        <v>595.9091176226982</v>
      </c>
      <c r="D41" s="654">
        <v>707.85</v>
      </c>
      <c r="E41" s="659">
        <f t="shared" si="11"/>
        <v>-2.5496647713974974E-2</v>
      </c>
      <c r="F41" s="654">
        <f t="shared" ref="F41:F46" si="13">C41*D41</f>
        <v>421814.26890922693</v>
      </c>
      <c r="G41" s="654">
        <f>'57'!I21*'61'!D41/10</f>
        <v>22921.120000000003</v>
      </c>
      <c r="H41" s="659">
        <f t="shared" si="12"/>
        <v>-2.5025601398018682E-2</v>
      </c>
      <c r="I41" s="655">
        <f>'59'!G22</f>
        <v>1088</v>
      </c>
      <c r="J41" s="655">
        <f>'59'!H22</f>
        <v>920</v>
      </c>
      <c r="K41" s="657">
        <f t="shared" si="0"/>
        <v>100.36829244374944</v>
      </c>
      <c r="L41" s="657">
        <f t="shared" si="1"/>
        <v>100.33971246366958</v>
      </c>
      <c r="M41" s="657">
        <f t="shared" ref="M41" si="14">((I41-I40)/I40)+M40</f>
        <v>100.0239149274859</v>
      </c>
      <c r="N41" s="657">
        <f t="shared" ref="N41" si="15">((J41-J40)/J40)+N40</f>
        <v>100.08504111856642</v>
      </c>
      <c r="O41" s="658">
        <f t="shared" si="3"/>
        <v>132.24202918534391</v>
      </c>
      <c r="P41" s="658">
        <f t="shared" si="4"/>
        <v>134.03379919302967</v>
      </c>
      <c r="Q41" s="658">
        <f t="shared" si="5"/>
        <v>101.20930232558139</v>
      </c>
      <c r="R41" s="658">
        <f t="shared" si="6"/>
        <v>108.49056603773586</v>
      </c>
    </row>
    <row r="42" spans="1:18" ht="17.399999999999999">
      <c r="A42" s="653">
        <v>44317</v>
      </c>
      <c r="B42" s="654">
        <v>2021</v>
      </c>
      <c r="C42" s="654">
        <f>'57'!G22</f>
        <v>550.41993363719439</v>
      </c>
      <c r="D42" s="654">
        <v>712.26</v>
      </c>
      <c r="E42" s="659">
        <f t="shared" si="11"/>
        <v>6.2301335028607241E-3</v>
      </c>
      <c r="F42" s="654">
        <f t="shared" si="13"/>
        <v>392042.10193242808</v>
      </c>
      <c r="G42" s="654">
        <f>'57'!I22*'61'!D42/10</f>
        <v>22360.935483870962</v>
      </c>
      <c r="H42" s="659">
        <f t="shared" si="12"/>
        <v>-2.4439665955635737E-2</v>
      </c>
      <c r="I42" s="655">
        <f>'59'!G23</f>
        <v>1081</v>
      </c>
      <c r="J42" s="655">
        <f>'59'!H23</f>
        <v>918</v>
      </c>
      <c r="K42" s="657">
        <f t="shared" ref="K42" si="16">((F42-F41)/F41)+K41</f>
        <v>100.29771122075338</v>
      </c>
      <c r="L42" s="657">
        <f t="shared" ref="L42" si="17">((G42-G41)/G41)+L41</f>
        <v>100.31527279771394</v>
      </c>
      <c r="M42" s="657">
        <f t="shared" ref="M42" si="18">((I42-I41)/I41)+M41</f>
        <v>100.0174811039565</v>
      </c>
      <c r="N42" s="657">
        <f t="shared" ref="N42" si="19">((J42-J41)/J41)+N41</f>
        <v>100.08286720552294</v>
      </c>
      <c r="O42" s="658">
        <f t="shared" si="3"/>
        <v>122.90822503396272</v>
      </c>
      <c r="P42" s="658">
        <f t="shared" si="4"/>
        <v>130.75805791398727</v>
      </c>
      <c r="Q42" s="658">
        <f t="shared" si="5"/>
        <v>100.55813953488372</v>
      </c>
      <c r="R42" s="658">
        <f t="shared" si="6"/>
        <v>108.25471698113208</v>
      </c>
    </row>
    <row r="43" spans="1:18" ht="17.399999999999999">
      <c r="A43" s="653">
        <v>44348</v>
      </c>
      <c r="B43" s="654">
        <v>2021</v>
      </c>
      <c r="C43" s="654">
        <f>'57'!G23</f>
        <v>628.28779953260755</v>
      </c>
      <c r="D43" s="654">
        <v>726.54</v>
      </c>
      <c r="E43" s="659">
        <f t="shared" si="11"/>
        <v>2.0048858562884408E-2</v>
      </c>
      <c r="F43" s="654">
        <f t="shared" si="13"/>
        <v>456476.21787242068</v>
      </c>
      <c r="G43" s="654">
        <f>'57'!I23*'61'!D43/10</f>
        <v>22596.766666666666</v>
      </c>
      <c r="H43" s="659">
        <f t="shared" si="12"/>
        <v>1.054657051203467E-2</v>
      </c>
      <c r="I43" s="655">
        <f>'59'!G24</f>
        <v>1057</v>
      </c>
      <c r="J43" s="655">
        <f>'59'!H24</f>
        <v>911</v>
      </c>
      <c r="K43" s="657">
        <f>((F43-F42)/F42)+K42</f>
        <v>100.46206631328653</v>
      </c>
      <c r="L43" s="657">
        <f>((G43-G42)/G42)+L42</f>
        <v>100.32581936822598</v>
      </c>
      <c r="M43" s="657">
        <f t="shared" ref="M43:N44" si="20">((I43-I42)/I42)+M42</f>
        <v>99.995279438831616</v>
      </c>
      <c r="N43" s="657">
        <f t="shared" si="20"/>
        <v>100.07524193319179</v>
      </c>
      <c r="O43" s="658">
        <f t="shared" si="3"/>
        <v>143.10881773250418</v>
      </c>
      <c r="P43" s="658">
        <f t="shared" si="4"/>
        <v>132.13710699179384</v>
      </c>
      <c r="Q43" s="658">
        <f t="shared" si="5"/>
        <v>98.325581395348834</v>
      </c>
      <c r="R43" s="658">
        <f t="shared" si="6"/>
        <v>107.42924528301887</v>
      </c>
    </row>
    <row r="44" spans="1:18" ht="17.399999999999999">
      <c r="A44" s="653">
        <v>44378</v>
      </c>
      <c r="B44" s="654">
        <v>2021</v>
      </c>
      <c r="C44" s="654">
        <f>'57'!G24</f>
        <v>590.01634891700269</v>
      </c>
      <c r="D44" s="654">
        <v>750.44</v>
      </c>
      <c r="E44" s="659">
        <f t="shared" si="11"/>
        <v>3.2895642359677568E-2</v>
      </c>
      <c r="F44" s="654">
        <f t="shared" si="13"/>
        <v>442771.86888127553</v>
      </c>
      <c r="G44" s="654">
        <f>'57'!I24*'61'!D44/10</f>
        <v>23008.870967741936</v>
      </c>
      <c r="H44" s="659">
        <f t="shared" si="12"/>
        <v>1.8237312760465807E-2</v>
      </c>
      <c r="I44" s="655">
        <f>'59'!G25</f>
        <v>1082</v>
      </c>
      <c r="J44" s="655">
        <f>'59'!H25</f>
        <v>916</v>
      </c>
      <c r="K44" s="657">
        <f>((F44-F43)/F43)+K43</f>
        <v>100.43204426952043</v>
      </c>
      <c r="L44" s="657">
        <f>((G44-G43)/G43)+L43</f>
        <v>100.34405668098644</v>
      </c>
      <c r="M44" s="657">
        <f t="shared" si="20"/>
        <v>100.01893128367551</v>
      </c>
      <c r="N44" s="657">
        <f t="shared" si="20"/>
        <v>100.08073040739596</v>
      </c>
      <c r="O44" s="658">
        <f t="shared" si="3"/>
        <v>138.81239854322553</v>
      </c>
      <c r="P44" s="658">
        <f t="shared" si="4"/>
        <v>134.54693273926631</v>
      </c>
      <c r="Q44" s="658">
        <f t="shared" si="5"/>
        <v>100.65116279069768</v>
      </c>
      <c r="R44" s="658">
        <f t="shared" si="6"/>
        <v>108.01886792452831</v>
      </c>
    </row>
    <row r="45" spans="1:18" ht="17.399999999999999">
      <c r="A45" s="653">
        <v>44409</v>
      </c>
      <c r="B45" s="654">
        <v>2021</v>
      </c>
      <c r="C45" s="654">
        <f>'57'!G25</f>
        <v>602.79229418600823</v>
      </c>
      <c r="D45" s="654">
        <v>779.83</v>
      </c>
      <c r="E45" s="659">
        <f t="shared" si="11"/>
        <v>3.9163690634827608E-2</v>
      </c>
      <c r="F45" s="654">
        <f t="shared" si="13"/>
        <v>470075.51477507484</v>
      </c>
      <c r="G45" s="654">
        <f>'57'!I25*'61'!D45/10</f>
        <v>23772.137931034482</v>
      </c>
      <c r="H45" s="659">
        <f t="shared" si="12"/>
        <v>3.317272561363982E-2</v>
      </c>
      <c r="I45" s="655">
        <f>'59'!G26</f>
        <v>1108</v>
      </c>
      <c r="J45" s="655">
        <f>'59'!H26</f>
        <v>911</v>
      </c>
      <c r="K45" s="657">
        <f t="shared" ref="K45" si="21">((F45-F44)/F44)+K44</f>
        <v>100.49370953737673</v>
      </c>
      <c r="L45" s="657">
        <f t="shared" ref="L45" si="22">((G45-G44)/G44)+L44</f>
        <v>100.37722940660008</v>
      </c>
      <c r="M45" s="657">
        <f t="shared" ref="M45" si="23">((I45-I44)/I44)+M44</f>
        <v>100.04296085853689</v>
      </c>
      <c r="N45" s="657">
        <f t="shared" ref="N45" si="24">((J45-J44)/J44)+N44</f>
        <v>100.07527189211211</v>
      </c>
      <c r="O45" s="658">
        <f t="shared" si="3"/>
        <v>147.37230228116925</v>
      </c>
      <c r="P45" s="658">
        <f t="shared" si="4"/>
        <v>139.01022122118286</v>
      </c>
      <c r="Q45" s="658">
        <f t="shared" si="5"/>
        <v>103.06976744186048</v>
      </c>
      <c r="R45" s="658">
        <f t="shared" si="6"/>
        <v>107.42924528301887</v>
      </c>
    </row>
    <row r="46" spans="1:18" ht="17.399999999999999">
      <c r="A46" s="653">
        <v>44440</v>
      </c>
      <c r="B46" s="654">
        <v>2022</v>
      </c>
      <c r="C46" s="654">
        <f>'57'!G26</f>
        <v>588.77641975476865</v>
      </c>
      <c r="D46" s="654">
        <v>783.63</v>
      </c>
      <c r="E46" s="659">
        <f t="shared" si="11"/>
        <v>4.8728569047098436E-3</v>
      </c>
      <c r="F46" s="654">
        <f t="shared" si="13"/>
        <v>461382.86581242934</v>
      </c>
      <c r="G46" s="654">
        <f>'57'!I26*'61'!D46/10</f>
        <v>23537.566666666666</v>
      </c>
      <c r="H46" s="659">
        <f t="shared" si="12"/>
        <v>-9.8674870997439434E-3</v>
      </c>
      <c r="I46" s="655">
        <f>'59'!G27</f>
        <v>1130</v>
      </c>
      <c r="J46" s="655">
        <f>'59'!H27</f>
        <v>913</v>
      </c>
      <c r="K46" s="657">
        <f t="shared" ref="K46" si="25">((F46-F45)/F45)+K45</f>
        <v>100.47521751069289</v>
      </c>
      <c r="L46" s="657">
        <f t="shared" ref="L46" si="26">((G46-G45)/G45)+L45</f>
        <v>100.36736191950034</v>
      </c>
      <c r="M46" s="657">
        <f t="shared" ref="M46" si="27">((I46-I45)/I45)+M45</f>
        <v>100.06281645420475</v>
      </c>
      <c r="N46" s="657">
        <f t="shared" ref="N46" si="28">((J46-J45)/J45)+N45</f>
        <v>100.07746728179379</v>
      </c>
      <c r="O46" s="658">
        <f t="shared" si="3"/>
        <v>144.6470897349254</v>
      </c>
      <c r="P46" s="658">
        <f t="shared" si="4"/>
        <v>137.63853965655028</v>
      </c>
      <c r="Q46" s="658">
        <f t="shared" si="5"/>
        <v>105.11627906976744</v>
      </c>
      <c r="R46" s="658">
        <f t="shared" si="6"/>
        <v>107.66509433962264</v>
      </c>
    </row>
    <row r="47" spans="1:18" ht="17.399999999999999">
      <c r="A47" s="653">
        <v>44470</v>
      </c>
      <c r="B47" s="654">
        <v>2022</v>
      </c>
      <c r="C47" s="654">
        <f>'57'!G27</f>
        <v>565.97413856195249</v>
      </c>
      <c r="D47" s="654">
        <v>813.95</v>
      </c>
      <c r="E47" s="659">
        <f t="shared" si="11"/>
        <v>3.8691729515204942E-2</v>
      </c>
      <c r="F47" s="654">
        <f t="shared" ref="F47" si="29">C47*D47</f>
        <v>460674.65008250123</v>
      </c>
      <c r="G47" s="654">
        <f>'57'!I27*'61'!D47/10</f>
        <v>24002.258064516129</v>
      </c>
      <c r="H47" s="659">
        <f t="shared" si="12"/>
        <v>1.974254197259695E-2</v>
      </c>
      <c r="I47" s="655">
        <f>'59'!G28</f>
        <v>1139</v>
      </c>
      <c r="J47" s="655">
        <f>'59'!H28</f>
        <v>916</v>
      </c>
      <c r="K47" s="657">
        <f t="shared" ref="K47" si="30">((F47-F46)/F46)+K46</f>
        <v>100.47368252579768</v>
      </c>
      <c r="L47" s="657">
        <f t="shared" ref="L47" si="31">((G47-G46)/G46)+L46</f>
        <v>100.38710446147293</v>
      </c>
      <c r="M47" s="657">
        <f t="shared" ref="M47" si="32">((I47-I46)/I46)+M46</f>
        <v>100.07078105597466</v>
      </c>
      <c r="N47" s="657">
        <f t="shared" ref="N47" si="33">((J47-J46)/J46)+N46</f>
        <v>100.08075315254953</v>
      </c>
      <c r="O47" s="658">
        <f t="shared" si="3"/>
        <v>144.42505863704702</v>
      </c>
      <c r="P47" s="658">
        <f t="shared" si="4"/>
        <v>140.35587430276667</v>
      </c>
      <c r="Q47" s="658">
        <f t="shared" si="5"/>
        <v>105.95348837209302</v>
      </c>
      <c r="R47" s="658">
        <f t="shared" si="6"/>
        <v>108.01886792452831</v>
      </c>
    </row>
    <row r="48" spans="1:18" ht="17.399999999999999">
      <c r="A48" s="653">
        <v>44501</v>
      </c>
      <c r="B48" s="654">
        <v>2022</v>
      </c>
      <c r="C48" s="654">
        <f>'57'!G28</f>
        <v>601.55447686894615</v>
      </c>
      <c r="D48" s="654">
        <v>836.69</v>
      </c>
      <c r="E48" s="659">
        <f t="shared" si="11"/>
        <v>2.7937834019288621E-2</v>
      </c>
      <c r="F48" s="654">
        <f t="shared" ref="F48" si="34">C48*D48</f>
        <v>503314.61525147856</v>
      </c>
      <c r="G48" s="654">
        <f>'57'!I28*'61'!D48/10</f>
        <v>22974.800000000003</v>
      </c>
      <c r="H48" s="659">
        <f t="shared" si="12"/>
        <v>-4.280672517370665E-2</v>
      </c>
      <c r="I48" s="655">
        <f>'59'!G29</f>
        <v>1158</v>
      </c>
      <c r="J48" s="655">
        <f>'59'!H29</f>
        <v>922</v>
      </c>
      <c r="K48" s="657">
        <f t="shared" ref="K48" si="35">((F48-F47)/F47)+K47</f>
        <v>100.56624235117845</v>
      </c>
      <c r="L48" s="657">
        <f t="shared" ref="L48" si="36">((G48-G47)/G47)+L47</f>
        <v>100.34429773629923</v>
      </c>
      <c r="M48" s="657">
        <f t="shared" ref="M48" si="37">((I48-I47)/I47)+M47</f>
        <v>100.08746235536009</v>
      </c>
      <c r="N48" s="657">
        <f t="shared" ref="N48" si="38">((J48-J47)/J47)+N47</f>
        <v>100.08730337089014</v>
      </c>
      <c r="O48" s="658">
        <f t="shared" si="3"/>
        <v>157.79301684509758</v>
      </c>
      <c r="P48" s="658">
        <f t="shared" si="4"/>
        <v>134.34769896497284</v>
      </c>
      <c r="Q48" s="658">
        <f t="shared" si="5"/>
        <v>107.72093023255813</v>
      </c>
      <c r="R48" s="658">
        <f t="shared" si="6"/>
        <v>108.72641509433963</v>
      </c>
    </row>
    <row r="49" spans="1:18" ht="17.399999999999999">
      <c r="A49" s="653">
        <v>44531</v>
      </c>
      <c r="B49" s="654">
        <v>2022</v>
      </c>
      <c r="C49" s="654">
        <f>'57'!G29</f>
        <v>590.44644989820915</v>
      </c>
      <c r="D49" s="654">
        <v>849.12</v>
      </c>
      <c r="E49" s="659">
        <f t="shared" si="11"/>
        <v>1.4856159389977197E-2</v>
      </c>
      <c r="F49" s="654">
        <f t="shared" ref="F49" si="39">C49*D49</f>
        <v>501359.88953756733</v>
      </c>
      <c r="G49" s="654">
        <f>'57'!I29*'61'!D49/10</f>
        <v>23369.677419354837</v>
      </c>
      <c r="H49" s="659">
        <f t="shared" si="12"/>
        <v>1.7187414878685914E-2</v>
      </c>
      <c r="I49" s="655">
        <f>'59'!G30</f>
        <v>1184</v>
      </c>
      <c r="J49" s="655">
        <f>'59'!H30</f>
        <v>929</v>
      </c>
      <c r="K49" s="657">
        <f t="shared" ref="K49" si="40">((F49-F48)/F48)+K48</f>
        <v>100.56235864572925</v>
      </c>
      <c r="L49" s="657">
        <f t="shared" ref="L49" si="41">((G49-G48)/G48)+L48</f>
        <v>100.36148515117792</v>
      </c>
      <c r="M49" s="657">
        <f t="shared" ref="M49" si="42">((I49-I48)/I48)+M48</f>
        <v>100.10991485967787</v>
      </c>
      <c r="N49" s="657">
        <f>((J49-J48)/J48)+N48</f>
        <v>100.09489556177951</v>
      </c>
      <c r="O49" s="658">
        <f t="shared" si="3"/>
        <v>157.18019524573151</v>
      </c>
      <c r="P49" s="658">
        <f t="shared" si="4"/>
        <v>136.65678860508061</v>
      </c>
      <c r="Q49" s="658">
        <f t="shared" si="5"/>
        <v>110.13953488372093</v>
      </c>
      <c r="R49" s="658">
        <f t="shared" si="6"/>
        <v>109.55188679245282</v>
      </c>
    </row>
    <row r="50" spans="1:18" ht="17.399999999999999">
      <c r="A50" s="653">
        <v>44562</v>
      </c>
      <c r="B50" s="654">
        <v>2022</v>
      </c>
      <c r="C50" s="654">
        <f>'57'!G30</f>
        <v>558.27043492401322</v>
      </c>
      <c r="D50" s="654">
        <v>822.05</v>
      </c>
      <c r="E50" s="659">
        <f t="shared" si="11"/>
        <v>-3.1880064066327596E-2</v>
      </c>
      <c r="F50" s="654">
        <f t="shared" ref="F50" si="43">C50*D50</f>
        <v>458926.21102928504</v>
      </c>
      <c r="G50" s="654">
        <f>'57'!I30*'61'!D50/10</f>
        <v>21899.566666666666</v>
      </c>
      <c r="H50" s="659">
        <f t="shared" si="12"/>
        <v>-6.2906762738223376E-2</v>
      </c>
      <c r="I50" s="655">
        <f>'59'!G31</f>
        <v>1195</v>
      </c>
      <c r="J50" s="655">
        <f>'59'!H31</f>
        <v>901</v>
      </c>
      <c r="K50" s="657">
        <f t="shared" ref="K50" si="44">((F50-F49)/F49)+K49</f>
        <v>100.47772148309659</v>
      </c>
      <c r="L50" s="657">
        <f t="shared" ref="L50" si="45">((G50-G49)/G49)+L49</f>
        <v>100.29857838843969</v>
      </c>
      <c r="M50" s="657">
        <f t="shared" ref="M50" si="46">((I50-I49)/I49)+M49</f>
        <v>100.11920540021842</v>
      </c>
      <c r="N50" s="657">
        <f t="shared" ref="N50" si="47">((J50-J49)/J49)+N49</f>
        <v>100.06475562636508</v>
      </c>
      <c r="O50" s="658">
        <f t="shared" si="3"/>
        <v>143.87690949808567</v>
      </c>
      <c r="P50" s="658">
        <f t="shared" si="4"/>
        <v>128.06015242773327</v>
      </c>
      <c r="Q50" s="658">
        <f t="shared" si="5"/>
        <v>111.16279069767442</v>
      </c>
      <c r="R50" s="658">
        <f t="shared" si="6"/>
        <v>106.25</v>
      </c>
    </row>
    <row r="51" spans="1:18" ht="17.399999999999999">
      <c r="A51" s="653">
        <v>44593</v>
      </c>
      <c r="B51" s="654">
        <v>2022</v>
      </c>
      <c r="C51" s="654">
        <f>'57'!G31</f>
        <v>546.3050779635397</v>
      </c>
      <c r="D51" s="654">
        <v>807.07</v>
      </c>
      <c r="E51" s="659">
        <f t="shared" si="11"/>
        <v>-1.8222735843318461E-2</v>
      </c>
      <c r="F51" s="654">
        <f>C51*D51</f>
        <v>440906.43927203404</v>
      </c>
      <c r="G51" s="654">
        <f>'57'!I31*'61'!D51/10</f>
        <v>22133</v>
      </c>
      <c r="H51" s="659">
        <f t="shared" si="12"/>
        <v>1.0659267230554104E-2</v>
      </c>
      <c r="I51" s="655">
        <f>'59'!G32</f>
        <v>1158</v>
      </c>
      <c r="J51" s="655">
        <f>'59'!H32</f>
        <v>922</v>
      </c>
      <c r="K51" s="657">
        <f>((F51-F50)/F50)+K50</f>
        <v>100.4384564088337</v>
      </c>
      <c r="L51" s="657">
        <f>((G51-G50)/G50)+L50</f>
        <v>100.30923765567024</v>
      </c>
      <c r="M51" s="657">
        <f t="shared" ref="M51" si="48">((I51-I50)/I50)+M50</f>
        <v>100.08824305712218</v>
      </c>
      <c r="N51" s="657">
        <f t="shared" ref="N51" si="49">((J51-J50)/J50)+N50</f>
        <v>100.08806306254711</v>
      </c>
      <c r="O51" s="658">
        <f t="shared" si="3"/>
        <v>138.22757196192839</v>
      </c>
      <c r="P51" s="658">
        <f t="shared" si="4"/>
        <v>129.42517981404595</v>
      </c>
      <c r="Q51" s="658">
        <f t="shared" si="5"/>
        <v>107.72093023255813</v>
      </c>
      <c r="R51" s="658">
        <f t="shared" si="6"/>
        <v>108.72641509433963</v>
      </c>
    </row>
    <row r="52" spans="1:18" ht="17.399999999999999">
      <c r="A52" s="653">
        <v>44621</v>
      </c>
      <c r="B52" s="654">
        <v>2022</v>
      </c>
      <c r="C52" s="654">
        <f>'57'!G32</f>
        <v>545.80731285261425</v>
      </c>
      <c r="D52" s="654">
        <v>799.19</v>
      </c>
      <c r="E52" s="659">
        <f>D52/D51-1</f>
        <v>-9.7637131847299052E-3</v>
      </c>
      <c r="F52" s="654">
        <f>C52*D52</f>
        <v>436203.74635868083</v>
      </c>
      <c r="G52" s="654">
        <f>'57'!I32*'61'!D52/10</f>
        <v>23528.290322580644</v>
      </c>
      <c r="H52" s="659">
        <f>G52/G51-1</f>
        <v>6.3041174833083913E-2</v>
      </c>
      <c r="I52" s="655">
        <f>'59'!G33</f>
        <v>1224</v>
      </c>
      <c r="J52" s="655">
        <f>'59'!H33</f>
        <v>951</v>
      </c>
      <c r="K52" s="657">
        <f t="shared" ref="K52:K53" si="50">((F52-F51)/F51)+K51</f>
        <v>100.42779044323538</v>
      </c>
      <c r="L52" s="657">
        <f t="shared" ref="L52:L53" si="51">((G52-G51)/G51)+L51</f>
        <v>100.37227883050333</v>
      </c>
      <c r="M52" s="657">
        <f t="shared" ref="M52:M53" si="52">((I52-I51)/I51)+M51</f>
        <v>100.14523787577504</v>
      </c>
      <c r="N52" s="657">
        <f t="shared" ref="N52" si="53">((J52-J51)/J51)+N51</f>
        <v>100.11951642480307</v>
      </c>
      <c r="O52" s="658">
        <f>$O$2+(F52/$F$2-1)*100</f>
        <v>136.7532414346432</v>
      </c>
      <c r="P52" s="658">
        <f t="shared" si="4"/>
        <v>137.58429520250655</v>
      </c>
      <c r="Q52" s="658">
        <f t="shared" si="5"/>
        <v>113.86046511627907</v>
      </c>
      <c r="R52" s="658">
        <f t="shared" si="6"/>
        <v>112.14622641509433</v>
      </c>
    </row>
    <row r="53" spans="1:18" ht="17.399999999999999">
      <c r="A53" s="653">
        <v>44652</v>
      </c>
      <c r="B53" s="654">
        <v>2022</v>
      </c>
      <c r="C53" s="654">
        <f>'57'!G33</f>
        <v>549.72457402147984</v>
      </c>
      <c r="D53" s="654">
        <v>815.12</v>
      </c>
      <c r="E53" s="659">
        <f>D53/D52-1</f>
        <v>1.9932681840363342E-2</v>
      </c>
      <c r="F53" s="654">
        <f>C53*D53</f>
        <v>448091.49477638863</v>
      </c>
      <c r="G53" s="654">
        <f>'57'!I33*'61'!D53/10</f>
        <v>24813.696162693675</v>
      </c>
      <c r="H53" s="659">
        <f>G53/G52-1</f>
        <v>5.4632352053195943E-2</v>
      </c>
      <c r="I53" s="655">
        <f>'59'!G34</f>
        <v>1341</v>
      </c>
      <c r="J53" s="655">
        <f>'59'!H34</f>
        <v>951</v>
      </c>
      <c r="K53" s="657">
        <f t="shared" si="50"/>
        <v>100.45504318582859</v>
      </c>
      <c r="L53" s="657">
        <f t="shared" si="51"/>
        <v>100.42691118255652</v>
      </c>
      <c r="M53" s="657">
        <f t="shared" si="52"/>
        <v>100.24082611106915</v>
      </c>
      <c r="N53" s="657">
        <f>((J53-J52)/J52)+N52</f>
        <v>100.11951642480307</v>
      </c>
      <c r="O53" s="658">
        <f>$O$2+(F53/$F$2-1)*100</f>
        <v>140.48014232224889</v>
      </c>
      <c r="P53" s="658">
        <f t="shared" ref="P53" si="54">$P$2+(G53/$G$2-1)*100</f>
        <v>145.10084885500075</v>
      </c>
      <c r="Q53" s="658">
        <f t="shared" ref="Q53" si="55">$Q$2+(I53/$I$2-1)*100</f>
        <v>124.74418604651163</v>
      </c>
      <c r="R53" s="658">
        <f t="shared" ref="R53" si="56">$R$2+(J53/$J$2-1)*100</f>
        <v>112.14622641509433</v>
      </c>
    </row>
    <row r="54" spans="1:18" ht="17.399999999999999">
      <c r="A54" s="653">
        <v>44682</v>
      </c>
      <c r="B54" s="654">
        <v>2022</v>
      </c>
      <c r="C54" s="654">
        <f>'57'!G34</f>
        <v>564.81641387732293</v>
      </c>
      <c r="D54" s="654">
        <v>849.39</v>
      </c>
      <c r="E54" s="659">
        <f>D54/D53-1</f>
        <v>4.2042889390519145E-2</v>
      </c>
      <c r="F54" s="654">
        <f>C54*D54</f>
        <v>479749.41378325934</v>
      </c>
      <c r="G54" s="654">
        <f>'57'!I34*'61'!D54/10</f>
        <v>25178.87020352346</v>
      </c>
      <c r="H54" s="659">
        <f>G54/G53-1</f>
        <v>1.4716632235499461E-2</v>
      </c>
      <c r="I54" s="655">
        <f>'59'!G35</f>
        <v>1353</v>
      </c>
      <c r="J54" s="655">
        <f>'59'!H35</f>
        <v>992</v>
      </c>
      <c r="K54" s="657">
        <f t="shared" ref="K54" si="57">((F54-F53)/F53)+K53</f>
        <v>100.52569375468768</v>
      </c>
      <c r="L54" s="657">
        <f t="shared" ref="L54" si="58">((G54-G53)/G53)+L53</f>
        <v>100.44162781479203</v>
      </c>
      <c r="M54" s="657">
        <f t="shared" ref="M54" si="59">((I54-I53)/I53)+M53</f>
        <v>100.24977465693046</v>
      </c>
      <c r="N54" s="657">
        <f>((J54-J53)/J53)+N53</f>
        <v>100.16262893794712</v>
      </c>
      <c r="O54" s="658">
        <f>$O$2+(F54/$F$2-1)*100</f>
        <v>150.40514429072135</v>
      </c>
      <c r="P54" s="658">
        <f t="shared" ref="P54" si="60">$P$2+(G54/$G$2-1)*100</f>
        <v>147.23624468465857</v>
      </c>
      <c r="Q54" s="658">
        <f t="shared" ref="Q54" si="61">$Q$2+(I54/$I$2-1)*100</f>
        <v>125.86046511627906</v>
      </c>
      <c r="R54" s="658">
        <f t="shared" ref="R54" si="62">$R$2+(J54/$J$2-1)*100</f>
        <v>116.98113207547169</v>
      </c>
    </row>
    <row r="55" spans="1:18" ht="17.399999999999999">
      <c r="A55" s="654"/>
      <c r="B55" s="654"/>
      <c r="C55" s="654"/>
      <c r="D55" s="654"/>
      <c r="E55" s="654"/>
      <c r="F55" s="654"/>
      <c r="G55" s="654"/>
      <c r="H55" s="654"/>
      <c r="I55" s="655"/>
      <c r="J55" s="655"/>
      <c r="K55" s="655"/>
      <c r="L55" s="655"/>
      <c r="M55" s="655"/>
      <c r="N55" s="655"/>
    </row>
    <row r="56" spans="1:18" ht="17.399999999999999">
      <c r="A56" s="654"/>
      <c r="B56" s="654"/>
      <c r="C56" s="654"/>
      <c r="D56" s="654"/>
      <c r="E56" s="654"/>
      <c r="F56" s="654"/>
      <c r="G56" s="654"/>
      <c r="H56" s="654"/>
      <c r="I56" s="655"/>
      <c r="J56" s="655"/>
      <c r="K56" s="655"/>
      <c r="L56" s="655"/>
      <c r="M56" s="655"/>
      <c r="N56" s="655"/>
    </row>
    <row r="57" spans="1:18" ht="17.399999999999999">
      <c r="A57" s="654"/>
      <c r="B57" s="654"/>
      <c r="C57" s="654"/>
      <c r="D57" s="654"/>
      <c r="E57" s="654"/>
      <c r="F57" s="654"/>
      <c r="G57" s="654"/>
      <c r="H57" s="654"/>
      <c r="I57" s="655"/>
      <c r="J57" s="655"/>
      <c r="K57" s="655"/>
      <c r="L57" s="655"/>
      <c r="M57" s="655"/>
      <c r="N57" s="655"/>
    </row>
    <row r="58" spans="1:18" ht="17.399999999999999">
      <c r="A58" s="654"/>
      <c r="B58" s="654"/>
      <c r="C58" s="654"/>
      <c r="D58" s="654"/>
      <c r="E58" s="654"/>
      <c r="F58" s="654"/>
      <c r="G58" s="654"/>
      <c r="H58" s="654"/>
      <c r="I58" s="655"/>
      <c r="J58" s="655"/>
      <c r="K58" s="655"/>
      <c r="L58" s="655"/>
      <c r="M58" s="655"/>
      <c r="N58" s="655"/>
    </row>
    <row r="59" spans="1:18" ht="17.399999999999999">
      <c r="A59" s="654"/>
      <c r="B59" s="654"/>
      <c r="C59" s="654"/>
      <c r="D59" s="654"/>
      <c r="E59" s="654"/>
      <c r="F59" s="654"/>
      <c r="G59" s="654"/>
      <c r="H59" s="654"/>
      <c r="I59" s="655"/>
      <c r="J59" s="655"/>
      <c r="K59" s="655"/>
      <c r="L59" s="655"/>
      <c r="M59" s="655"/>
      <c r="N59" s="655"/>
    </row>
    <row r="60" spans="1:18" ht="17.399999999999999">
      <c r="A60" s="654"/>
      <c r="B60" s="654"/>
      <c r="C60" s="654"/>
      <c r="D60" s="654"/>
      <c r="E60" s="654"/>
      <c r="F60" s="654"/>
      <c r="G60" s="654"/>
      <c r="H60" s="654"/>
      <c r="I60" s="655"/>
      <c r="J60" s="655"/>
      <c r="K60" s="655"/>
      <c r="L60" s="655"/>
      <c r="M60" s="655"/>
      <c r="N60" s="655"/>
    </row>
    <row r="61" spans="1:18" ht="17.399999999999999">
      <c r="A61" s="654"/>
      <c r="B61" s="654"/>
      <c r="C61" s="654"/>
      <c r="D61" s="654"/>
      <c r="E61" s="654"/>
      <c r="F61" s="654"/>
      <c r="G61" s="654"/>
      <c r="H61" s="654"/>
      <c r="I61" s="655"/>
      <c r="J61" s="655"/>
      <c r="K61" s="655"/>
      <c r="L61" s="655"/>
      <c r="M61" s="655"/>
      <c r="N61" s="655"/>
    </row>
    <row r="62" spans="1:18" ht="17.399999999999999">
      <c r="A62" s="654"/>
      <c r="B62" s="654"/>
      <c r="C62" s="654"/>
      <c r="D62" s="654"/>
      <c r="E62" s="654"/>
      <c r="F62" s="654"/>
      <c r="G62" s="654"/>
      <c r="H62" s="654"/>
      <c r="I62" s="655"/>
      <c r="J62" s="655"/>
      <c r="K62" s="655"/>
      <c r="L62" s="655"/>
      <c r="M62" s="655"/>
      <c r="N62" s="655"/>
    </row>
    <row r="63" spans="1:18" ht="17.399999999999999">
      <c r="A63" s="654"/>
      <c r="B63" s="654"/>
      <c r="C63" s="654"/>
      <c r="D63" s="654"/>
      <c r="E63" s="654"/>
      <c r="F63" s="654"/>
      <c r="G63" s="654"/>
      <c r="H63" s="654"/>
      <c r="I63" s="655"/>
      <c r="J63" s="655"/>
      <c r="K63" s="655"/>
      <c r="L63" s="655"/>
      <c r="M63" s="655"/>
      <c r="N63" s="655"/>
    </row>
    <row r="64" spans="1:18" ht="17.399999999999999">
      <c r="A64" s="654"/>
      <c r="B64" s="654"/>
      <c r="C64" s="654"/>
      <c r="D64" s="654"/>
      <c r="E64" s="654"/>
      <c r="F64" s="654"/>
      <c r="G64" s="654"/>
      <c r="H64" s="654"/>
      <c r="I64" s="655"/>
      <c r="J64" s="655"/>
      <c r="K64" s="655"/>
      <c r="L64" s="655"/>
      <c r="M64" s="655"/>
      <c r="N64" s="655"/>
    </row>
    <row r="65" spans="1:14" ht="17.399999999999999">
      <c r="A65" s="655"/>
      <c r="B65" s="655"/>
      <c r="C65" s="655"/>
      <c r="D65" s="655"/>
      <c r="E65" s="655"/>
      <c r="F65" s="655"/>
      <c r="G65" s="655"/>
      <c r="H65" s="655"/>
      <c r="I65" s="655"/>
      <c r="J65" s="655"/>
      <c r="K65" s="655"/>
      <c r="L65" s="655"/>
      <c r="M65" s="655"/>
      <c r="N65" s="655"/>
    </row>
    <row r="66" spans="1:14" ht="17.399999999999999">
      <c r="A66" s="655"/>
      <c r="B66" s="655"/>
      <c r="C66" s="655"/>
      <c r="D66" s="655"/>
      <c r="E66" s="655"/>
      <c r="F66" s="655"/>
      <c r="G66" s="655"/>
      <c r="H66" s="655"/>
      <c r="I66" s="655"/>
      <c r="J66" s="655"/>
      <c r="K66" s="655"/>
      <c r="L66" s="655"/>
      <c r="M66" s="655"/>
      <c r="N66" s="655"/>
    </row>
    <row r="67" spans="1:14" ht="17.399999999999999">
      <c r="A67" s="655"/>
      <c r="B67" s="655"/>
      <c r="C67" s="655"/>
      <c r="D67" s="655"/>
      <c r="E67" s="655"/>
      <c r="F67" s="655"/>
      <c r="G67" s="655"/>
      <c r="H67" s="655"/>
      <c r="I67" s="655"/>
      <c r="J67" s="655"/>
      <c r="K67" s="655"/>
      <c r="L67" s="655"/>
      <c r="M67" s="655"/>
      <c r="N67" s="655"/>
    </row>
    <row r="68" spans="1:14" ht="17.399999999999999">
      <c r="A68" s="655"/>
      <c r="B68" s="655"/>
      <c r="C68" s="655"/>
      <c r="D68" s="655"/>
      <c r="E68" s="655"/>
      <c r="F68" s="655"/>
      <c r="G68" s="655"/>
      <c r="H68" s="655"/>
      <c r="I68" s="655"/>
      <c r="J68" s="655"/>
      <c r="K68" s="655"/>
      <c r="L68" s="655"/>
      <c r="M68" s="655"/>
      <c r="N68" s="655"/>
    </row>
    <row r="69" spans="1:14" ht="17.399999999999999">
      <c r="A69" s="655"/>
      <c r="B69" s="655"/>
      <c r="C69" s="655"/>
      <c r="D69" s="655"/>
      <c r="E69" s="655"/>
      <c r="F69" s="655"/>
      <c r="G69" s="655"/>
      <c r="H69" s="655"/>
      <c r="I69" s="655"/>
      <c r="J69" s="655"/>
      <c r="K69" s="655"/>
      <c r="L69" s="655"/>
      <c r="M69" s="655"/>
      <c r="N69" s="655"/>
    </row>
    <row r="70" spans="1:14" ht="17.399999999999999">
      <c r="A70" s="655"/>
      <c r="B70" s="655"/>
      <c r="C70" s="655"/>
      <c r="D70" s="655"/>
      <c r="E70" s="655"/>
      <c r="F70" s="655"/>
      <c r="G70" s="655"/>
      <c r="H70" s="655"/>
      <c r="I70" s="655"/>
      <c r="J70" s="655"/>
      <c r="K70" s="655"/>
      <c r="L70" s="655"/>
      <c r="M70" s="655"/>
      <c r="N70" s="655"/>
    </row>
    <row r="71" spans="1:14" ht="17.399999999999999">
      <c r="A71" s="655"/>
      <c r="B71" s="655"/>
      <c r="C71" s="655"/>
      <c r="D71" s="655"/>
      <c r="E71" s="655"/>
      <c r="F71" s="655"/>
      <c r="G71" s="655"/>
      <c r="H71" s="655"/>
      <c r="I71" s="655"/>
      <c r="J71" s="655"/>
      <c r="K71" s="655"/>
      <c r="L71" s="655"/>
      <c r="M71" s="655"/>
      <c r="N71" s="655"/>
    </row>
    <row r="72" spans="1:14" ht="17.399999999999999">
      <c r="A72" s="655"/>
      <c r="B72" s="655"/>
      <c r="C72" s="655"/>
      <c r="D72" s="655"/>
      <c r="E72" s="655"/>
      <c r="F72" s="655"/>
      <c r="G72" s="655"/>
      <c r="H72" s="655"/>
      <c r="I72" s="655"/>
      <c r="J72" s="655"/>
      <c r="K72" s="655"/>
      <c r="L72" s="655"/>
      <c r="M72" s="655"/>
      <c r="N72" s="655"/>
    </row>
    <row r="73" spans="1:14" ht="17.399999999999999">
      <c r="A73" s="655"/>
      <c r="B73" s="655"/>
      <c r="C73" s="655"/>
      <c r="D73" s="655"/>
      <c r="E73" s="655"/>
      <c r="F73" s="655"/>
      <c r="G73" s="655"/>
      <c r="H73" s="655"/>
      <c r="I73" s="655"/>
      <c r="J73" s="655"/>
      <c r="K73" s="655"/>
      <c r="L73" s="655"/>
      <c r="M73" s="655"/>
      <c r="N73" s="655"/>
    </row>
    <row r="74" spans="1:14" ht="17.399999999999999">
      <c r="A74" s="655"/>
      <c r="B74" s="655"/>
      <c r="C74" s="655"/>
      <c r="D74" s="655"/>
      <c r="E74" s="655"/>
      <c r="F74" s="655"/>
      <c r="G74" s="655"/>
      <c r="H74" s="655"/>
      <c r="I74" s="655"/>
      <c r="J74" s="655"/>
      <c r="K74" s="655"/>
      <c r="L74" s="655"/>
      <c r="M74" s="655"/>
      <c r="N74" s="655"/>
    </row>
    <row r="75" spans="1:14" ht="17.399999999999999">
      <c r="A75" s="655"/>
      <c r="B75" s="655"/>
      <c r="C75" s="655"/>
      <c r="D75" s="655"/>
      <c r="E75" s="655"/>
      <c r="F75" s="655"/>
      <c r="G75" s="655"/>
      <c r="H75" s="655"/>
      <c r="I75" s="655"/>
      <c r="J75" s="655"/>
      <c r="K75" s="655"/>
      <c r="L75" s="655"/>
      <c r="M75" s="655"/>
      <c r="N75" s="655"/>
    </row>
    <row r="76" spans="1:14" ht="17.399999999999999">
      <c r="A76" s="655"/>
      <c r="B76" s="655"/>
      <c r="C76" s="655"/>
      <c r="D76" s="655"/>
      <c r="E76" s="655"/>
      <c r="F76" s="655"/>
      <c r="G76" s="655"/>
      <c r="H76" s="655"/>
      <c r="I76" s="655"/>
      <c r="J76" s="655"/>
      <c r="K76" s="655"/>
      <c r="L76" s="655"/>
      <c r="M76" s="655"/>
      <c r="N76" s="655"/>
    </row>
    <row r="77" spans="1:14" ht="17.399999999999999">
      <c r="A77" s="655"/>
      <c r="B77" s="655"/>
      <c r="C77" s="655"/>
      <c r="D77" s="655"/>
      <c r="E77" s="655"/>
      <c r="F77" s="655"/>
      <c r="G77" s="655"/>
      <c r="H77" s="655"/>
      <c r="I77" s="655"/>
      <c r="J77" s="655"/>
      <c r="K77" s="655"/>
      <c r="L77" s="655"/>
      <c r="M77" s="655"/>
      <c r="N77" s="655"/>
    </row>
    <row r="78" spans="1:14" ht="17.399999999999999">
      <c r="A78" s="655"/>
      <c r="B78" s="655"/>
      <c r="C78" s="655"/>
      <c r="D78" s="655"/>
      <c r="E78" s="655"/>
      <c r="F78" s="655"/>
      <c r="G78" s="655"/>
      <c r="H78" s="655"/>
      <c r="I78" s="655"/>
      <c r="J78" s="655"/>
      <c r="K78" s="655"/>
      <c r="L78" s="655"/>
      <c r="M78" s="655"/>
      <c r="N78" s="655"/>
    </row>
    <row r="79" spans="1:14" ht="17.399999999999999">
      <c r="A79" s="655"/>
      <c r="B79" s="655"/>
      <c r="C79" s="655"/>
      <c r="D79" s="655"/>
      <c r="E79" s="655"/>
      <c r="F79" s="655"/>
      <c r="G79" s="655"/>
      <c r="H79" s="655"/>
      <c r="I79" s="655"/>
      <c r="J79" s="655"/>
      <c r="K79" s="655"/>
      <c r="L79" s="655"/>
      <c r="M79" s="655"/>
      <c r="N79" s="655"/>
    </row>
    <row r="80" spans="1:14" ht="17.399999999999999">
      <c r="A80" s="655"/>
      <c r="B80" s="655"/>
      <c r="C80" s="655"/>
      <c r="D80" s="655"/>
      <c r="E80" s="655"/>
      <c r="F80" s="655"/>
      <c r="G80" s="655"/>
      <c r="H80" s="655"/>
      <c r="I80" s="655"/>
      <c r="J80" s="655"/>
      <c r="K80" s="655"/>
      <c r="L80" s="655"/>
      <c r="M80" s="655"/>
      <c r="N80" s="655"/>
    </row>
    <row r="81" spans="1:14" ht="17.399999999999999">
      <c r="A81" s="655"/>
      <c r="B81" s="655"/>
      <c r="C81" s="655"/>
      <c r="D81" s="655"/>
      <c r="E81" s="655"/>
      <c r="F81" s="655"/>
      <c r="G81" s="655"/>
      <c r="H81" s="655"/>
      <c r="I81" s="655"/>
      <c r="J81" s="655"/>
      <c r="K81" s="655"/>
      <c r="L81" s="655"/>
      <c r="M81" s="655"/>
      <c r="N81" s="655"/>
    </row>
    <row r="82" spans="1:14" ht="17.399999999999999">
      <c r="A82" s="655"/>
      <c r="B82" s="655"/>
      <c r="C82" s="655"/>
      <c r="D82" s="655"/>
      <c r="E82" s="655"/>
      <c r="F82" s="655"/>
      <c r="G82" s="655"/>
      <c r="H82" s="655"/>
      <c r="I82" s="655"/>
      <c r="J82" s="655"/>
      <c r="K82" s="655"/>
      <c r="L82" s="655"/>
      <c r="M82" s="655"/>
      <c r="N82" s="655"/>
    </row>
    <row r="83" spans="1:14" ht="17.399999999999999">
      <c r="A83" s="655"/>
      <c r="B83" s="655"/>
      <c r="C83" s="655"/>
      <c r="D83" s="655"/>
      <c r="E83" s="655"/>
      <c r="F83" s="655"/>
      <c r="G83" s="655"/>
      <c r="H83" s="655"/>
      <c r="I83" s="655"/>
      <c r="J83" s="655"/>
      <c r="K83" s="655"/>
      <c r="L83" s="655"/>
      <c r="M83" s="655"/>
      <c r="N83" s="655"/>
    </row>
    <row r="84" spans="1:14" ht="17.399999999999999">
      <c r="A84" s="655"/>
      <c r="B84" s="655"/>
      <c r="C84" s="655"/>
      <c r="D84" s="655"/>
      <c r="E84" s="655"/>
      <c r="F84" s="655"/>
      <c r="G84" s="655"/>
      <c r="H84" s="655"/>
      <c r="I84" s="655"/>
      <c r="J84" s="655"/>
      <c r="K84" s="655"/>
      <c r="L84" s="655"/>
      <c r="M84" s="655"/>
      <c r="N84" s="655"/>
    </row>
    <row r="85" spans="1:14" ht="17.399999999999999">
      <c r="A85" s="655"/>
      <c r="B85" s="655"/>
      <c r="C85" s="655"/>
      <c r="D85" s="655"/>
      <c r="E85" s="655"/>
      <c r="F85" s="655"/>
      <c r="G85" s="655"/>
      <c r="H85" s="655"/>
      <c r="I85" s="655"/>
      <c r="J85" s="655"/>
      <c r="K85" s="655"/>
      <c r="L85" s="655"/>
      <c r="M85" s="655"/>
      <c r="N85" s="655"/>
    </row>
    <row r="86" spans="1:14" ht="17.399999999999999">
      <c r="A86" s="655"/>
      <c r="B86" s="655"/>
      <c r="C86" s="655"/>
      <c r="D86" s="655"/>
      <c r="E86" s="655"/>
      <c r="F86" s="655"/>
      <c r="G86" s="655"/>
      <c r="H86" s="655"/>
      <c r="I86" s="655"/>
      <c r="J86" s="655"/>
      <c r="K86" s="655"/>
      <c r="L86" s="655"/>
      <c r="M86" s="655"/>
      <c r="N86" s="655"/>
    </row>
    <row r="87" spans="1:14" ht="17.399999999999999">
      <c r="A87" s="655"/>
      <c r="B87" s="655"/>
      <c r="C87" s="655"/>
      <c r="D87" s="655"/>
      <c r="E87" s="655"/>
      <c r="F87" s="655"/>
      <c r="G87" s="655"/>
      <c r="H87" s="655"/>
      <c r="I87" s="655"/>
      <c r="J87" s="655"/>
      <c r="K87" s="655"/>
      <c r="L87" s="655"/>
      <c r="M87" s="655"/>
      <c r="N87" s="655"/>
    </row>
    <row r="88" spans="1:14" ht="17.399999999999999">
      <c r="A88" s="655"/>
      <c r="B88" s="655"/>
      <c r="C88" s="655"/>
      <c r="D88" s="655"/>
      <c r="E88" s="655"/>
      <c r="F88" s="655"/>
      <c r="G88" s="655"/>
      <c r="H88" s="655"/>
      <c r="I88" s="655"/>
      <c r="J88" s="655"/>
      <c r="K88" s="655"/>
      <c r="L88" s="655"/>
      <c r="M88" s="655"/>
      <c r="N88" s="655"/>
    </row>
    <row r="89" spans="1:14" ht="17.399999999999999">
      <c r="A89" s="655"/>
      <c r="B89" s="655"/>
      <c r="C89" s="655"/>
      <c r="D89" s="655"/>
      <c r="E89" s="655"/>
      <c r="F89" s="655"/>
      <c r="G89" s="655"/>
      <c r="H89" s="655"/>
      <c r="I89" s="655"/>
      <c r="J89" s="655"/>
      <c r="K89" s="655"/>
      <c r="L89" s="655"/>
      <c r="M89" s="655"/>
      <c r="N89" s="655"/>
    </row>
    <row r="90" spans="1:14" ht="17.399999999999999">
      <c r="A90" s="655"/>
      <c r="B90" s="655"/>
      <c r="C90" s="655"/>
      <c r="D90" s="655"/>
      <c r="E90" s="655"/>
      <c r="F90" s="655"/>
      <c r="G90" s="655"/>
      <c r="H90" s="655"/>
      <c r="I90" s="655"/>
      <c r="J90" s="655"/>
      <c r="K90" s="655"/>
      <c r="L90" s="655"/>
      <c r="M90" s="655"/>
      <c r="N90" s="655"/>
    </row>
    <row r="91" spans="1:14" ht="17.399999999999999">
      <c r="A91" s="655"/>
      <c r="B91" s="655"/>
      <c r="C91" s="655"/>
      <c r="D91" s="655"/>
      <c r="E91" s="655"/>
      <c r="F91" s="655"/>
      <c r="G91" s="655"/>
      <c r="H91" s="655"/>
      <c r="I91" s="655"/>
      <c r="J91" s="655"/>
      <c r="K91" s="655"/>
      <c r="L91" s="655"/>
      <c r="M91" s="655"/>
      <c r="N91" s="655"/>
    </row>
    <row r="92" spans="1:14" ht="17.399999999999999">
      <c r="A92" s="655"/>
      <c r="B92" s="655"/>
      <c r="C92" s="655"/>
      <c r="D92" s="655"/>
      <c r="E92" s="655"/>
      <c r="F92" s="655"/>
      <c r="G92" s="655"/>
      <c r="H92" s="655"/>
      <c r="I92" s="655"/>
      <c r="J92" s="655"/>
      <c r="K92" s="655"/>
      <c r="L92" s="655"/>
      <c r="M92" s="655"/>
      <c r="N92" s="655"/>
    </row>
    <row r="93" spans="1:14" ht="17.399999999999999">
      <c r="A93" s="655"/>
      <c r="B93" s="655"/>
      <c r="C93" s="655"/>
      <c r="D93" s="655"/>
      <c r="E93" s="655"/>
      <c r="F93" s="655"/>
      <c r="G93" s="655"/>
      <c r="H93" s="655"/>
      <c r="I93" s="655"/>
      <c r="J93" s="655"/>
      <c r="K93" s="655"/>
      <c r="L93" s="655"/>
      <c r="M93" s="655"/>
      <c r="N93" s="655"/>
    </row>
    <row r="94" spans="1:14" ht="17.399999999999999">
      <c r="A94" s="655"/>
      <c r="B94" s="655"/>
      <c r="C94" s="655"/>
      <c r="D94" s="655"/>
      <c r="E94" s="655"/>
      <c r="F94" s="655"/>
      <c r="G94" s="655"/>
      <c r="H94" s="655"/>
      <c r="I94" s="655"/>
      <c r="J94" s="655"/>
      <c r="K94" s="655"/>
      <c r="L94" s="655"/>
      <c r="M94" s="655"/>
      <c r="N94" s="655"/>
    </row>
    <row r="95" spans="1:14" ht="17.399999999999999">
      <c r="A95" s="655"/>
      <c r="B95" s="655"/>
      <c r="C95" s="655"/>
      <c r="D95" s="655"/>
      <c r="E95" s="655"/>
      <c r="F95" s="655"/>
      <c r="G95" s="655"/>
      <c r="H95" s="655"/>
      <c r="I95" s="655"/>
      <c r="J95" s="655"/>
      <c r="K95" s="655"/>
      <c r="L95" s="655"/>
      <c r="M95" s="655"/>
      <c r="N95" s="655"/>
    </row>
    <row r="96" spans="1:14" ht="17.399999999999999">
      <c r="A96" s="655"/>
      <c r="B96" s="655"/>
      <c r="C96" s="655"/>
      <c r="D96" s="655"/>
      <c r="E96" s="655"/>
      <c r="F96" s="655"/>
      <c r="G96" s="655"/>
      <c r="H96" s="655"/>
      <c r="I96" s="655"/>
      <c r="J96" s="655"/>
      <c r="K96" s="655"/>
      <c r="L96" s="655"/>
      <c r="M96" s="655"/>
      <c r="N96" s="655"/>
    </row>
    <row r="97" spans="1:14" ht="17.399999999999999">
      <c r="A97" s="655"/>
      <c r="B97" s="655"/>
      <c r="C97" s="655"/>
      <c r="D97" s="655"/>
      <c r="E97" s="655"/>
      <c r="F97" s="655"/>
      <c r="G97" s="655"/>
      <c r="H97" s="655"/>
      <c r="I97" s="655"/>
      <c r="J97" s="655"/>
      <c r="K97" s="655"/>
      <c r="L97" s="655"/>
      <c r="M97" s="655"/>
      <c r="N97" s="655"/>
    </row>
    <row r="98" spans="1:14" ht="17.399999999999999">
      <c r="A98" s="655"/>
      <c r="B98" s="655"/>
      <c r="C98" s="655"/>
      <c r="D98" s="655"/>
      <c r="E98" s="655"/>
      <c r="F98" s="655"/>
      <c r="G98" s="655"/>
      <c r="H98" s="655"/>
      <c r="I98" s="655"/>
      <c r="J98" s="655"/>
      <c r="K98" s="655"/>
      <c r="L98" s="655"/>
      <c r="M98" s="655"/>
      <c r="N98" s="655"/>
    </row>
    <row r="99" spans="1:14" ht="17.399999999999999">
      <c r="A99" s="655"/>
      <c r="B99" s="655"/>
      <c r="C99" s="655"/>
      <c r="D99" s="655"/>
      <c r="E99" s="655"/>
      <c r="F99" s="655"/>
      <c r="G99" s="655"/>
      <c r="H99" s="655"/>
      <c r="I99" s="655"/>
      <c r="J99" s="655"/>
      <c r="K99" s="655"/>
      <c r="L99" s="655"/>
      <c r="M99" s="655"/>
      <c r="N99" s="655"/>
    </row>
    <row r="100" spans="1:14" ht="17.399999999999999">
      <c r="A100" s="655"/>
      <c r="B100" s="655"/>
      <c r="C100" s="655"/>
      <c r="D100" s="655"/>
      <c r="E100" s="655"/>
      <c r="F100" s="655"/>
      <c r="G100" s="655"/>
      <c r="H100" s="655"/>
      <c r="I100" s="655"/>
      <c r="J100" s="655"/>
      <c r="K100" s="655"/>
      <c r="L100" s="655"/>
      <c r="M100" s="655"/>
      <c r="N100" s="655"/>
    </row>
    <row r="101" spans="1:14" ht="17.399999999999999">
      <c r="A101" s="655"/>
      <c r="B101" s="655"/>
      <c r="C101" s="655"/>
      <c r="D101" s="655"/>
      <c r="E101" s="655"/>
      <c r="F101" s="655"/>
      <c r="G101" s="655"/>
      <c r="H101" s="655"/>
      <c r="I101" s="655"/>
      <c r="J101" s="655"/>
      <c r="K101" s="655"/>
      <c r="L101" s="655"/>
      <c r="M101" s="655"/>
      <c r="N101" s="655"/>
    </row>
    <row r="102" spans="1:14" ht="17.399999999999999">
      <c r="A102" s="655"/>
      <c r="B102" s="655"/>
      <c r="C102" s="655"/>
      <c r="D102" s="655"/>
      <c r="E102" s="655"/>
      <c r="F102" s="655"/>
      <c r="G102" s="655"/>
      <c r="H102" s="655"/>
      <c r="I102" s="655"/>
      <c r="J102" s="655"/>
      <c r="K102" s="655"/>
      <c r="L102" s="655"/>
      <c r="M102" s="655"/>
      <c r="N102" s="655"/>
    </row>
    <row r="103" spans="1:14" ht="17.399999999999999">
      <c r="A103" s="655"/>
      <c r="B103" s="655"/>
      <c r="C103" s="655"/>
      <c r="D103" s="655"/>
      <c r="E103" s="655"/>
      <c r="F103" s="655"/>
      <c r="G103" s="655"/>
      <c r="H103" s="655"/>
      <c r="I103" s="655"/>
      <c r="J103" s="655"/>
      <c r="K103" s="655"/>
      <c r="L103" s="655"/>
      <c r="M103" s="655"/>
      <c r="N103" s="655"/>
    </row>
    <row r="104" spans="1:14" ht="17.399999999999999">
      <c r="A104" s="655"/>
      <c r="B104" s="655"/>
      <c r="C104" s="655"/>
      <c r="D104" s="655"/>
      <c r="E104" s="655"/>
      <c r="F104" s="655"/>
      <c r="G104" s="655"/>
      <c r="H104" s="655"/>
      <c r="I104" s="655"/>
      <c r="J104" s="655"/>
      <c r="K104" s="655"/>
      <c r="L104" s="655"/>
      <c r="M104" s="655"/>
      <c r="N104" s="655"/>
    </row>
    <row r="105" spans="1:14" ht="17.399999999999999">
      <c r="A105" s="655"/>
      <c r="B105" s="655"/>
      <c r="C105" s="655"/>
      <c r="D105" s="655"/>
      <c r="E105" s="655"/>
      <c r="F105" s="655"/>
      <c r="G105" s="655"/>
      <c r="H105" s="655"/>
      <c r="I105" s="655"/>
      <c r="J105" s="655"/>
      <c r="K105" s="655"/>
      <c r="L105" s="655"/>
      <c r="M105" s="655"/>
      <c r="N105" s="655"/>
    </row>
    <row r="106" spans="1:14" ht="17.399999999999999">
      <c r="A106" s="655"/>
      <c r="B106" s="655"/>
      <c r="C106" s="655"/>
      <c r="D106" s="655"/>
      <c r="E106" s="655"/>
      <c r="F106" s="655"/>
      <c r="G106" s="655"/>
      <c r="H106" s="655"/>
      <c r="I106" s="655"/>
      <c r="J106" s="655"/>
      <c r="K106" s="655"/>
      <c r="L106" s="655"/>
      <c r="M106" s="655"/>
      <c r="N106" s="655"/>
    </row>
    <row r="107" spans="1:14" ht="17.399999999999999">
      <c r="A107" s="655"/>
      <c r="B107" s="655"/>
      <c r="C107" s="655"/>
      <c r="D107" s="655"/>
      <c r="E107" s="655"/>
      <c r="F107" s="655"/>
      <c r="G107" s="655"/>
      <c r="H107" s="655"/>
      <c r="I107" s="655"/>
      <c r="J107" s="655"/>
      <c r="K107" s="655"/>
      <c r="L107" s="655"/>
      <c r="M107" s="655"/>
      <c r="N107" s="655"/>
    </row>
    <row r="108" spans="1:14" ht="17.399999999999999">
      <c r="A108" s="655"/>
      <c r="B108" s="655"/>
      <c r="C108" s="655"/>
      <c r="D108" s="655"/>
      <c r="E108" s="655"/>
      <c r="F108" s="655"/>
      <c r="G108" s="655"/>
      <c r="H108" s="655"/>
      <c r="I108" s="655"/>
      <c r="J108" s="655"/>
      <c r="K108" s="655"/>
      <c r="L108" s="655"/>
      <c r="M108" s="655"/>
      <c r="N108" s="655"/>
    </row>
    <row r="109" spans="1:14" ht="17.399999999999999">
      <c r="A109" s="655"/>
      <c r="B109" s="655"/>
      <c r="C109" s="655"/>
      <c r="D109" s="655"/>
      <c r="E109" s="655"/>
      <c r="F109" s="655"/>
      <c r="G109" s="655"/>
      <c r="H109" s="655"/>
      <c r="I109" s="655"/>
      <c r="J109" s="655"/>
      <c r="K109" s="655"/>
      <c r="L109" s="655"/>
      <c r="M109" s="655"/>
      <c r="N109" s="655"/>
    </row>
    <row r="110" spans="1:14" ht="17.399999999999999">
      <c r="A110" s="655"/>
      <c r="B110" s="655"/>
      <c r="C110" s="655"/>
      <c r="D110" s="655"/>
      <c r="E110" s="655"/>
      <c r="F110" s="655"/>
      <c r="G110" s="655"/>
      <c r="H110" s="655"/>
      <c r="I110" s="655"/>
      <c r="J110" s="655"/>
      <c r="K110" s="655"/>
      <c r="L110" s="655"/>
      <c r="M110" s="655"/>
      <c r="N110" s="655"/>
    </row>
    <row r="111" spans="1:14" ht="17.399999999999999">
      <c r="A111" s="655"/>
      <c r="B111" s="655"/>
      <c r="C111" s="655"/>
      <c r="D111" s="655"/>
      <c r="E111" s="655"/>
      <c r="F111" s="655"/>
      <c r="G111" s="655"/>
      <c r="H111" s="655"/>
      <c r="I111" s="655"/>
      <c r="J111" s="655"/>
      <c r="K111" s="655"/>
      <c r="L111" s="655"/>
      <c r="M111" s="655"/>
      <c r="N111" s="655"/>
    </row>
    <row r="112" spans="1:14" ht="17.399999999999999">
      <c r="A112" s="655"/>
      <c r="B112" s="655"/>
      <c r="C112" s="655"/>
      <c r="D112" s="655"/>
      <c r="E112" s="655"/>
      <c r="F112" s="655"/>
      <c r="G112" s="655"/>
      <c r="H112" s="655"/>
      <c r="I112" s="655"/>
      <c r="J112" s="655"/>
      <c r="K112" s="655"/>
      <c r="L112" s="655"/>
      <c r="M112" s="655"/>
      <c r="N112" s="655"/>
    </row>
    <row r="113" spans="1:14" ht="17.399999999999999">
      <c r="A113" s="655"/>
      <c r="B113" s="655"/>
      <c r="C113" s="655"/>
      <c r="D113" s="655"/>
      <c r="E113" s="655"/>
      <c r="F113" s="655"/>
      <c r="G113" s="655"/>
      <c r="H113" s="655"/>
      <c r="I113" s="655"/>
      <c r="J113" s="655"/>
      <c r="K113" s="655"/>
      <c r="L113" s="655"/>
      <c r="M113" s="655"/>
      <c r="N113" s="655"/>
    </row>
    <row r="114" spans="1:14" ht="17.399999999999999">
      <c r="A114" s="655"/>
      <c r="B114" s="655"/>
      <c r="C114" s="655"/>
      <c r="D114" s="655"/>
      <c r="E114" s="655"/>
      <c r="F114" s="655"/>
      <c r="G114" s="655"/>
      <c r="H114" s="655"/>
      <c r="I114" s="655"/>
      <c r="J114" s="655"/>
      <c r="K114" s="655"/>
      <c r="L114" s="655"/>
      <c r="M114" s="655"/>
      <c r="N114" s="655"/>
    </row>
    <row r="115" spans="1:14" ht="17.399999999999999">
      <c r="A115" s="655"/>
      <c r="B115" s="655"/>
      <c r="C115" s="655"/>
      <c r="D115" s="655"/>
      <c r="E115" s="655"/>
      <c r="F115" s="655"/>
      <c r="G115" s="655"/>
      <c r="H115" s="655"/>
      <c r="I115" s="655"/>
      <c r="J115" s="655"/>
      <c r="K115" s="655"/>
      <c r="L115" s="655"/>
      <c r="M115" s="655"/>
      <c r="N115" s="655"/>
    </row>
    <row r="116" spans="1:14" ht="17.399999999999999">
      <c r="A116" s="655"/>
      <c r="B116" s="655"/>
      <c r="C116" s="655"/>
      <c r="D116" s="655"/>
      <c r="E116" s="655"/>
      <c r="F116" s="655"/>
      <c r="G116" s="655"/>
      <c r="H116" s="655"/>
      <c r="I116" s="655"/>
      <c r="J116" s="655"/>
      <c r="K116" s="655"/>
      <c r="L116" s="655"/>
      <c r="M116" s="655"/>
      <c r="N116" s="655"/>
    </row>
    <row r="117" spans="1:14" ht="17.399999999999999">
      <c r="A117" s="655"/>
      <c r="B117" s="655"/>
      <c r="C117" s="655"/>
      <c r="D117" s="655"/>
      <c r="E117" s="655"/>
      <c r="F117" s="655"/>
      <c r="G117" s="655"/>
      <c r="H117" s="655"/>
      <c r="I117" s="655"/>
      <c r="J117" s="655"/>
      <c r="K117" s="655"/>
      <c r="L117" s="655"/>
      <c r="M117" s="655"/>
      <c r="N117" s="655"/>
    </row>
    <row r="118" spans="1:14" ht="17.399999999999999">
      <c r="A118" s="655"/>
      <c r="B118" s="655"/>
      <c r="C118" s="655"/>
      <c r="D118" s="655"/>
      <c r="E118" s="655"/>
      <c r="F118" s="655"/>
      <c r="G118" s="655"/>
      <c r="H118" s="655"/>
      <c r="I118" s="655"/>
      <c r="J118" s="655"/>
      <c r="K118" s="655"/>
      <c r="L118" s="655"/>
      <c r="M118" s="655"/>
      <c r="N118" s="655"/>
    </row>
    <row r="119" spans="1:14" ht="17.399999999999999">
      <c r="A119" s="655"/>
      <c r="B119" s="655"/>
      <c r="C119" s="655"/>
      <c r="D119" s="655"/>
      <c r="E119" s="655"/>
      <c r="F119" s="655"/>
      <c r="G119" s="655"/>
      <c r="H119" s="655"/>
      <c r="I119" s="655"/>
      <c r="J119" s="655"/>
      <c r="K119" s="655"/>
      <c r="L119" s="655"/>
      <c r="M119" s="655"/>
      <c r="N119" s="655"/>
    </row>
    <row r="120" spans="1:14" ht="17.399999999999999">
      <c r="A120" s="655"/>
      <c r="B120" s="655"/>
      <c r="C120" s="655"/>
      <c r="D120" s="655"/>
      <c r="E120" s="655"/>
      <c r="F120" s="655"/>
      <c r="G120" s="655"/>
      <c r="H120" s="655"/>
      <c r="I120" s="655"/>
      <c r="J120" s="655"/>
      <c r="K120" s="655"/>
      <c r="L120" s="655"/>
      <c r="M120" s="655"/>
      <c r="N120" s="655"/>
    </row>
    <row r="121" spans="1:14" ht="17.399999999999999">
      <c r="A121" s="655"/>
      <c r="B121" s="655"/>
      <c r="C121" s="655"/>
      <c r="D121" s="655"/>
      <c r="E121" s="655"/>
      <c r="F121" s="655"/>
      <c r="G121" s="655"/>
      <c r="H121" s="655"/>
      <c r="I121" s="655"/>
      <c r="J121" s="655"/>
      <c r="K121" s="655"/>
      <c r="L121" s="655"/>
      <c r="M121" s="655"/>
      <c r="N121" s="655"/>
    </row>
    <row r="122" spans="1:14" ht="17.399999999999999">
      <c r="A122" s="655"/>
      <c r="B122" s="655"/>
      <c r="C122" s="655"/>
      <c r="D122" s="655"/>
      <c r="E122" s="655"/>
      <c r="F122" s="655"/>
      <c r="G122" s="655"/>
      <c r="H122" s="655"/>
      <c r="I122" s="655"/>
      <c r="J122" s="655"/>
      <c r="K122" s="655"/>
      <c r="L122" s="655"/>
      <c r="M122" s="655"/>
      <c r="N122" s="655"/>
    </row>
    <row r="123" spans="1:14" ht="17.399999999999999">
      <c r="A123" s="655"/>
      <c r="B123" s="655"/>
      <c r="C123" s="655"/>
      <c r="D123" s="655"/>
      <c r="E123" s="655"/>
      <c r="F123" s="655"/>
      <c r="G123" s="655"/>
      <c r="H123" s="655"/>
      <c r="I123" s="655"/>
      <c r="J123" s="655"/>
      <c r="K123" s="655"/>
      <c r="L123" s="655"/>
      <c r="M123" s="655"/>
      <c r="N123" s="655"/>
    </row>
    <row r="124" spans="1:14" ht="17.399999999999999">
      <c r="A124" s="655"/>
      <c r="B124" s="655"/>
      <c r="C124" s="655"/>
      <c r="D124" s="655"/>
      <c r="E124" s="655"/>
      <c r="F124" s="655"/>
      <c r="G124" s="655"/>
      <c r="H124" s="655"/>
      <c r="I124" s="655"/>
      <c r="J124" s="655"/>
      <c r="K124" s="655"/>
      <c r="L124" s="655"/>
      <c r="M124" s="655"/>
      <c r="N124" s="655"/>
    </row>
    <row r="125" spans="1:14" ht="17.399999999999999">
      <c r="A125" s="655"/>
      <c r="B125" s="655"/>
      <c r="C125" s="655"/>
      <c r="D125" s="655"/>
      <c r="E125" s="655"/>
      <c r="F125" s="655"/>
      <c r="G125" s="655"/>
      <c r="H125" s="655"/>
      <c r="I125" s="655"/>
      <c r="J125" s="655"/>
      <c r="K125" s="655"/>
      <c r="L125" s="655"/>
      <c r="M125" s="655"/>
      <c r="N125" s="655"/>
    </row>
    <row r="126" spans="1:14" ht="17.399999999999999">
      <c r="A126" s="655"/>
      <c r="B126" s="655"/>
      <c r="C126" s="655"/>
      <c r="D126" s="655"/>
      <c r="E126" s="655"/>
      <c r="F126" s="655"/>
      <c r="G126" s="655"/>
      <c r="H126" s="655"/>
      <c r="I126" s="655"/>
      <c r="J126" s="655"/>
      <c r="K126" s="655"/>
      <c r="L126" s="655"/>
      <c r="M126" s="655"/>
      <c r="N126" s="655"/>
    </row>
    <row r="127" spans="1:14" ht="17.399999999999999">
      <c r="A127" s="655"/>
      <c r="B127" s="655"/>
      <c r="C127" s="655"/>
      <c r="D127" s="655"/>
      <c r="E127" s="655"/>
      <c r="F127" s="655"/>
      <c r="G127" s="655"/>
      <c r="H127" s="655"/>
      <c r="I127" s="655"/>
      <c r="J127" s="655"/>
      <c r="K127" s="655"/>
      <c r="L127" s="655"/>
      <c r="M127" s="655"/>
      <c r="N127" s="655"/>
    </row>
    <row r="128" spans="1:14" ht="17.399999999999999">
      <c r="A128" s="655"/>
      <c r="B128" s="655"/>
      <c r="C128" s="655"/>
      <c r="D128" s="655"/>
      <c r="E128" s="655"/>
      <c r="F128" s="655"/>
      <c r="G128" s="655"/>
      <c r="H128" s="655"/>
      <c r="I128" s="655"/>
      <c r="J128" s="655"/>
      <c r="K128" s="655"/>
      <c r="L128" s="655"/>
      <c r="M128" s="655"/>
      <c r="N128" s="655"/>
    </row>
    <row r="129" spans="1:14" ht="17.399999999999999">
      <c r="A129" s="655"/>
      <c r="B129" s="655"/>
      <c r="C129" s="655"/>
      <c r="D129" s="655"/>
      <c r="E129" s="655"/>
      <c r="F129" s="655"/>
      <c r="G129" s="655"/>
      <c r="H129" s="655"/>
      <c r="I129" s="655"/>
      <c r="J129" s="655"/>
      <c r="K129" s="655"/>
      <c r="L129" s="655"/>
      <c r="M129" s="655"/>
      <c r="N129" s="655"/>
    </row>
    <row r="130" spans="1:14" ht="17.399999999999999">
      <c r="A130" s="655"/>
      <c r="B130" s="655"/>
      <c r="C130" s="655"/>
      <c r="D130" s="655"/>
      <c r="E130" s="655"/>
      <c r="F130" s="655"/>
      <c r="G130" s="655"/>
      <c r="H130" s="655"/>
      <c r="I130" s="655"/>
      <c r="J130" s="655"/>
      <c r="K130" s="655"/>
      <c r="L130" s="655"/>
      <c r="M130" s="655"/>
      <c r="N130" s="655"/>
    </row>
    <row r="131" spans="1:14" ht="17.399999999999999">
      <c r="A131" s="655"/>
      <c r="B131" s="655"/>
      <c r="C131" s="655"/>
      <c r="D131" s="655"/>
      <c r="E131" s="655"/>
      <c r="F131" s="655"/>
      <c r="G131" s="655"/>
      <c r="H131" s="655"/>
      <c r="I131" s="655"/>
      <c r="J131" s="655"/>
      <c r="K131" s="655"/>
      <c r="L131" s="655"/>
      <c r="M131" s="655"/>
      <c r="N131" s="655"/>
    </row>
    <row r="132" spans="1:14" ht="17.399999999999999">
      <c r="A132" s="655"/>
      <c r="B132" s="655"/>
      <c r="C132" s="655"/>
      <c r="D132" s="655"/>
      <c r="E132" s="655"/>
      <c r="F132" s="655"/>
      <c r="G132" s="655"/>
      <c r="H132" s="655"/>
      <c r="I132" s="655"/>
      <c r="J132" s="655"/>
      <c r="K132" s="655"/>
      <c r="L132" s="655"/>
      <c r="M132" s="655"/>
      <c r="N132" s="655"/>
    </row>
    <row r="133" spans="1:14" ht="17.399999999999999">
      <c r="A133" s="655"/>
      <c r="B133" s="655"/>
      <c r="C133" s="655"/>
      <c r="D133" s="655"/>
      <c r="E133" s="655"/>
      <c r="F133" s="655"/>
      <c r="G133" s="655"/>
      <c r="H133" s="655"/>
      <c r="I133" s="655"/>
      <c r="J133" s="655"/>
      <c r="K133" s="655"/>
      <c r="L133" s="655"/>
      <c r="M133" s="655"/>
      <c r="N133" s="655"/>
    </row>
    <row r="134" spans="1:14" ht="17.399999999999999">
      <c r="A134" s="655"/>
      <c r="B134" s="655"/>
      <c r="C134" s="655"/>
      <c r="D134" s="655"/>
      <c r="E134" s="655"/>
      <c r="F134" s="655"/>
      <c r="G134" s="655"/>
      <c r="H134" s="655"/>
      <c r="I134" s="655"/>
      <c r="J134" s="655"/>
      <c r="K134" s="655"/>
      <c r="L134" s="655"/>
      <c r="M134" s="655"/>
      <c r="N134" s="655"/>
    </row>
    <row r="135" spans="1:14" ht="17.399999999999999">
      <c r="A135" s="655"/>
      <c r="B135" s="655"/>
      <c r="C135" s="655"/>
      <c r="D135" s="655"/>
      <c r="E135" s="655"/>
      <c r="F135" s="655"/>
      <c r="G135" s="655"/>
      <c r="H135" s="655"/>
      <c r="I135" s="655"/>
      <c r="J135" s="655"/>
      <c r="K135" s="655"/>
      <c r="L135" s="655"/>
      <c r="M135" s="655"/>
      <c r="N135" s="655"/>
    </row>
    <row r="136" spans="1:14" ht="17.399999999999999">
      <c r="A136" s="655"/>
      <c r="B136" s="655"/>
      <c r="C136" s="655"/>
      <c r="D136" s="655"/>
      <c r="E136" s="655"/>
      <c r="F136" s="655"/>
      <c r="G136" s="655"/>
      <c r="H136" s="655"/>
      <c r="I136" s="655"/>
      <c r="J136" s="655"/>
      <c r="K136" s="655"/>
      <c r="L136" s="655"/>
      <c r="M136" s="655"/>
      <c r="N136" s="655"/>
    </row>
    <row r="137" spans="1:14" ht="17.399999999999999">
      <c r="A137" s="655"/>
      <c r="B137" s="655"/>
      <c r="C137" s="655"/>
      <c r="D137" s="655"/>
      <c r="E137" s="655"/>
      <c r="F137" s="655"/>
      <c r="G137" s="655"/>
      <c r="H137" s="655"/>
      <c r="I137" s="655"/>
      <c r="J137" s="655"/>
      <c r="K137" s="655"/>
      <c r="L137" s="655"/>
      <c r="M137" s="655"/>
      <c r="N137" s="655"/>
    </row>
    <row r="138" spans="1:14" ht="17.399999999999999">
      <c r="A138" s="655"/>
      <c r="B138" s="655"/>
      <c r="C138" s="655"/>
      <c r="D138" s="655"/>
      <c r="E138" s="655"/>
      <c r="F138" s="655"/>
      <c r="G138" s="655"/>
      <c r="H138" s="655"/>
      <c r="I138" s="655"/>
      <c r="J138" s="655"/>
      <c r="K138" s="655"/>
      <c r="L138" s="655"/>
      <c r="M138" s="655"/>
      <c r="N138" s="655"/>
    </row>
    <row r="139" spans="1:14" ht="17.399999999999999">
      <c r="A139" s="655"/>
      <c r="B139" s="655"/>
      <c r="C139" s="655"/>
      <c r="D139" s="655"/>
      <c r="E139" s="655"/>
      <c r="F139" s="655"/>
      <c r="G139" s="655"/>
      <c r="H139" s="655"/>
      <c r="I139" s="655"/>
      <c r="J139" s="655"/>
      <c r="K139" s="655"/>
      <c r="L139" s="655"/>
      <c r="M139" s="655"/>
      <c r="N139" s="655"/>
    </row>
    <row r="140" spans="1:14" ht="17.399999999999999">
      <c r="A140" s="655"/>
      <c r="B140" s="655"/>
      <c r="C140" s="655"/>
      <c r="D140" s="655"/>
      <c r="E140" s="655"/>
      <c r="F140" s="655"/>
      <c r="G140" s="655"/>
      <c r="H140" s="655"/>
      <c r="I140" s="655"/>
      <c r="J140" s="655"/>
      <c r="K140" s="655"/>
      <c r="L140" s="655"/>
      <c r="M140" s="655"/>
      <c r="N140" s="655"/>
    </row>
    <row r="141" spans="1:14" ht="17.399999999999999">
      <c r="A141" s="655"/>
      <c r="B141" s="655"/>
      <c r="C141" s="655"/>
      <c r="D141" s="655"/>
      <c r="E141" s="655"/>
      <c r="F141" s="655"/>
      <c r="G141" s="655"/>
      <c r="H141" s="655"/>
      <c r="I141" s="655"/>
      <c r="J141" s="655"/>
      <c r="K141" s="655"/>
      <c r="L141" s="655"/>
      <c r="M141" s="655"/>
      <c r="N141" s="655"/>
    </row>
    <row r="142" spans="1:14" ht="17.399999999999999">
      <c r="A142" s="655"/>
      <c r="B142" s="655"/>
      <c r="C142" s="655"/>
      <c r="D142" s="655"/>
      <c r="E142" s="655"/>
      <c r="F142" s="655"/>
      <c r="G142" s="655"/>
      <c r="H142" s="655"/>
      <c r="I142" s="655"/>
      <c r="J142" s="655"/>
      <c r="K142" s="655"/>
      <c r="L142" s="655"/>
      <c r="M142" s="655"/>
      <c r="N142" s="655"/>
    </row>
    <row r="143" spans="1:14" ht="17.399999999999999">
      <c r="A143" s="655"/>
      <c r="B143" s="655"/>
      <c r="C143" s="655"/>
      <c r="D143" s="655"/>
      <c r="E143" s="655"/>
      <c r="F143" s="655"/>
      <c r="G143" s="655"/>
      <c r="H143" s="655"/>
      <c r="I143" s="655"/>
      <c r="J143" s="655"/>
      <c r="K143" s="655"/>
      <c r="L143" s="655"/>
      <c r="M143" s="655"/>
      <c r="N143" s="655"/>
    </row>
    <row r="144" spans="1:14" ht="17.399999999999999">
      <c r="A144" s="655"/>
      <c r="B144" s="655"/>
      <c r="C144" s="655"/>
      <c r="D144" s="655"/>
      <c r="E144" s="655"/>
      <c r="F144" s="655"/>
      <c r="G144" s="655"/>
      <c r="H144" s="655"/>
      <c r="I144" s="655"/>
      <c r="J144" s="655"/>
      <c r="K144" s="655"/>
      <c r="L144" s="655"/>
      <c r="M144" s="655"/>
      <c r="N144" s="655"/>
    </row>
    <row r="145" spans="1:14" ht="17.399999999999999">
      <c r="A145" s="655"/>
      <c r="B145" s="655"/>
      <c r="C145" s="655"/>
      <c r="D145" s="655"/>
      <c r="E145" s="655"/>
      <c r="F145" s="655"/>
      <c r="G145" s="655"/>
      <c r="H145" s="655"/>
      <c r="I145" s="655"/>
      <c r="J145" s="655"/>
      <c r="K145" s="655"/>
      <c r="L145" s="655"/>
      <c r="M145" s="655"/>
      <c r="N145" s="655"/>
    </row>
    <row r="146" spans="1:14" ht="17.399999999999999">
      <c r="A146" s="655"/>
      <c r="B146" s="655"/>
      <c r="C146" s="655"/>
      <c r="D146" s="655"/>
      <c r="E146" s="655"/>
      <c r="F146" s="655"/>
      <c r="G146" s="655"/>
      <c r="H146" s="655"/>
      <c r="I146" s="655"/>
      <c r="J146" s="655"/>
      <c r="K146" s="655"/>
      <c r="L146" s="655"/>
      <c r="M146" s="655"/>
      <c r="N146" s="655"/>
    </row>
    <row r="147" spans="1:14" ht="17.399999999999999">
      <c r="A147" s="655"/>
      <c r="B147" s="655"/>
      <c r="C147" s="655"/>
      <c r="D147" s="655"/>
      <c r="E147" s="655"/>
      <c r="F147" s="655"/>
      <c r="G147" s="655"/>
      <c r="H147" s="655"/>
      <c r="I147" s="655"/>
      <c r="J147" s="655"/>
      <c r="K147" s="655"/>
      <c r="L147" s="655"/>
      <c r="M147" s="655"/>
      <c r="N147" s="655"/>
    </row>
    <row r="148" spans="1:14" ht="17.399999999999999">
      <c r="A148" s="655"/>
      <c r="B148" s="655"/>
      <c r="C148" s="655"/>
      <c r="D148" s="655"/>
      <c r="E148" s="655"/>
      <c r="F148" s="655"/>
      <c r="G148" s="655"/>
      <c r="H148" s="655"/>
      <c r="I148" s="655"/>
      <c r="J148" s="655"/>
      <c r="K148" s="655"/>
      <c r="L148" s="655"/>
      <c r="M148" s="655"/>
      <c r="N148" s="655"/>
    </row>
    <row r="149" spans="1:14" ht="17.399999999999999">
      <c r="A149" s="655"/>
      <c r="B149" s="655"/>
      <c r="C149" s="655"/>
      <c r="D149" s="655"/>
      <c r="E149" s="655"/>
      <c r="F149" s="655"/>
      <c r="G149" s="655"/>
      <c r="H149" s="655"/>
      <c r="I149" s="655"/>
      <c r="J149" s="655"/>
      <c r="K149" s="655"/>
      <c r="L149" s="655"/>
      <c r="M149" s="655"/>
      <c r="N149" s="655"/>
    </row>
    <row r="150" spans="1:14" ht="17.399999999999999">
      <c r="A150" s="655"/>
      <c r="B150" s="655"/>
      <c r="C150" s="655"/>
      <c r="D150" s="655"/>
      <c r="E150" s="655"/>
      <c r="F150" s="655"/>
      <c r="G150" s="655"/>
      <c r="H150" s="655"/>
      <c r="I150" s="655"/>
      <c r="J150" s="655"/>
      <c r="K150" s="655"/>
      <c r="L150" s="655"/>
      <c r="M150" s="655"/>
      <c r="N150" s="655"/>
    </row>
    <row r="151" spans="1:14" ht="17.399999999999999">
      <c r="A151" s="655"/>
      <c r="B151" s="655"/>
      <c r="C151" s="655"/>
      <c r="D151" s="655"/>
      <c r="E151" s="655"/>
      <c r="F151" s="655"/>
      <c r="G151" s="655"/>
      <c r="H151" s="655"/>
      <c r="I151" s="655"/>
      <c r="J151" s="655"/>
      <c r="K151" s="655"/>
      <c r="L151" s="655"/>
      <c r="M151" s="655"/>
      <c r="N151" s="655"/>
    </row>
    <row r="152" spans="1:14" ht="17.399999999999999">
      <c r="A152" s="655"/>
      <c r="B152" s="655"/>
      <c r="C152" s="655"/>
      <c r="D152" s="655"/>
      <c r="E152" s="655"/>
      <c r="F152" s="655"/>
      <c r="G152" s="655"/>
      <c r="H152" s="655"/>
      <c r="I152" s="655"/>
      <c r="J152" s="655"/>
      <c r="K152" s="655"/>
      <c r="L152" s="655"/>
      <c r="M152" s="655"/>
      <c r="N152" s="655"/>
    </row>
    <row r="153" spans="1:14" ht="17.399999999999999">
      <c r="A153" s="655"/>
      <c r="B153" s="655"/>
      <c r="C153" s="655"/>
      <c r="D153" s="655"/>
      <c r="E153" s="655"/>
      <c r="F153" s="655"/>
      <c r="G153" s="655"/>
      <c r="H153" s="655"/>
      <c r="I153" s="655"/>
      <c r="J153" s="655"/>
      <c r="K153" s="655"/>
      <c r="L153" s="655"/>
      <c r="M153" s="655"/>
      <c r="N153" s="655"/>
    </row>
    <row r="154" spans="1:14" ht="17.399999999999999">
      <c r="A154" s="655"/>
      <c r="B154" s="655"/>
      <c r="C154" s="655"/>
      <c r="D154" s="655"/>
      <c r="E154" s="655"/>
      <c r="F154" s="655"/>
      <c r="G154" s="655"/>
      <c r="H154" s="655"/>
      <c r="I154" s="655"/>
      <c r="J154" s="655"/>
      <c r="K154" s="655"/>
      <c r="L154" s="655"/>
      <c r="M154" s="655"/>
      <c r="N154" s="655"/>
    </row>
    <row r="155" spans="1:14" ht="17.399999999999999">
      <c r="A155" s="655"/>
      <c r="B155" s="655"/>
      <c r="C155" s="655"/>
      <c r="D155" s="655"/>
      <c r="E155" s="655"/>
      <c r="F155" s="655"/>
      <c r="G155" s="655"/>
      <c r="H155" s="655"/>
      <c r="I155" s="655"/>
      <c r="J155" s="655"/>
      <c r="K155" s="655"/>
      <c r="L155" s="655"/>
      <c r="M155" s="655"/>
      <c r="N155" s="655"/>
    </row>
    <row r="156" spans="1:14" ht="17.399999999999999">
      <c r="A156" s="655"/>
      <c r="B156" s="655"/>
      <c r="C156" s="655"/>
      <c r="D156" s="655"/>
      <c r="E156" s="655"/>
      <c r="F156" s="655"/>
      <c r="G156" s="655"/>
      <c r="H156" s="655"/>
      <c r="I156" s="655"/>
      <c r="J156" s="655"/>
      <c r="K156" s="655"/>
      <c r="L156" s="655"/>
      <c r="M156" s="655"/>
      <c r="N156" s="655"/>
    </row>
    <row r="157" spans="1:14" ht="17.399999999999999">
      <c r="A157" s="655"/>
      <c r="B157" s="655"/>
      <c r="C157" s="655"/>
      <c r="D157" s="655"/>
      <c r="E157" s="655"/>
      <c r="F157" s="655"/>
      <c r="G157" s="655"/>
      <c r="H157" s="655"/>
      <c r="I157" s="655"/>
      <c r="J157" s="655"/>
      <c r="K157" s="655"/>
      <c r="L157" s="655"/>
      <c r="M157" s="655"/>
      <c r="N157" s="655"/>
    </row>
    <row r="158" spans="1:14" ht="17.399999999999999">
      <c r="A158" s="655"/>
      <c r="B158" s="655"/>
      <c r="C158" s="655"/>
      <c r="D158" s="655"/>
      <c r="E158" s="655"/>
      <c r="F158" s="655"/>
      <c r="G158" s="655"/>
      <c r="H158" s="655"/>
      <c r="I158" s="655"/>
      <c r="J158" s="655"/>
      <c r="K158" s="655"/>
      <c r="L158" s="655"/>
      <c r="M158" s="655"/>
      <c r="N158" s="655"/>
    </row>
    <row r="159" spans="1:14" ht="17.399999999999999">
      <c r="A159" s="655"/>
      <c r="B159" s="655"/>
      <c r="C159" s="655"/>
      <c r="D159" s="655"/>
      <c r="E159" s="655"/>
      <c r="F159" s="655"/>
      <c r="G159" s="655"/>
      <c r="H159" s="655"/>
      <c r="I159" s="655"/>
      <c r="J159" s="655"/>
      <c r="K159" s="655"/>
      <c r="L159" s="655"/>
      <c r="M159" s="655"/>
      <c r="N159" s="655"/>
    </row>
    <row r="160" spans="1:14" ht="17.399999999999999">
      <c r="A160" s="655"/>
      <c r="B160" s="655"/>
      <c r="C160" s="655"/>
      <c r="D160" s="655"/>
      <c r="E160" s="655"/>
      <c r="F160" s="655"/>
      <c r="G160" s="655"/>
      <c r="H160" s="655"/>
      <c r="I160" s="655"/>
      <c r="J160" s="655"/>
      <c r="K160" s="655"/>
      <c r="L160" s="655"/>
      <c r="M160" s="655"/>
      <c r="N160" s="655"/>
    </row>
    <row r="161" spans="1:14" ht="17.399999999999999">
      <c r="A161" s="655"/>
      <c r="B161" s="655"/>
      <c r="C161" s="655"/>
      <c r="D161" s="655"/>
      <c r="E161" s="655"/>
      <c r="F161" s="655"/>
      <c r="G161" s="655"/>
      <c r="H161" s="655"/>
      <c r="I161" s="655"/>
      <c r="J161" s="655"/>
      <c r="K161" s="655"/>
      <c r="L161" s="655"/>
      <c r="M161" s="655"/>
      <c r="N161" s="655"/>
    </row>
    <row r="162" spans="1:14" ht="17.399999999999999">
      <c r="A162" s="655"/>
      <c r="B162" s="655"/>
      <c r="C162" s="655"/>
      <c r="D162" s="655"/>
      <c r="E162" s="655"/>
      <c r="F162" s="655"/>
      <c r="G162" s="655"/>
      <c r="H162" s="655"/>
      <c r="I162" s="655"/>
      <c r="J162" s="655"/>
      <c r="K162" s="655"/>
      <c r="L162" s="655"/>
      <c r="M162" s="655"/>
      <c r="N162" s="655"/>
    </row>
    <row r="163" spans="1:14" ht="17.399999999999999">
      <c r="A163" s="655"/>
      <c r="B163" s="655"/>
      <c r="C163" s="655"/>
      <c r="D163" s="655"/>
      <c r="E163" s="655"/>
      <c r="F163" s="655"/>
      <c r="G163" s="655"/>
      <c r="H163" s="655"/>
      <c r="I163" s="655"/>
      <c r="J163" s="655"/>
      <c r="K163" s="655"/>
      <c r="L163" s="655"/>
      <c r="M163" s="655"/>
      <c r="N163" s="655"/>
    </row>
    <row r="164" spans="1:14" ht="17.399999999999999">
      <c r="A164" s="655"/>
      <c r="B164" s="655"/>
      <c r="C164" s="655"/>
      <c r="D164" s="655"/>
      <c r="E164" s="655"/>
      <c r="F164" s="655"/>
      <c r="G164" s="655"/>
      <c r="H164" s="655"/>
      <c r="I164" s="655"/>
      <c r="J164" s="655"/>
      <c r="K164" s="655"/>
      <c r="L164" s="655"/>
      <c r="M164" s="655"/>
      <c r="N164" s="655"/>
    </row>
    <row r="165" spans="1:14" ht="17.399999999999999">
      <c r="A165" s="655"/>
      <c r="B165" s="655"/>
      <c r="C165" s="655"/>
      <c r="D165" s="655"/>
      <c r="E165" s="655"/>
      <c r="F165" s="655"/>
      <c r="G165" s="655"/>
      <c r="H165" s="655"/>
      <c r="I165" s="655"/>
      <c r="J165" s="655"/>
      <c r="K165" s="655"/>
      <c r="L165" s="655"/>
      <c r="M165" s="655"/>
      <c r="N165" s="655"/>
    </row>
    <row r="166" spans="1:14" ht="17.399999999999999">
      <c r="A166" s="655"/>
      <c r="B166" s="655"/>
      <c r="C166" s="655"/>
      <c r="D166" s="655"/>
      <c r="E166" s="655"/>
      <c r="F166" s="655"/>
      <c r="G166" s="655"/>
      <c r="H166" s="655"/>
      <c r="I166" s="655"/>
      <c r="J166" s="655"/>
      <c r="K166" s="655"/>
      <c r="L166" s="655"/>
      <c r="M166" s="655"/>
      <c r="N166" s="655"/>
    </row>
    <row r="167" spans="1:14" ht="17.399999999999999">
      <c r="A167" s="655"/>
      <c r="B167" s="655"/>
      <c r="C167" s="655"/>
      <c r="D167" s="655"/>
      <c r="E167" s="655"/>
      <c r="F167" s="655"/>
      <c r="G167" s="655"/>
      <c r="H167" s="655"/>
      <c r="I167" s="655"/>
      <c r="J167" s="655"/>
      <c r="K167" s="655"/>
      <c r="L167" s="655"/>
      <c r="M167" s="655"/>
      <c r="N167" s="655"/>
    </row>
    <row r="168" spans="1:14" ht="17.399999999999999">
      <c r="A168" s="655"/>
      <c r="B168" s="655"/>
      <c r="C168" s="655"/>
      <c r="D168" s="655"/>
      <c r="E168" s="655"/>
      <c r="F168" s="655"/>
      <c r="G168" s="655"/>
      <c r="H168" s="655"/>
      <c r="I168" s="655"/>
      <c r="J168" s="655"/>
      <c r="K168" s="655"/>
      <c r="L168" s="655"/>
      <c r="M168" s="655"/>
      <c r="N168" s="655"/>
    </row>
    <row r="169" spans="1:14" ht="17.399999999999999">
      <c r="A169" s="655"/>
      <c r="B169" s="655"/>
      <c r="C169" s="655"/>
      <c r="D169" s="655"/>
      <c r="E169" s="655"/>
      <c r="F169" s="655"/>
      <c r="G169" s="655"/>
      <c r="H169" s="655"/>
      <c r="I169" s="655"/>
      <c r="J169" s="655"/>
      <c r="K169" s="655"/>
      <c r="L169" s="655"/>
      <c r="M169" s="655"/>
      <c r="N169" s="655"/>
    </row>
    <row r="170" spans="1:14" ht="17.399999999999999">
      <c r="A170" s="655"/>
      <c r="B170" s="655"/>
      <c r="C170" s="655"/>
      <c r="D170" s="655"/>
      <c r="E170" s="655"/>
      <c r="F170" s="655"/>
      <c r="G170" s="655"/>
      <c r="H170" s="655"/>
      <c r="I170" s="655"/>
      <c r="J170" s="655"/>
      <c r="K170" s="655"/>
      <c r="L170" s="655"/>
      <c r="M170" s="655"/>
      <c r="N170" s="655"/>
    </row>
    <row r="171" spans="1:14" ht="17.399999999999999">
      <c r="A171" s="655"/>
      <c r="B171" s="655"/>
      <c r="C171" s="655"/>
      <c r="D171" s="655"/>
      <c r="E171" s="655"/>
      <c r="F171" s="655"/>
      <c r="G171" s="655"/>
      <c r="H171" s="655"/>
      <c r="I171" s="655"/>
      <c r="J171" s="655"/>
      <c r="K171" s="655"/>
      <c r="L171" s="655"/>
      <c r="M171" s="655"/>
      <c r="N171" s="655"/>
    </row>
    <row r="172" spans="1:14" ht="17.399999999999999">
      <c r="A172" s="655"/>
      <c r="B172" s="655"/>
      <c r="C172" s="655"/>
      <c r="D172" s="655"/>
      <c r="E172" s="655"/>
      <c r="F172" s="655"/>
      <c r="G172" s="655"/>
      <c r="H172" s="655"/>
      <c r="I172" s="655"/>
      <c r="J172" s="655"/>
      <c r="K172" s="655"/>
      <c r="L172" s="655"/>
      <c r="M172" s="655"/>
      <c r="N172" s="655"/>
    </row>
    <row r="173" spans="1:14" ht="17.399999999999999">
      <c r="A173" s="655"/>
      <c r="B173" s="655"/>
      <c r="C173" s="655"/>
      <c r="D173" s="655"/>
      <c r="E173" s="655"/>
      <c r="F173" s="655"/>
      <c r="G173" s="655"/>
      <c r="H173" s="655"/>
      <c r="I173" s="655"/>
      <c r="J173" s="655"/>
      <c r="K173" s="655"/>
      <c r="L173" s="655"/>
      <c r="M173" s="655"/>
      <c r="N173" s="655"/>
    </row>
    <row r="174" spans="1:14" ht="17.399999999999999">
      <c r="A174" s="655"/>
      <c r="B174" s="655"/>
      <c r="C174" s="655"/>
      <c r="D174" s="655"/>
      <c r="E174" s="655"/>
      <c r="F174" s="655"/>
      <c r="G174" s="655"/>
      <c r="H174" s="655"/>
      <c r="I174" s="655"/>
      <c r="J174" s="655"/>
      <c r="K174" s="655"/>
      <c r="L174" s="655"/>
      <c r="M174" s="655"/>
      <c r="N174" s="655"/>
    </row>
    <row r="175" spans="1:14" ht="17.399999999999999">
      <c r="A175" s="655"/>
      <c r="B175" s="655"/>
      <c r="C175" s="655"/>
      <c r="D175" s="655"/>
      <c r="E175" s="655"/>
      <c r="F175" s="655"/>
      <c r="G175" s="655"/>
      <c r="H175" s="655"/>
      <c r="I175" s="655"/>
      <c r="J175" s="655"/>
      <c r="K175" s="655"/>
      <c r="L175" s="655"/>
      <c r="M175" s="655"/>
      <c r="N175" s="655"/>
    </row>
    <row r="176" spans="1:14" ht="17.399999999999999">
      <c r="A176" s="655"/>
      <c r="B176" s="655"/>
      <c r="C176" s="655"/>
      <c r="D176" s="655"/>
      <c r="E176" s="655"/>
      <c r="F176" s="655"/>
      <c r="G176" s="655"/>
      <c r="H176" s="655"/>
      <c r="I176" s="655"/>
      <c r="J176" s="655"/>
      <c r="K176" s="655"/>
      <c r="L176" s="655"/>
      <c r="M176" s="655"/>
      <c r="N176" s="655"/>
    </row>
    <row r="177" spans="1:14" ht="17.399999999999999">
      <c r="A177" s="655"/>
      <c r="B177" s="655"/>
      <c r="C177" s="655"/>
      <c r="D177" s="655"/>
      <c r="E177" s="655"/>
      <c r="F177" s="655"/>
      <c r="G177" s="655"/>
      <c r="H177" s="655"/>
      <c r="I177" s="655"/>
      <c r="J177" s="655"/>
      <c r="K177" s="655"/>
      <c r="L177" s="655"/>
      <c r="M177" s="655"/>
      <c r="N177" s="655"/>
    </row>
    <row r="178" spans="1:14" ht="17.399999999999999">
      <c r="A178" s="655"/>
      <c r="B178" s="655"/>
      <c r="C178" s="655"/>
      <c r="D178" s="655"/>
      <c r="E178" s="655"/>
      <c r="F178" s="655"/>
      <c r="G178" s="655"/>
      <c r="H178" s="655"/>
      <c r="I178" s="655"/>
      <c r="J178" s="655"/>
      <c r="K178" s="655"/>
      <c r="L178" s="655"/>
      <c r="M178" s="655"/>
      <c r="N178" s="655"/>
    </row>
    <row r="179" spans="1:14" ht="17.399999999999999">
      <c r="A179" s="655"/>
      <c r="B179" s="655"/>
      <c r="C179" s="655"/>
      <c r="D179" s="655"/>
      <c r="E179" s="655"/>
      <c r="F179" s="655"/>
      <c r="G179" s="655"/>
      <c r="H179" s="655"/>
      <c r="I179" s="655"/>
      <c r="J179" s="655"/>
      <c r="K179" s="655"/>
      <c r="L179" s="655"/>
      <c r="M179" s="655"/>
      <c r="N179" s="655"/>
    </row>
    <row r="180" spans="1:14" ht="17.399999999999999">
      <c r="A180" s="655"/>
      <c r="B180" s="655"/>
      <c r="C180" s="655"/>
      <c r="D180" s="655"/>
      <c r="E180" s="655"/>
      <c r="F180" s="655"/>
      <c r="G180" s="655"/>
      <c r="H180" s="655"/>
      <c r="I180" s="655"/>
      <c r="J180" s="655"/>
      <c r="K180" s="655"/>
      <c r="L180" s="655"/>
      <c r="M180" s="655"/>
      <c r="N180" s="655"/>
    </row>
    <row r="181" spans="1:14" ht="17.399999999999999">
      <c r="A181" s="655"/>
      <c r="B181" s="655"/>
      <c r="C181" s="655"/>
      <c r="D181" s="655"/>
      <c r="E181" s="655"/>
      <c r="F181" s="655"/>
      <c r="G181" s="655"/>
      <c r="H181" s="655"/>
      <c r="I181" s="655"/>
      <c r="J181" s="655"/>
      <c r="K181" s="655"/>
      <c r="L181" s="655"/>
      <c r="M181" s="655"/>
      <c r="N181" s="655"/>
    </row>
    <row r="182" spans="1:14" ht="17.399999999999999">
      <c r="A182" s="655"/>
      <c r="B182" s="655"/>
      <c r="C182" s="655"/>
      <c r="D182" s="655"/>
      <c r="E182" s="655"/>
      <c r="F182" s="655"/>
      <c r="G182" s="655"/>
      <c r="H182" s="655"/>
      <c r="I182" s="655"/>
      <c r="J182" s="655"/>
      <c r="K182" s="655"/>
      <c r="L182" s="655"/>
      <c r="M182" s="655"/>
      <c r="N182" s="655"/>
    </row>
    <row r="183" spans="1:14" ht="17.399999999999999">
      <c r="A183" s="655"/>
      <c r="B183" s="655"/>
      <c r="C183" s="655"/>
      <c r="D183" s="655"/>
      <c r="E183" s="655"/>
      <c r="F183" s="655"/>
      <c r="G183" s="655"/>
      <c r="H183" s="655"/>
      <c r="I183" s="655"/>
      <c r="J183" s="655"/>
      <c r="K183" s="655"/>
      <c r="L183" s="655"/>
      <c r="M183" s="655"/>
      <c r="N183" s="655"/>
    </row>
    <row r="184" spans="1:14" ht="17.399999999999999">
      <c r="A184" s="655"/>
      <c r="B184" s="655"/>
      <c r="C184" s="655"/>
      <c r="D184" s="655"/>
      <c r="E184" s="655"/>
      <c r="F184" s="655"/>
      <c r="G184" s="655"/>
      <c r="H184" s="655"/>
      <c r="I184" s="655"/>
      <c r="J184" s="655"/>
      <c r="K184" s="655"/>
      <c r="L184" s="655"/>
      <c r="M184" s="655"/>
      <c r="N184" s="655"/>
    </row>
    <row r="185" spans="1:14" ht="17.399999999999999">
      <c r="A185" s="655"/>
      <c r="B185" s="655"/>
      <c r="C185" s="655"/>
      <c r="D185" s="655"/>
      <c r="E185" s="655"/>
      <c r="F185" s="655"/>
      <c r="G185" s="655"/>
      <c r="H185" s="655"/>
      <c r="I185" s="655"/>
      <c r="J185" s="655"/>
      <c r="K185" s="655"/>
      <c r="L185" s="655"/>
      <c r="M185" s="655"/>
      <c r="N185" s="655"/>
    </row>
    <row r="186" spans="1:14" ht="17.399999999999999">
      <c r="A186" s="655"/>
      <c r="B186" s="655"/>
      <c r="C186" s="655"/>
      <c r="D186" s="655"/>
      <c r="E186" s="655"/>
      <c r="F186" s="655"/>
      <c r="G186" s="655"/>
      <c r="H186" s="655"/>
      <c r="I186" s="655"/>
      <c r="J186" s="655"/>
      <c r="K186" s="655"/>
      <c r="L186" s="655"/>
      <c r="M186" s="655"/>
      <c r="N186" s="655"/>
    </row>
    <row r="187" spans="1:14" ht="17.399999999999999">
      <c r="A187" s="655"/>
      <c r="B187" s="655"/>
      <c r="C187" s="655"/>
      <c r="D187" s="655"/>
      <c r="E187" s="655"/>
      <c r="F187" s="655"/>
      <c r="G187" s="655"/>
      <c r="H187" s="655"/>
      <c r="I187" s="655"/>
      <c r="J187" s="655"/>
      <c r="K187" s="655"/>
      <c r="L187" s="655"/>
      <c r="M187" s="655"/>
      <c r="N187" s="655"/>
    </row>
    <row r="188" spans="1:14" ht="17.399999999999999">
      <c r="A188" s="655"/>
      <c r="B188" s="655"/>
      <c r="C188" s="655"/>
      <c r="D188" s="655"/>
      <c r="E188" s="655"/>
      <c r="F188" s="655"/>
      <c r="G188" s="655"/>
      <c r="H188" s="655"/>
      <c r="I188" s="655"/>
      <c r="J188" s="655"/>
      <c r="K188" s="655"/>
      <c r="L188" s="655"/>
      <c r="M188" s="655"/>
      <c r="N188" s="655"/>
    </row>
    <row r="189" spans="1:14" ht="17.399999999999999">
      <c r="A189" s="655"/>
      <c r="B189" s="655"/>
      <c r="C189" s="655"/>
      <c r="D189" s="655"/>
      <c r="E189" s="655"/>
      <c r="F189" s="655"/>
      <c r="G189" s="655"/>
      <c r="H189" s="655"/>
      <c r="I189" s="655"/>
      <c r="J189" s="655"/>
      <c r="K189" s="655"/>
      <c r="L189" s="655"/>
      <c r="M189" s="655"/>
      <c r="N189" s="655"/>
    </row>
    <row r="190" spans="1:14" ht="17.399999999999999">
      <c r="A190" s="655"/>
      <c r="B190" s="655"/>
      <c r="C190" s="655"/>
      <c r="D190" s="655"/>
      <c r="E190" s="655"/>
      <c r="F190" s="655"/>
      <c r="G190" s="655"/>
      <c r="H190" s="655"/>
      <c r="I190" s="655"/>
      <c r="J190" s="655"/>
      <c r="K190" s="655"/>
      <c r="L190" s="655"/>
      <c r="M190" s="655"/>
      <c r="N190" s="655"/>
    </row>
    <row r="191" spans="1:14" ht="17.399999999999999">
      <c r="A191" s="655"/>
      <c r="B191" s="655"/>
      <c r="C191" s="655"/>
      <c r="D191" s="655"/>
      <c r="E191" s="655"/>
      <c r="F191" s="655"/>
      <c r="G191" s="655"/>
      <c r="H191" s="655"/>
      <c r="I191" s="655"/>
      <c r="J191" s="655"/>
      <c r="K191" s="655"/>
      <c r="L191" s="655"/>
      <c r="M191" s="655"/>
      <c r="N191" s="655"/>
    </row>
    <row r="192" spans="1:14" ht="17.399999999999999">
      <c r="A192" s="655"/>
      <c r="B192" s="655"/>
      <c r="C192" s="655"/>
      <c r="D192" s="655"/>
      <c r="E192" s="655"/>
      <c r="F192" s="655"/>
      <c r="G192" s="655"/>
      <c r="H192" s="655"/>
      <c r="I192" s="655"/>
      <c r="J192" s="655"/>
      <c r="K192" s="655"/>
      <c r="L192" s="655"/>
      <c r="M192" s="655"/>
      <c r="N192" s="655"/>
    </row>
    <row r="193" spans="1:14" ht="17.399999999999999">
      <c r="A193" s="655"/>
      <c r="B193" s="655"/>
      <c r="C193" s="655"/>
      <c r="D193" s="655"/>
      <c r="E193" s="655"/>
      <c r="F193" s="655"/>
      <c r="G193" s="655"/>
      <c r="H193" s="655"/>
      <c r="I193" s="655"/>
      <c r="J193" s="655"/>
      <c r="K193" s="655"/>
      <c r="L193" s="655"/>
      <c r="M193" s="655"/>
      <c r="N193" s="655"/>
    </row>
    <row r="194" spans="1:14" ht="17.399999999999999">
      <c r="A194" s="655"/>
      <c r="B194" s="655"/>
      <c r="C194" s="655"/>
      <c r="D194" s="655"/>
      <c r="E194" s="655"/>
      <c r="F194" s="655"/>
      <c r="G194" s="655"/>
      <c r="H194" s="655"/>
      <c r="I194" s="655"/>
      <c r="J194" s="655"/>
      <c r="K194" s="655"/>
      <c r="L194" s="655"/>
      <c r="M194" s="655"/>
      <c r="N194" s="655"/>
    </row>
    <row r="195" spans="1:14" ht="17.399999999999999">
      <c r="A195" s="655"/>
      <c r="B195" s="655"/>
      <c r="C195" s="655"/>
      <c r="D195" s="655"/>
      <c r="E195" s="655"/>
      <c r="F195" s="655"/>
      <c r="G195" s="655"/>
      <c r="H195" s="655"/>
      <c r="I195" s="655"/>
      <c r="J195" s="655"/>
      <c r="K195" s="655"/>
      <c r="L195" s="655"/>
      <c r="M195" s="655"/>
      <c r="N195" s="655"/>
    </row>
    <row r="196" spans="1:14" ht="17.399999999999999">
      <c r="A196" s="655"/>
      <c r="B196" s="655"/>
      <c r="C196" s="655"/>
      <c r="D196" s="655"/>
      <c r="E196" s="655"/>
      <c r="F196" s="655"/>
      <c r="G196" s="655"/>
      <c r="H196" s="655"/>
      <c r="I196" s="655"/>
      <c r="J196" s="655"/>
      <c r="K196" s="655"/>
      <c r="L196" s="655"/>
      <c r="M196" s="655"/>
      <c r="N196" s="655"/>
    </row>
    <row r="197" spans="1:14" ht="17.399999999999999">
      <c r="A197" s="655"/>
      <c r="B197" s="655"/>
      <c r="C197" s="655"/>
      <c r="D197" s="655"/>
      <c r="E197" s="655"/>
      <c r="F197" s="655"/>
      <c r="G197" s="655"/>
      <c r="H197" s="655"/>
      <c r="I197" s="655"/>
      <c r="J197" s="655"/>
      <c r="K197" s="655"/>
      <c r="L197" s="655"/>
      <c r="M197" s="655"/>
      <c r="N197" s="655"/>
    </row>
    <row r="198" spans="1:14" ht="17.399999999999999">
      <c r="A198" s="655"/>
      <c r="B198" s="655"/>
      <c r="C198" s="655"/>
      <c r="D198" s="655"/>
      <c r="E198" s="655"/>
      <c r="F198" s="655"/>
      <c r="G198" s="655"/>
      <c r="H198" s="655"/>
      <c r="I198" s="655"/>
      <c r="J198" s="655"/>
      <c r="K198" s="655"/>
      <c r="L198" s="655"/>
      <c r="M198" s="655"/>
      <c r="N198" s="655"/>
    </row>
    <row r="199" spans="1:14" ht="17.399999999999999">
      <c r="A199" s="655"/>
      <c r="B199" s="655"/>
      <c r="C199" s="655"/>
      <c r="D199" s="655"/>
      <c r="E199" s="655"/>
      <c r="F199" s="655"/>
      <c r="G199" s="655"/>
      <c r="H199" s="655"/>
      <c r="I199" s="655"/>
      <c r="J199" s="655"/>
      <c r="K199" s="655"/>
      <c r="L199" s="655"/>
      <c r="M199" s="655"/>
      <c r="N199" s="655"/>
    </row>
    <row r="200" spans="1:14" ht="17.399999999999999">
      <c r="A200" s="655"/>
      <c r="B200" s="655"/>
      <c r="C200" s="655"/>
      <c r="D200" s="655"/>
      <c r="E200" s="655"/>
      <c r="F200" s="655"/>
      <c r="G200" s="655"/>
      <c r="H200" s="655"/>
      <c r="I200" s="655"/>
      <c r="J200" s="655"/>
      <c r="K200" s="655"/>
      <c r="L200" s="655"/>
      <c r="M200" s="655"/>
      <c r="N200" s="655"/>
    </row>
    <row r="201" spans="1:14" ht="17.399999999999999">
      <c r="A201" s="655"/>
      <c r="B201" s="655"/>
      <c r="C201" s="655"/>
      <c r="D201" s="655"/>
      <c r="E201" s="655"/>
      <c r="F201" s="655"/>
      <c r="G201" s="655"/>
      <c r="H201" s="655"/>
      <c r="I201" s="655"/>
      <c r="J201" s="655"/>
      <c r="K201" s="655"/>
      <c r="L201" s="655"/>
      <c r="M201" s="655"/>
      <c r="N201" s="655"/>
    </row>
    <row r="202" spans="1:14" ht="17.399999999999999">
      <c r="A202" s="655"/>
      <c r="B202" s="655"/>
      <c r="C202" s="655"/>
      <c r="D202" s="655"/>
      <c r="E202" s="655"/>
      <c r="F202" s="655"/>
      <c r="G202" s="655"/>
      <c r="H202" s="655"/>
      <c r="I202" s="655"/>
      <c r="J202" s="655"/>
      <c r="K202" s="655"/>
      <c r="L202" s="655"/>
      <c r="M202" s="655"/>
      <c r="N202" s="655"/>
    </row>
    <row r="203" spans="1:14" ht="17.399999999999999">
      <c r="A203" s="655"/>
      <c r="B203" s="655"/>
      <c r="C203" s="655"/>
      <c r="D203" s="655"/>
      <c r="E203" s="655"/>
      <c r="F203" s="655"/>
      <c r="G203" s="655"/>
      <c r="H203" s="655"/>
      <c r="I203" s="655"/>
      <c r="J203" s="655"/>
      <c r="K203" s="655"/>
      <c r="L203" s="655"/>
      <c r="M203" s="655"/>
      <c r="N203" s="655"/>
    </row>
    <row r="204" spans="1:14" ht="17.399999999999999">
      <c r="A204" s="655"/>
      <c r="B204" s="655"/>
      <c r="C204" s="655"/>
      <c r="D204" s="655"/>
      <c r="E204" s="655"/>
      <c r="F204" s="655"/>
      <c r="G204" s="655"/>
      <c r="H204" s="655"/>
      <c r="I204" s="655"/>
      <c r="J204" s="655"/>
      <c r="K204" s="655"/>
      <c r="L204" s="655"/>
      <c r="M204" s="655"/>
      <c r="N204" s="655"/>
    </row>
    <row r="205" spans="1:14" ht="17.399999999999999">
      <c r="A205" s="655"/>
      <c r="B205" s="655"/>
      <c r="C205" s="655"/>
      <c r="D205" s="655"/>
      <c r="E205" s="655"/>
      <c r="F205" s="655"/>
      <c r="G205" s="655"/>
      <c r="H205" s="655"/>
      <c r="I205" s="655"/>
      <c r="J205" s="655"/>
      <c r="K205" s="655"/>
      <c r="L205" s="655"/>
      <c r="M205" s="655"/>
      <c r="N205" s="655"/>
    </row>
    <row r="206" spans="1:14" ht="17.399999999999999">
      <c r="A206" s="655"/>
      <c r="B206" s="655"/>
      <c r="C206" s="655"/>
      <c r="D206" s="655"/>
      <c r="E206" s="655"/>
      <c r="F206" s="655"/>
      <c r="G206" s="655"/>
      <c r="H206" s="655"/>
      <c r="I206" s="655"/>
      <c r="J206" s="655"/>
      <c r="K206" s="655"/>
      <c r="L206" s="655"/>
      <c r="M206" s="655"/>
      <c r="N206" s="655"/>
    </row>
    <row r="207" spans="1:14" ht="17.399999999999999">
      <c r="A207" s="655"/>
      <c r="B207" s="655"/>
      <c r="C207" s="655"/>
      <c r="D207" s="655"/>
      <c r="E207" s="655"/>
      <c r="F207" s="655"/>
      <c r="G207" s="655"/>
      <c r="H207" s="655"/>
      <c r="I207" s="655"/>
      <c r="J207" s="655"/>
      <c r="K207" s="655"/>
      <c r="L207" s="655"/>
      <c r="M207" s="655"/>
      <c r="N207" s="655"/>
    </row>
    <row r="208" spans="1:14" ht="17.399999999999999">
      <c r="A208" s="655"/>
      <c r="B208" s="655"/>
      <c r="C208" s="655"/>
      <c r="D208" s="655"/>
      <c r="E208" s="655"/>
      <c r="F208" s="655"/>
      <c r="G208" s="655"/>
      <c r="H208" s="655"/>
      <c r="I208" s="655"/>
      <c r="J208" s="655"/>
      <c r="K208" s="655"/>
      <c r="L208" s="655"/>
      <c r="M208" s="655"/>
      <c r="N208" s="655"/>
    </row>
    <row r="209" spans="1:14" ht="17.399999999999999">
      <c r="A209" s="655"/>
      <c r="B209" s="655"/>
      <c r="C209" s="655"/>
      <c r="D209" s="655"/>
      <c r="E209" s="655"/>
      <c r="F209" s="655"/>
      <c r="G209" s="655"/>
      <c r="H209" s="655"/>
      <c r="I209" s="655"/>
      <c r="J209" s="655"/>
      <c r="K209" s="655"/>
      <c r="L209" s="655"/>
      <c r="M209" s="655"/>
      <c r="N209" s="655"/>
    </row>
    <row r="210" spans="1:14" ht="17.399999999999999">
      <c r="A210" s="655"/>
      <c r="B210" s="655"/>
      <c r="C210" s="655"/>
      <c r="D210" s="655"/>
      <c r="E210" s="655"/>
      <c r="F210" s="655"/>
      <c r="G210" s="655"/>
      <c r="H210" s="655"/>
      <c r="I210" s="655"/>
      <c r="J210" s="655"/>
      <c r="K210" s="655"/>
      <c r="L210" s="655"/>
      <c r="M210" s="655"/>
      <c r="N210" s="655"/>
    </row>
    <row r="211" spans="1:14" ht="17.399999999999999">
      <c r="A211" s="655"/>
      <c r="B211" s="655"/>
      <c r="C211" s="655"/>
      <c r="D211" s="655"/>
      <c r="E211" s="655"/>
      <c r="F211" s="655"/>
      <c r="G211" s="655"/>
      <c r="H211" s="655"/>
      <c r="I211" s="655"/>
      <c r="J211" s="655"/>
      <c r="K211" s="655"/>
      <c r="L211" s="655"/>
      <c r="M211" s="655"/>
      <c r="N211" s="655"/>
    </row>
    <row r="212" spans="1:14" ht="17.399999999999999">
      <c r="A212" s="655"/>
      <c r="B212" s="655"/>
      <c r="C212" s="655"/>
      <c r="D212" s="655"/>
      <c r="E212" s="655"/>
      <c r="F212" s="655"/>
      <c r="G212" s="655"/>
      <c r="H212" s="655"/>
      <c r="I212" s="655"/>
      <c r="J212" s="655"/>
      <c r="K212" s="655"/>
      <c r="L212" s="655"/>
      <c r="M212" s="655"/>
      <c r="N212" s="655"/>
    </row>
    <row r="213" spans="1:14" ht="17.399999999999999">
      <c r="A213" s="655"/>
      <c r="B213" s="655"/>
      <c r="C213" s="655"/>
      <c r="D213" s="655"/>
      <c r="E213" s="655"/>
      <c r="F213" s="655"/>
      <c r="G213" s="655"/>
      <c r="H213" s="655"/>
      <c r="I213" s="655"/>
      <c r="J213" s="655"/>
      <c r="K213" s="655"/>
      <c r="L213" s="655"/>
      <c r="M213" s="655"/>
      <c r="N213" s="655"/>
    </row>
    <row r="214" spans="1:14" ht="17.399999999999999">
      <c r="A214" s="655"/>
      <c r="B214" s="655"/>
      <c r="C214" s="655"/>
      <c r="D214" s="655"/>
      <c r="E214" s="655"/>
      <c r="F214" s="655"/>
      <c r="G214" s="655"/>
      <c r="H214" s="655"/>
      <c r="I214" s="655"/>
      <c r="J214" s="655"/>
      <c r="K214" s="655"/>
      <c r="L214" s="655"/>
      <c r="M214" s="655"/>
      <c r="N214" s="655"/>
    </row>
    <row r="215" spans="1:14" ht="17.399999999999999">
      <c r="A215" s="655"/>
      <c r="B215" s="655"/>
      <c r="C215" s="655"/>
      <c r="D215" s="655"/>
      <c r="E215" s="655"/>
      <c r="F215" s="655"/>
      <c r="G215" s="655"/>
      <c r="H215" s="655"/>
      <c r="I215" s="655"/>
      <c r="J215" s="655"/>
      <c r="K215" s="655"/>
      <c r="L215" s="655"/>
      <c r="M215" s="655"/>
      <c r="N215" s="655"/>
    </row>
    <row r="216" spans="1:14" ht="17.399999999999999">
      <c r="A216" s="655"/>
      <c r="B216" s="655"/>
      <c r="C216" s="655"/>
      <c r="D216" s="655"/>
      <c r="E216" s="655"/>
      <c r="F216" s="655"/>
      <c r="G216" s="655"/>
      <c r="H216" s="655"/>
      <c r="I216" s="655"/>
      <c r="J216" s="655"/>
      <c r="K216" s="655"/>
      <c r="L216" s="655"/>
      <c r="M216" s="655"/>
      <c r="N216" s="655"/>
    </row>
    <row r="217" spans="1:14" ht="17.399999999999999">
      <c r="A217" s="655"/>
      <c r="B217" s="655"/>
      <c r="C217" s="655"/>
      <c r="D217" s="655"/>
      <c r="E217" s="655"/>
      <c r="F217" s="655"/>
      <c r="G217" s="655"/>
      <c r="H217" s="655"/>
      <c r="I217" s="655"/>
      <c r="J217" s="655"/>
      <c r="K217" s="655"/>
      <c r="L217" s="655"/>
      <c r="M217" s="655"/>
      <c r="N217" s="655"/>
    </row>
    <row r="218" spans="1:14" ht="17.399999999999999">
      <c r="A218" s="655"/>
      <c r="B218" s="655"/>
      <c r="C218" s="655"/>
      <c r="D218" s="655"/>
      <c r="E218" s="655"/>
      <c r="F218" s="655"/>
      <c r="G218" s="655"/>
      <c r="H218" s="655"/>
      <c r="I218" s="655"/>
      <c r="J218" s="655"/>
      <c r="K218" s="655"/>
      <c r="L218" s="655"/>
      <c r="M218" s="655"/>
      <c r="N218" s="655"/>
    </row>
    <row r="219" spans="1:14" ht="17.399999999999999">
      <c r="A219" s="655"/>
      <c r="B219" s="655"/>
      <c r="C219" s="655"/>
      <c r="D219" s="655"/>
      <c r="E219" s="655"/>
      <c r="F219" s="655"/>
      <c r="G219" s="655"/>
      <c r="H219" s="655"/>
      <c r="I219" s="655"/>
      <c r="J219" s="655"/>
      <c r="K219" s="655"/>
      <c r="L219" s="655"/>
      <c r="M219" s="655"/>
      <c r="N219" s="655"/>
    </row>
    <row r="220" spans="1:14" ht="17.399999999999999">
      <c r="A220" s="655"/>
      <c r="B220" s="655"/>
      <c r="C220" s="655"/>
      <c r="D220" s="655"/>
      <c r="E220" s="655"/>
      <c r="F220" s="655"/>
      <c r="G220" s="655"/>
      <c r="H220" s="655"/>
      <c r="I220" s="655"/>
      <c r="J220" s="655"/>
      <c r="K220" s="655"/>
      <c r="L220" s="655"/>
      <c r="M220" s="655"/>
      <c r="N220" s="655"/>
    </row>
    <row r="221" spans="1:14" ht="17.399999999999999">
      <c r="A221" s="655"/>
      <c r="B221" s="655"/>
      <c r="C221" s="655"/>
      <c r="D221" s="655"/>
      <c r="E221" s="655"/>
      <c r="F221" s="655"/>
      <c r="G221" s="655"/>
      <c r="H221" s="655"/>
      <c r="I221" s="655"/>
      <c r="J221" s="655"/>
      <c r="K221" s="655"/>
      <c r="L221" s="655"/>
      <c r="M221" s="655"/>
      <c r="N221" s="655"/>
    </row>
    <row r="222" spans="1:14" ht="17.399999999999999">
      <c r="A222" s="655"/>
      <c r="B222" s="655"/>
      <c r="C222" s="655"/>
      <c r="D222" s="655"/>
      <c r="E222" s="655"/>
      <c r="F222" s="655"/>
      <c r="G222" s="655"/>
      <c r="H222" s="655"/>
      <c r="I222" s="655"/>
      <c r="J222" s="655"/>
      <c r="K222" s="655"/>
      <c r="L222" s="655"/>
      <c r="M222" s="655"/>
      <c r="N222" s="655"/>
    </row>
    <row r="223" spans="1:14" ht="17.399999999999999">
      <c r="A223" s="655"/>
      <c r="B223" s="655"/>
      <c r="C223" s="655"/>
      <c r="D223" s="655"/>
      <c r="E223" s="655"/>
      <c r="F223" s="655"/>
      <c r="G223" s="655"/>
      <c r="H223" s="655"/>
      <c r="I223" s="655"/>
      <c r="J223" s="655"/>
      <c r="K223" s="655"/>
      <c r="L223" s="655"/>
      <c r="M223" s="655"/>
      <c r="N223" s="655"/>
    </row>
    <row r="224" spans="1:14" ht="17.399999999999999">
      <c r="A224" s="655"/>
      <c r="B224" s="655"/>
      <c r="C224" s="655"/>
      <c r="D224" s="655"/>
      <c r="E224" s="655"/>
      <c r="F224" s="655"/>
      <c r="G224" s="655"/>
      <c r="H224" s="655"/>
      <c r="I224" s="655"/>
      <c r="J224" s="655"/>
      <c r="K224" s="655"/>
      <c r="L224" s="655"/>
      <c r="M224" s="655"/>
      <c r="N224" s="655"/>
    </row>
    <row r="225" spans="1:14" ht="17.399999999999999">
      <c r="A225" s="655"/>
      <c r="B225" s="655"/>
      <c r="C225" s="655"/>
      <c r="D225" s="655"/>
      <c r="E225" s="655"/>
      <c r="F225" s="655"/>
      <c r="G225" s="655"/>
      <c r="H225" s="655"/>
      <c r="I225" s="655"/>
      <c r="J225" s="655"/>
      <c r="K225" s="655"/>
      <c r="L225" s="655"/>
      <c r="M225" s="655"/>
      <c r="N225" s="655"/>
    </row>
    <row r="226" spans="1:14" ht="17.399999999999999">
      <c r="A226" s="655"/>
      <c r="B226" s="655"/>
      <c r="C226" s="655"/>
      <c r="D226" s="655"/>
      <c r="E226" s="655"/>
      <c r="F226" s="655"/>
      <c r="G226" s="655"/>
      <c r="H226" s="655"/>
      <c r="I226" s="655"/>
      <c r="J226" s="655"/>
      <c r="K226" s="655"/>
      <c r="L226" s="655"/>
      <c r="M226" s="655"/>
      <c r="N226" s="655"/>
    </row>
    <row r="227" spans="1:14" ht="17.399999999999999">
      <c r="A227" s="655"/>
      <c r="B227" s="655"/>
      <c r="C227" s="655"/>
      <c r="D227" s="655"/>
      <c r="E227" s="655"/>
      <c r="F227" s="655"/>
      <c r="G227" s="655"/>
      <c r="H227" s="655"/>
      <c r="I227" s="655"/>
      <c r="J227" s="655"/>
      <c r="K227" s="655"/>
      <c r="L227" s="655"/>
      <c r="M227" s="655"/>
      <c r="N227" s="655"/>
    </row>
    <row r="228" spans="1:14" ht="17.399999999999999">
      <c r="A228" s="655"/>
      <c r="B228" s="655"/>
      <c r="C228" s="655"/>
      <c r="D228" s="655"/>
      <c r="E228" s="655"/>
      <c r="F228" s="655"/>
      <c r="G228" s="655"/>
      <c r="H228" s="655"/>
      <c r="I228" s="655"/>
      <c r="J228" s="655"/>
      <c r="K228" s="655"/>
      <c r="L228" s="655"/>
      <c r="M228" s="655"/>
      <c r="N228" s="655"/>
    </row>
    <row r="229" spans="1:14" ht="17.399999999999999">
      <c r="A229" s="655"/>
      <c r="B229" s="655"/>
      <c r="C229" s="655"/>
      <c r="D229" s="655"/>
      <c r="E229" s="655"/>
      <c r="F229" s="655"/>
      <c r="G229" s="655"/>
      <c r="H229" s="655"/>
      <c r="I229" s="655"/>
      <c r="J229" s="655"/>
      <c r="K229" s="655"/>
      <c r="L229" s="655"/>
      <c r="M229" s="655"/>
      <c r="N229" s="655"/>
    </row>
    <row r="230" spans="1:14" ht="17.399999999999999">
      <c r="A230" s="655"/>
      <c r="B230" s="655"/>
      <c r="C230" s="655"/>
      <c r="D230" s="655"/>
      <c r="E230" s="655"/>
      <c r="F230" s="655"/>
      <c r="G230" s="655"/>
      <c r="H230" s="655"/>
      <c r="I230" s="655"/>
      <c r="J230" s="655"/>
      <c r="K230" s="655"/>
      <c r="L230" s="655"/>
      <c r="M230" s="655"/>
      <c r="N230" s="655"/>
    </row>
    <row r="231" spans="1:14" ht="17.399999999999999">
      <c r="A231" s="655"/>
      <c r="B231" s="655"/>
      <c r="C231" s="655"/>
      <c r="D231" s="655"/>
      <c r="E231" s="655"/>
      <c r="F231" s="655"/>
      <c r="G231" s="655"/>
      <c r="H231" s="655"/>
      <c r="I231" s="655"/>
      <c r="J231" s="655"/>
      <c r="K231" s="655"/>
      <c r="L231" s="655"/>
      <c r="M231" s="655"/>
      <c r="N231" s="655"/>
    </row>
    <row r="232" spans="1:14" ht="17.399999999999999">
      <c r="A232" s="655"/>
      <c r="B232" s="655"/>
      <c r="C232" s="655"/>
      <c r="D232" s="655"/>
      <c r="E232" s="655"/>
      <c r="F232" s="655"/>
      <c r="G232" s="655"/>
      <c r="H232" s="655"/>
      <c r="I232" s="655"/>
      <c r="J232" s="655"/>
      <c r="K232" s="655"/>
      <c r="L232" s="655"/>
      <c r="M232" s="655"/>
      <c r="N232" s="655"/>
    </row>
    <row r="233" spans="1:14" ht="17.399999999999999">
      <c r="A233" s="655"/>
      <c r="B233" s="655"/>
      <c r="C233" s="655"/>
      <c r="D233" s="655"/>
      <c r="E233" s="655"/>
      <c r="F233" s="655"/>
      <c r="G233" s="655"/>
      <c r="H233" s="655"/>
      <c r="I233" s="655"/>
      <c r="J233" s="655"/>
      <c r="K233" s="655"/>
      <c r="L233" s="655"/>
      <c r="M233" s="655"/>
      <c r="N233" s="655"/>
    </row>
    <row r="234" spans="1:14" ht="17.399999999999999">
      <c r="A234" s="655"/>
      <c r="B234" s="655"/>
      <c r="C234" s="655"/>
      <c r="D234" s="655"/>
      <c r="E234" s="655"/>
      <c r="F234" s="655"/>
      <c r="G234" s="655"/>
      <c r="H234" s="655"/>
      <c r="I234" s="655"/>
      <c r="J234" s="655"/>
      <c r="K234" s="655"/>
      <c r="L234" s="655"/>
      <c r="M234" s="655"/>
      <c r="N234" s="655"/>
    </row>
    <row r="235" spans="1:14" ht="17.399999999999999">
      <c r="A235" s="655"/>
      <c r="B235" s="655"/>
      <c r="C235" s="655"/>
      <c r="D235" s="655"/>
      <c r="E235" s="655"/>
      <c r="F235" s="655"/>
      <c r="G235" s="655"/>
      <c r="H235" s="655"/>
      <c r="I235" s="655"/>
      <c r="J235" s="655"/>
      <c r="K235" s="655"/>
      <c r="L235" s="655"/>
      <c r="M235" s="655"/>
      <c r="N235" s="655"/>
    </row>
    <row r="236" spans="1:14" ht="17.399999999999999">
      <c r="A236" s="655"/>
      <c r="B236" s="655"/>
      <c r="C236" s="655"/>
      <c r="D236" s="655"/>
      <c r="E236" s="655"/>
      <c r="F236" s="655"/>
      <c r="G236" s="655"/>
      <c r="H236" s="655"/>
      <c r="I236" s="655"/>
      <c r="J236" s="655"/>
      <c r="K236" s="655"/>
      <c r="L236" s="655"/>
      <c r="M236" s="655"/>
      <c r="N236" s="655"/>
    </row>
    <row r="237" spans="1:14" ht="17.399999999999999">
      <c r="A237" s="655"/>
      <c r="B237" s="655"/>
      <c r="C237" s="655"/>
      <c r="D237" s="655"/>
      <c r="E237" s="655"/>
      <c r="F237" s="655"/>
      <c r="G237" s="655"/>
      <c r="H237" s="655"/>
      <c r="I237" s="655"/>
      <c r="J237" s="655"/>
      <c r="K237" s="655"/>
      <c r="L237" s="655"/>
      <c r="M237" s="655"/>
      <c r="N237" s="655"/>
    </row>
    <row r="238" spans="1:14" ht="17.399999999999999">
      <c r="A238" s="655"/>
      <c r="B238" s="655"/>
      <c r="C238" s="655"/>
      <c r="D238" s="655"/>
      <c r="E238" s="655"/>
      <c r="F238" s="655"/>
      <c r="G238" s="655"/>
      <c r="H238" s="655"/>
      <c r="I238" s="655"/>
      <c r="J238" s="655"/>
      <c r="K238" s="655"/>
      <c r="L238" s="655"/>
      <c r="M238" s="655"/>
      <c r="N238" s="655"/>
    </row>
    <row r="239" spans="1:14" ht="17.399999999999999">
      <c r="A239" s="655"/>
      <c r="B239" s="655"/>
      <c r="C239" s="655"/>
      <c r="D239" s="655"/>
      <c r="E239" s="655"/>
      <c r="F239" s="655"/>
      <c r="G239" s="655"/>
      <c r="H239" s="655"/>
      <c r="I239" s="655"/>
      <c r="J239" s="655"/>
      <c r="K239" s="655"/>
      <c r="L239" s="655"/>
      <c r="M239" s="655"/>
      <c r="N239" s="655"/>
    </row>
    <row r="240" spans="1:14" ht="17.399999999999999">
      <c r="A240" s="655"/>
      <c r="B240" s="655"/>
      <c r="C240" s="655"/>
      <c r="D240" s="655"/>
      <c r="E240" s="655"/>
      <c r="F240" s="655"/>
      <c r="G240" s="655"/>
      <c r="H240" s="655"/>
      <c r="I240" s="655"/>
      <c r="J240" s="655"/>
      <c r="K240" s="655"/>
      <c r="L240" s="655"/>
      <c r="M240" s="655"/>
      <c r="N240" s="655"/>
    </row>
    <row r="241" spans="1:14" ht="17.399999999999999">
      <c r="A241" s="655"/>
      <c r="B241" s="655"/>
      <c r="C241" s="655"/>
      <c r="D241" s="655"/>
      <c r="E241" s="655"/>
      <c r="F241" s="655"/>
      <c r="G241" s="655"/>
      <c r="H241" s="655"/>
      <c r="I241" s="655"/>
      <c r="J241" s="655"/>
      <c r="K241" s="655"/>
      <c r="L241" s="655"/>
      <c r="M241" s="655"/>
      <c r="N241" s="655"/>
    </row>
    <row r="242" spans="1:14" ht="17.399999999999999">
      <c r="A242" s="655"/>
      <c r="B242" s="655"/>
      <c r="C242" s="655"/>
      <c r="D242" s="655"/>
      <c r="E242" s="655"/>
      <c r="F242" s="655"/>
      <c r="G242" s="655"/>
      <c r="H242" s="655"/>
      <c r="I242" s="655"/>
      <c r="J242" s="655"/>
      <c r="K242" s="655"/>
      <c r="L242" s="655"/>
      <c r="M242" s="655"/>
      <c r="N242" s="655"/>
    </row>
    <row r="243" spans="1:14" ht="17.399999999999999">
      <c r="A243" s="655"/>
      <c r="B243" s="655"/>
      <c r="C243" s="655"/>
      <c r="D243" s="655"/>
      <c r="E243" s="655"/>
      <c r="F243" s="655"/>
      <c r="G243" s="655"/>
      <c r="H243" s="655"/>
      <c r="I243" s="655"/>
      <c r="J243" s="655"/>
      <c r="K243" s="655"/>
      <c r="L243" s="655"/>
      <c r="M243" s="655"/>
      <c r="N243" s="655"/>
    </row>
    <row r="244" spans="1:14" ht="17.399999999999999">
      <c r="A244" s="655"/>
      <c r="B244" s="655"/>
      <c r="C244" s="655"/>
      <c r="D244" s="655"/>
      <c r="E244" s="655"/>
      <c r="F244" s="655"/>
      <c r="G244" s="655"/>
      <c r="H244" s="655"/>
      <c r="I244" s="655"/>
      <c r="J244" s="655"/>
      <c r="K244" s="655"/>
      <c r="L244" s="655"/>
      <c r="M244" s="655"/>
      <c r="N244" s="655"/>
    </row>
    <row r="245" spans="1:14" ht="17.399999999999999">
      <c r="A245" s="655"/>
      <c r="B245" s="655"/>
      <c r="C245" s="655"/>
      <c r="D245" s="655"/>
      <c r="E245" s="655"/>
      <c r="F245" s="655"/>
      <c r="G245" s="655"/>
      <c r="H245" s="655"/>
      <c r="I245" s="655"/>
      <c r="J245" s="655"/>
      <c r="K245" s="655"/>
      <c r="L245" s="655"/>
      <c r="M245" s="655"/>
      <c r="N245" s="655"/>
    </row>
    <row r="246" spans="1:14" ht="17.399999999999999">
      <c r="A246" s="655"/>
      <c r="B246" s="655"/>
      <c r="C246" s="655"/>
      <c r="D246" s="655"/>
      <c r="E246" s="655"/>
      <c r="F246" s="655"/>
      <c r="G246" s="655"/>
      <c r="H246" s="655"/>
      <c r="I246" s="655"/>
      <c r="J246" s="655"/>
      <c r="K246" s="655"/>
      <c r="L246" s="655"/>
      <c r="M246" s="655"/>
      <c r="N246" s="655"/>
    </row>
    <row r="247" spans="1:14" ht="17.399999999999999">
      <c r="A247" s="655"/>
      <c r="B247" s="655"/>
      <c r="C247" s="655"/>
      <c r="D247" s="655"/>
      <c r="E247" s="655"/>
      <c r="F247" s="655"/>
      <c r="G247" s="655"/>
      <c r="H247" s="655"/>
      <c r="I247" s="655"/>
      <c r="J247" s="655"/>
      <c r="K247" s="655"/>
      <c r="L247" s="655"/>
      <c r="M247" s="655"/>
      <c r="N247" s="655"/>
    </row>
    <row r="248" spans="1:14" ht="17.399999999999999">
      <c r="A248" s="655"/>
      <c r="B248" s="655"/>
      <c r="C248" s="655"/>
      <c r="D248" s="655"/>
      <c r="E248" s="655"/>
      <c r="F248" s="655"/>
      <c r="G248" s="655"/>
      <c r="H248" s="655"/>
      <c r="I248" s="655"/>
      <c r="J248" s="655"/>
      <c r="K248" s="655"/>
      <c r="L248" s="655"/>
      <c r="M248" s="655"/>
      <c r="N248" s="655"/>
    </row>
    <row r="249" spans="1:14" ht="17.399999999999999">
      <c r="A249" s="655"/>
      <c r="B249" s="655"/>
      <c r="C249" s="655"/>
      <c r="D249" s="655"/>
      <c r="E249" s="655"/>
      <c r="F249" s="655"/>
      <c r="G249" s="655"/>
      <c r="H249" s="655"/>
      <c r="I249" s="655"/>
      <c r="J249" s="655"/>
      <c r="K249" s="655"/>
      <c r="L249" s="655"/>
      <c r="M249" s="655"/>
      <c r="N249" s="655"/>
    </row>
    <row r="250" spans="1:14" ht="17.399999999999999">
      <c r="A250" s="655"/>
      <c r="B250" s="655"/>
      <c r="C250" s="655"/>
      <c r="D250" s="655"/>
      <c r="E250" s="655"/>
      <c r="F250" s="655"/>
      <c r="G250" s="655"/>
      <c r="H250" s="655"/>
      <c r="I250" s="655"/>
      <c r="J250" s="655"/>
      <c r="K250" s="655"/>
      <c r="L250" s="655"/>
      <c r="M250" s="655"/>
      <c r="N250" s="655"/>
    </row>
    <row r="251" spans="1:14" ht="17.399999999999999">
      <c r="A251" s="655"/>
      <c r="B251" s="655"/>
      <c r="C251" s="655"/>
      <c r="D251" s="655"/>
      <c r="E251" s="655"/>
      <c r="F251" s="655"/>
      <c r="G251" s="655"/>
      <c r="H251" s="655"/>
      <c r="I251" s="655"/>
      <c r="J251" s="655"/>
      <c r="K251" s="655"/>
      <c r="L251" s="655"/>
      <c r="M251" s="655"/>
      <c r="N251" s="655"/>
    </row>
    <row r="252" spans="1:14" ht="17.399999999999999">
      <c r="A252" s="655"/>
      <c r="B252" s="655"/>
      <c r="C252" s="655"/>
      <c r="D252" s="655"/>
      <c r="E252" s="655"/>
      <c r="F252" s="655"/>
      <c r="G252" s="655"/>
      <c r="H252" s="655"/>
      <c r="I252" s="655"/>
      <c r="J252" s="655"/>
      <c r="K252" s="655"/>
      <c r="L252" s="655"/>
      <c r="M252" s="655"/>
      <c r="N252" s="655"/>
    </row>
    <row r="253" spans="1:14" ht="17.399999999999999">
      <c r="A253" s="655"/>
      <c r="B253" s="655"/>
      <c r="C253" s="655"/>
      <c r="D253" s="655"/>
      <c r="E253" s="655"/>
      <c r="F253" s="655"/>
      <c r="G253" s="655"/>
      <c r="H253" s="655"/>
      <c r="I253" s="655"/>
      <c r="J253" s="655"/>
      <c r="K253" s="655"/>
      <c r="L253" s="655"/>
      <c r="M253" s="655"/>
      <c r="N253" s="655"/>
    </row>
    <row r="254" spans="1:14" ht="17.399999999999999">
      <c r="A254" s="655"/>
      <c r="B254" s="655"/>
      <c r="C254" s="655"/>
      <c r="D254" s="655"/>
      <c r="E254" s="655"/>
      <c r="F254" s="655"/>
      <c r="G254" s="655"/>
      <c r="H254" s="655"/>
      <c r="I254" s="655"/>
      <c r="J254" s="655"/>
      <c r="K254" s="655"/>
      <c r="L254" s="655"/>
      <c r="M254" s="655"/>
      <c r="N254" s="655"/>
    </row>
    <row r="255" spans="1:14" ht="17.399999999999999">
      <c r="A255" s="655"/>
      <c r="B255" s="655"/>
      <c r="C255" s="655"/>
      <c r="D255" s="655"/>
      <c r="E255" s="655"/>
      <c r="F255" s="655"/>
      <c r="G255" s="655"/>
      <c r="H255" s="655"/>
      <c r="I255" s="655"/>
      <c r="J255" s="655"/>
      <c r="K255" s="655"/>
      <c r="L255" s="655"/>
      <c r="M255" s="655"/>
      <c r="N255" s="655"/>
    </row>
    <row r="256" spans="1:14" ht="17.399999999999999">
      <c r="A256" s="655"/>
      <c r="B256" s="655"/>
      <c r="C256" s="655"/>
      <c r="D256" s="655"/>
      <c r="E256" s="655"/>
      <c r="F256" s="655"/>
      <c r="G256" s="655"/>
      <c r="H256" s="655"/>
      <c r="I256" s="655"/>
      <c r="J256" s="655"/>
      <c r="K256" s="655"/>
      <c r="L256" s="655"/>
      <c r="M256" s="655"/>
      <c r="N256" s="655"/>
    </row>
    <row r="257" spans="1:14" ht="17.399999999999999">
      <c r="A257" s="655"/>
      <c r="B257" s="655"/>
      <c r="C257" s="655"/>
      <c r="D257" s="655"/>
      <c r="E257" s="655"/>
      <c r="F257" s="655"/>
      <c r="G257" s="655"/>
      <c r="H257" s="655"/>
      <c r="I257" s="655"/>
      <c r="J257" s="655"/>
      <c r="K257" s="655"/>
      <c r="L257" s="655"/>
      <c r="M257" s="655"/>
      <c r="N257" s="655"/>
    </row>
    <row r="258" spans="1:14" ht="17.399999999999999">
      <c r="A258" s="655"/>
      <c r="B258" s="655"/>
      <c r="C258" s="655"/>
      <c r="D258" s="655"/>
      <c r="E258" s="655"/>
      <c r="F258" s="655"/>
      <c r="G258" s="655"/>
      <c r="H258" s="655"/>
      <c r="I258" s="655"/>
      <c r="J258" s="655"/>
      <c r="K258" s="655"/>
      <c r="L258" s="655"/>
      <c r="M258" s="655"/>
      <c r="N258" s="655"/>
    </row>
    <row r="259" spans="1:14" ht="17.399999999999999">
      <c r="A259" s="655"/>
      <c r="B259" s="655"/>
      <c r="C259" s="655"/>
      <c r="D259" s="655"/>
      <c r="E259" s="655"/>
      <c r="F259" s="655"/>
      <c r="G259" s="655"/>
      <c r="H259" s="655"/>
      <c r="I259" s="655"/>
      <c r="J259" s="655"/>
      <c r="K259" s="655"/>
      <c r="L259" s="655"/>
      <c r="M259" s="655"/>
      <c r="N259" s="655"/>
    </row>
    <row r="260" spans="1:14" ht="17.399999999999999">
      <c r="A260" s="655"/>
      <c r="B260" s="655"/>
      <c r="C260" s="655"/>
      <c r="D260" s="655"/>
      <c r="E260" s="655"/>
      <c r="F260" s="655"/>
      <c r="G260" s="655"/>
      <c r="H260" s="655"/>
      <c r="I260" s="655"/>
      <c r="J260" s="655"/>
      <c r="K260" s="655"/>
      <c r="L260" s="655"/>
      <c r="M260" s="655"/>
      <c r="N260" s="655"/>
    </row>
    <row r="261" spans="1:14" ht="17.399999999999999">
      <c r="A261" s="655"/>
      <c r="B261" s="655"/>
      <c r="C261" s="655"/>
      <c r="D261" s="655"/>
      <c r="E261" s="655"/>
      <c r="F261" s="655"/>
      <c r="G261" s="655"/>
      <c r="H261" s="655"/>
      <c r="I261" s="655"/>
      <c r="J261" s="655"/>
      <c r="K261" s="655"/>
      <c r="L261" s="655"/>
      <c r="M261" s="655"/>
      <c r="N261" s="655"/>
    </row>
    <row r="262" spans="1:14" ht="17.399999999999999">
      <c r="A262" s="655"/>
      <c r="B262" s="655"/>
      <c r="C262" s="655"/>
      <c r="D262" s="655"/>
      <c r="E262" s="655"/>
      <c r="F262" s="655"/>
      <c r="G262" s="655"/>
      <c r="H262" s="655"/>
      <c r="I262" s="655"/>
      <c r="J262" s="655"/>
      <c r="K262" s="655"/>
      <c r="L262" s="655"/>
      <c r="M262" s="655"/>
      <c r="N262" s="655"/>
    </row>
    <row r="263" spans="1:14" ht="17.399999999999999">
      <c r="A263" s="655"/>
      <c r="B263" s="655"/>
      <c r="C263" s="655"/>
      <c r="D263" s="655"/>
      <c r="E263" s="655"/>
      <c r="F263" s="655"/>
      <c r="G263" s="655"/>
      <c r="H263" s="655"/>
      <c r="I263" s="655"/>
      <c r="J263" s="655"/>
      <c r="K263" s="655"/>
      <c r="L263" s="655"/>
      <c r="M263" s="655"/>
      <c r="N263" s="655"/>
    </row>
    <row r="264" spans="1:14" ht="17.399999999999999">
      <c r="A264" s="655"/>
      <c r="B264" s="655"/>
      <c r="C264" s="655"/>
      <c r="D264" s="655"/>
      <c r="E264" s="655"/>
      <c r="F264" s="655"/>
      <c r="G264" s="655"/>
      <c r="H264" s="655"/>
      <c r="I264" s="655"/>
      <c r="J264" s="655"/>
      <c r="K264" s="655"/>
      <c r="L264" s="655"/>
      <c r="M264" s="655"/>
      <c r="N264" s="655"/>
    </row>
    <row r="265" spans="1:14" ht="17.399999999999999">
      <c r="A265" s="655"/>
      <c r="B265" s="655"/>
      <c r="C265" s="655"/>
      <c r="D265" s="655"/>
      <c r="E265" s="655"/>
      <c r="F265" s="655"/>
      <c r="G265" s="655"/>
      <c r="H265" s="655"/>
      <c r="I265" s="655"/>
      <c r="J265" s="655"/>
      <c r="K265" s="655"/>
      <c r="L265" s="655"/>
      <c r="M265" s="655"/>
      <c r="N265" s="655"/>
    </row>
    <row r="266" spans="1:14" ht="17.399999999999999">
      <c r="A266" s="655"/>
      <c r="B266" s="655"/>
      <c r="C266" s="655"/>
      <c r="D266" s="655"/>
      <c r="E266" s="655"/>
      <c r="F266" s="655"/>
      <c r="G266" s="655"/>
      <c r="H266" s="655"/>
      <c r="I266" s="655"/>
      <c r="J266" s="655"/>
      <c r="K266" s="655"/>
      <c r="L266" s="655"/>
      <c r="M266" s="655"/>
      <c r="N266" s="655"/>
    </row>
    <row r="267" spans="1:14" ht="17.399999999999999">
      <c r="A267" s="655"/>
      <c r="B267" s="655"/>
      <c r="C267" s="655"/>
      <c r="D267" s="655"/>
      <c r="E267" s="655"/>
      <c r="F267" s="655"/>
      <c r="G267" s="655"/>
      <c r="H267" s="655"/>
      <c r="I267" s="655"/>
      <c r="J267" s="655"/>
      <c r="K267" s="655"/>
      <c r="L267" s="655"/>
      <c r="M267" s="655"/>
      <c r="N267" s="655"/>
    </row>
    <row r="268" spans="1:14" ht="17.399999999999999">
      <c r="A268" s="655"/>
      <c r="B268" s="655"/>
      <c r="C268" s="655"/>
      <c r="D268" s="655"/>
      <c r="E268" s="655"/>
      <c r="F268" s="655"/>
      <c r="G268" s="655"/>
      <c r="H268" s="655"/>
      <c r="I268" s="655"/>
      <c r="J268" s="655"/>
      <c r="K268" s="655"/>
      <c r="L268" s="655"/>
      <c r="M268" s="655"/>
      <c r="N268" s="655"/>
    </row>
    <row r="269" spans="1:14" ht="17.399999999999999">
      <c r="A269" s="655"/>
      <c r="B269" s="655"/>
      <c r="C269" s="655"/>
      <c r="D269" s="655"/>
      <c r="E269" s="655"/>
      <c r="F269" s="655"/>
      <c r="G269" s="655"/>
      <c r="H269" s="655"/>
      <c r="I269" s="655"/>
      <c r="J269" s="655"/>
      <c r="K269" s="655"/>
      <c r="L269" s="655"/>
      <c r="M269" s="655"/>
      <c r="N269" s="655"/>
    </row>
    <row r="270" spans="1:14" ht="17.399999999999999">
      <c r="A270" s="655"/>
      <c r="B270" s="655"/>
      <c r="C270" s="655"/>
      <c r="D270" s="655"/>
      <c r="E270" s="655"/>
      <c r="F270" s="655"/>
      <c r="G270" s="655"/>
      <c r="H270" s="655"/>
      <c r="I270" s="655"/>
      <c r="J270" s="655"/>
      <c r="K270" s="655"/>
      <c r="L270" s="655"/>
      <c r="M270" s="655"/>
      <c r="N270" s="655"/>
    </row>
    <row r="271" spans="1:14" ht="17.399999999999999">
      <c r="A271" s="655"/>
      <c r="B271" s="655"/>
      <c r="C271" s="655"/>
      <c r="D271" s="655"/>
      <c r="E271" s="655"/>
      <c r="F271" s="655"/>
      <c r="G271" s="655"/>
      <c r="H271" s="655"/>
      <c r="I271" s="655"/>
      <c r="J271" s="655"/>
      <c r="K271" s="655"/>
      <c r="L271" s="655"/>
      <c r="M271" s="655"/>
      <c r="N271" s="655"/>
    </row>
    <row r="272" spans="1:14" ht="17.399999999999999">
      <c r="A272" s="655"/>
      <c r="B272" s="655"/>
      <c r="C272" s="655"/>
      <c r="D272" s="655"/>
      <c r="E272" s="655"/>
      <c r="F272" s="655"/>
      <c r="G272" s="655"/>
      <c r="H272" s="655"/>
      <c r="I272" s="655"/>
      <c r="J272" s="655"/>
      <c r="K272" s="655"/>
      <c r="L272" s="655"/>
      <c r="M272" s="655"/>
      <c r="N272" s="655"/>
    </row>
    <row r="273" spans="1:14" ht="17.399999999999999">
      <c r="A273" s="655"/>
      <c r="B273" s="655"/>
      <c r="C273" s="655"/>
      <c r="D273" s="655"/>
      <c r="E273" s="655"/>
      <c r="F273" s="655"/>
      <c r="G273" s="655"/>
      <c r="H273" s="655"/>
      <c r="I273" s="655"/>
      <c r="J273" s="655"/>
      <c r="K273" s="655"/>
      <c r="L273" s="655"/>
      <c r="M273" s="655"/>
      <c r="N273" s="655"/>
    </row>
    <row r="274" spans="1:14" ht="17.399999999999999">
      <c r="A274" s="655"/>
      <c r="B274" s="655"/>
      <c r="C274" s="655"/>
      <c r="D274" s="655"/>
      <c r="E274" s="655"/>
      <c r="F274" s="655"/>
      <c r="G274" s="655"/>
      <c r="H274" s="655"/>
      <c r="I274" s="655"/>
      <c r="J274" s="655"/>
      <c r="K274" s="655"/>
      <c r="L274" s="655"/>
      <c r="M274" s="655"/>
      <c r="N274" s="655"/>
    </row>
    <row r="275" spans="1:14" ht="17.399999999999999">
      <c r="A275" s="655"/>
      <c r="B275" s="655"/>
      <c r="C275" s="655"/>
      <c r="D275" s="655"/>
      <c r="E275" s="655"/>
      <c r="F275" s="655"/>
      <c r="G275" s="655"/>
      <c r="H275" s="655"/>
      <c r="I275" s="655"/>
      <c r="J275" s="655"/>
      <c r="K275" s="655"/>
      <c r="L275" s="655"/>
      <c r="M275" s="655"/>
      <c r="N275" s="655"/>
    </row>
    <row r="276" spans="1:14" ht="17.399999999999999">
      <c r="A276" s="655"/>
      <c r="B276" s="655"/>
      <c r="C276" s="655"/>
      <c r="D276" s="655"/>
      <c r="E276" s="655"/>
      <c r="F276" s="655"/>
      <c r="G276" s="655"/>
      <c r="H276" s="655"/>
      <c r="I276" s="655"/>
      <c r="J276" s="655"/>
      <c r="K276" s="655"/>
      <c r="L276" s="655"/>
      <c r="M276" s="655"/>
      <c r="N276" s="655"/>
    </row>
    <row r="277" spans="1:14" ht="17.399999999999999">
      <c r="A277" s="655"/>
      <c r="B277" s="655"/>
      <c r="C277" s="655"/>
      <c r="D277" s="655"/>
      <c r="E277" s="655"/>
      <c r="F277" s="655"/>
      <c r="G277" s="655"/>
      <c r="H277" s="655"/>
      <c r="I277" s="655"/>
      <c r="J277" s="655"/>
      <c r="K277" s="655"/>
      <c r="L277" s="655"/>
      <c r="M277" s="655"/>
      <c r="N277" s="655"/>
    </row>
    <row r="278" spans="1:14" ht="17.399999999999999">
      <c r="A278" s="655"/>
      <c r="B278" s="655"/>
      <c r="C278" s="655"/>
      <c r="D278" s="655"/>
      <c r="E278" s="655"/>
      <c r="F278" s="655"/>
      <c r="G278" s="655"/>
      <c r="H278" s="655"/>
      <c r="I278" s="655"/>
      <c r="J278" s="655"/>
      <c r="K278" s="655"/>
      <c r="L278" s="655"/>
      <c r="M278" s="655"/>
      <c r="N278" s="655"/>
    </row>
    <row r="279" spans="1:14" ht="17.399999999999999">
      <c r="A279" s="655"/>
      <c r="B279" s="655"/>
      <c r="C279" s="655"/>
      <c r="D279" s="655"/>
      <c r="E279" s="655"/>
      <c r="F279" s="655"/>
      <c r="G279" s="655"/>
      <c r="H279" s="655"/>
      <c r="I279" s="655"/>
      <c r="J279" s="655"/>
      <c r="K279" s="655"/>
      <c r="L279" s="655"/>
      <c r="M279" s="655"/>
      <c r="N279" s="655"/>
    </row>
    <row r="280" spans="1:14" ht="17.399999999999999">
      <c r="A280" s="655"/>
      <c r="B280" s="655"/>
      <c r="C280" s="655"/>
      <c r="D280" s="655"/>
      <c r="E280" s="655"/>
      <c r="F280" s="655"/>
      <c r="G280" s="655"/>
      <c r="H280" s="655"/>
      <c r="I280" s="655"/>
      <c r="J280" s="655"/>
      <c r="K280" s="655"/>
      <c r="L280" s="655"/>
      <c r="M280" s="655"/>
      <c r="N280" s="655"/>
    </row>
    <row r="281" spans="1:14" ht="17.399999999999999">
      <c r="A281" s="655"/>
      <c r="B281" s="655"/>
      <c r="C281" s="655"/>
      <c r="D281" s="655"/>
      <c r="E281" s="655"/>
      <c r="F281" s="655"/>
      <c r="G281" s="655"/>
      <c r="H281" s="655"/>
      <c r="I281" s="655"/>
      <c r="J281" s="655"/>
      <c r="K281" s="655"/>
      <c r="L281" s="655"/>
      <c r="M281" s="655"/>
      <c r="N281" s="655"/>
    </row>
    <row r="282" spans="1:14" ht="17.399999999999999">
      <c r="A282" s="655"/>
      <c r="B282" s="655"/>
      <c r="C282" s="655"/>
      <c r="D282" s="655"/>
      <c r="E282" s="655"/>
      <c r="F282" s="655"/>
      <c r="G282" s="655"/>
      <c r="H282" s="655"/>
      <c r="I282" s="655"/>
      <c r="J282" s="655"/>
      <c r="K282" s="655"/>
      <c r="L282" s="655"/>
      <c r="M282" s="655"/>
      <c r="N282" s="655"/>
    </row>
    <row r="283" spans="1:14" ht="17.399999999999999">
      <c r="A283" s="655"/>
      <c r="B283" s="655"/>
      <c r="C283" s="655"/>
      <c r="D283" s="655"/>
      <c r="E283" s="655"/>
      <c r="F283" s="655"/>
      <c r="G283" s="655"/>
      <c r="H283" s="655"/>
      <c r="I283" s="655"/>
      <c r="J283" s="655"/>
      <c r="K283" s="655"/>
      <c r="L283" s="655"/>
      <c r="M283" s="655"/>
      <c r="N283" s="655"/>
    </row>
    <row r="284" spans="1:14" ht="17.399999999999999">
      <c r="A284" s="655"/>
      <c r="B284" s="655"/>
      <c r="C284" s="655"/>
      <c r="D284" s="655"/>
      <c r="E284" s="655"/>
      <c r="F284" s="655"/>
      <c r="G284" s="655"/>
      <c r="H284" s="655"/>
      <c r="I284" s="655"/>
      <c r="J284" s="655"/>
      <c r="K284" s="655"/>
      <c r="L284" s="655"/>
      <c r="M284" s="655"/>
      <c r="N284" s="655"/>
    </row>
    <row r="285" spans="1:14" ht="17.399999999999999">
      <c r="A285" s="655"/>
      <c r="B285" s="655"/>
      <c r="C285" s="655"/>
      <c r="D285" s="655"/>
      <c r="E285" s="655"/>
      <c r="F285" s="655"/>
      <c r="G285" s="655"/>
      <c r="H285" s="655"/>
      <c r="I285" s="655"/>
      <c r="J285" s="655"/>
      <c r="K285" s="655"/>
      <c r="L285" s="655"/>
      <c r="M285" s="655"/>
      <c r="N285" s="655"/>
    </row>
    <row r="286" spans="1:14" ht="17.399999999999999">
      <c r="A286" s="655"/>
      <c r="B286" s="655"/>
      <c r="C286" s="655"/>
      <c r="D286" s="655"/>
      <c r="E286" s="655"/>
      <c r="F286" s="655"/>
      <c r="G286" s="655"/>
      <c r="H286" s="655"/>
      <c r="I286" s="655"/>
      <c r="J286" s="655"/>
      <c r="K286" s="655"/>
      <c r="L286" s="655"/>
      <c r="M286" s="655"/>
      <c r="N286" s="655"/>
    </row>
    <row r="287" spans="1:14" ht="17.399999999999999">
      <c r="A287" s="655"/>
      <c r="B287" s="655"/>
      <c r="C287" s="655"/>
      <c r="D287" s="655"/>
      <c r="E287" s="655"/>
      <c r="F287" s="655"/>
      <c r="G287" s="655"/>
      <c r="H287" s="655"/>
      <c r="I287" s="655"/>
      <c r="J287" s="655"/>
      <c r="K287" s="655"/>
      <c r="L287" s="655"/>
      <c r="M287" s="655"/>
      <c r="N287" s="655"/>
    </row>
    <row r="288" spans="1:14" ht="17.399999999999999">
      <c r="A288" s="655"/>
      <c r="B288" s="655"/>
      <c r="C288" s="655"/>
      <c r="D288" s="655"/>
      <c r="E288" s="655"/>
      <c r="F288" s="655"/>
      <c r="G288" s="655"/>
      <c r="H288" s="655"/>
      <c r="I288" s="655"/>
      <c r="J288" s="655"/>
      <c r="K288" s="655"/>
      <c r="L288" s="655"/>
      <c r="M288" s="655"/>
      <c r="N288" s="655"/>
    </row>
    <row r="289" spans="1:14" ht="17.399999999999999">
      <c r="A289" s="655"/>
      <c r="B289" s="655"/>
      <c r="C289" s="655"/>
      <c r="D289" s="655"/>
      <c r="E289" s="655"/>
      <c r="F289" s="655"/>
      <c r="G289" s="655"/>
      <c r="H289" s="655"/>
      <c r="I289" s="655"/>
      <c r="J289" s="655"/>
      <c r="K289" s="655"/>
      <c r="L289" s="655"/>
      <c r="M289" s="655"/>
      <c r="N289" s="655"/>
    </row>
    <row r="290" spans="1:14" ht="17.399999999999999">
      <c r="A290" s="655"/>
      <c r="B290" s="655"/>
      <c r="C290" s="655"/>
      <c r="D290" s="655"/>
      <c r="E290" s="655"/>
      <c r="F290" s="655"/>
      <c r="G290" s="655"/>
      <c r="H290" s="655"/>
      <c r="I290" s="655"/>
      <c r="J290" s="655"/>
      <c r="K290" s="655"/>
      <c r="L290" s="655"/>
      <c r="M290" s="655"/>
      <c r="N290" s="655"/>
    </row>
    <row r="291" spans="1:14" ht="17.399999999999999">
      <c r="A291" s="655"/>
      <c r="B291" s="655"/>
      <c r="C291" s="655"/>
      <c r="D291" s="655"/>
      <c r="E291" s="655"/>
      <c r="F291" s="655"/>
      <c r="G291" s="655"/>
      <c r="H291" s="655"/>
      <c r="I291" s="655"/>
      <c r="J291" s="655"/>
      <c r="K291" s="655"/>
      <c r="L291" s="655"/>
      <c r="M291" s="655"/>
      <c r="N291" s="655"/>
    </row>
    <row r="292" spans="1:14" ht="17.399999999999999">
      <c r="A292" s="655"/>
      <c r="B292" s="655"/>
      <c r="C292" s="655"/>
      <c r="D292" s="655"/>
      <c r="E292" s="655"/>
      <c r="F292" s="655"/>
      <c r="G292" s="655"/>
      <c r="H292" s="655"/>
      <c r="I292" s="655"/>
      <c r="J292" s="655"/>
      <c r="K292" s="655"/>
      <c r="L292" s="655"/>
      <c r="M292" s="655"/>
      <c r="N292" s="655"/>
    </row>
    <row r="293" spans="1:14" ht="17.399999999999999">
      <c r="A293" s="655"/>
      <c r="B293" s="655"/>
      <c r="C293" s="655"/>
      <c r="D293" s="655"/>
      <c r="E293" s="655"/>
      <c r="F293" s="655"/>
      <c r="G293" s="655"/>
      <c r="H293" s="655"/>
      <c r="I293" s="655"/>
      <c r="J293" s="655"/>
      <c r="K293" s="655"/>
      <c r="L293" s="655"/>
      <c r="M293" s="655"/>
      <c r="N293" s="655"/>
    </row>
    <row r="294" spans="1:14" ht="17.399999999999999">
      <c r="A294" s="655"/>
      <c r="B294" s="655"/>
      <c r="C294" s="655"/>
      <c r="D294" s="655"/>
      <c r="E294" s="655"/>
      <c r="F294" s="655"/>
      <c r="G294" s="655"/>
      <c r="H294" s="655"/>
      <c r="I294" s="655"/>
      <c r="J294" s="655"/>
      <c r="K294" s="655"/>
      <c r="L294" s="655"/>
      <c r="M294" s="655"/>
      <c r="N294" s="655"/>
    </row>
    <row r="295" spans="1:14" ht="17.399999999999999">
      <c r="A295" s="655"/>
      <c r="B295" s="655"/>
      <c r="C295" s="655"/>
      <c r="D295" s="655"/>
      <c r="E295" s="655"/>
      <c r="F295" s="655"/>
      <c r="G295" s="655"/>
      <c r="H295" s="655"/>
      <c r="I295" s="655"/>
      <c r="J295" s="655"/>
      <c r="K295" s="655"/>
      <c r="L295" s="655"/>
      <c r="M295" s="655"/>
      <c r="N295" s="655"/>
    </row>
    <row r="296" spans="1:14" ht="17.399999999999999">
      <c r="A296" s="655"/>
      <c r="B296" s="655"/>
      <c r="C296" s="655"/>
      <c r="D296" s="655"/>
      <c r="E296" s="655"/>
      <c r="F296" s="655"/>
      <c r="G296" s="655"/>
      <c r="H296" s="655"/>
      <c r="I296" s="655"/>
      <c r="J296" s="655"/>
      <c r="K296" s="655"/>
      <c r="L296" s="655"/>
      <c r="M296" s="655"/>
      <c r="N296" s="655"/>
    </row>
    <row r="297" spans="1:14" ht="17.399999999999999">
      <c r="A297" s="655"/>
      <c r="B297" s="655"/>
      <c r="C297" s="655"/>
      <c r="D297" s="655"/>
      <c r="E297" s="655"/>
      <c r="F297" s="655"/>
      <c r="G297" s="655"/>
      <c r="H297" s="655"/>
      <c r="I297" s="655"/>
      <c r="J297" s="655"/>
      <c r="K297" s="655"/>
      <c r="L297" s="655"/>
      <c r="M297" s="655"/>
      <c r="N297" s="655"/>
    </row>
    <row r="298" spans="1:14" ht="17.399999999999999">
      <c r="A298" s="655"/>
      <c r="B298" s="655"/>
      <c r="C298" s="655"/>
      <c r="D298" s="655"/>
      <c r="E298" s="655"/>
      <c r="F298" s="655"/>
      <c r="G298" s="655"/>
      <c r="H298" s="655"/>
      <c r="I298" s="655"/>
      <c r="J298" s="655"/>
      <c r="K298" s="655"/>
      <c r="L298" s="655"/>
      <c r="M298" s="655"/>
      <c r="N298" s="655"/>
    </row>
    <row r="299" spans="1:14" ht="17.399999999999999">
      <c r="A299" s="655"/>
      <c r="B299" s="655"/>
      <c r="C299" s="655"/>
      <c r="D299" s="655"/>
      <c r="E299" s="655"/>
      <c r="F299" s="655"/>
      <c r="G299" s="655"/>
      <c r="H299" s="655"/>
      <c r="I299" s="655"/>
      <c r="J299" s="655"/>
      <c r="K299" s="655"/>
      <c r="L299" s="655"/>
      <c r="M299" s="655"/>
      <c r="N299" s="655"/>
    </row>
    <row r="300" spans="1:14" ht="17.399999999999999">
      <c r="A300" s="655"/>
      <c r="B300" s="655"/>
      <c r="C300" s="655"/>
      <c r="D300" s="655"/>
      <c r="E300" s="655"/>
      <c r="F300" s="655"/>
      <c r="G300" s="655"/>
      <c r="H300" s="655"/>
      <c r="I300" s="655"/>
      <c r="J300" s="655"/>
      <c r="K300" s="655"/>
      <c r="L300" s="655"/>
      <c r="M300" s="655"/>
      <c r="N300" s="655"/>
    </row>
    <row r="301" spans="1:14" ht="17.399999999999999">
      <c r="A301" s="655"/>
      <c r="B301" s="655"/>
      <c r="C301" s="655"/>
      <c r="D301" s="655"/>
      <c r="E301" s="655"/>
      <c r="F301" s="655"/>
      <c r="G301" s="655"/>
      <c r="H301" s="655"/>
      <c r="I301" s="655"/>
      <c r="J301" s="655"/>
      <c r="K301" s="655"/>
      <c r="L301" s="655"/>
      <c r="M301" s="655"/>
      <c r="N301" s="655"/>
    </row>
    <row r="302" spans="1:14" ht="17.399999999999999">
      <c r="A302" s="655"/>
      <c r="B302" s="655"/>
      <c r="C302" s="655"/>
      <c r="D302" s="655"/>
      <c r="E302" s="655"/>
      <c r="F302" s="655"/>
      <c r="G302" s="655"/>
      <c r="H302" s="655"/>
      <c r="I302" s="655"/>
      <c r="J302" s="655"/>
      <c r="K302" s="655"/>
      <c r="L302" s="655"/>
      <c r="M302" s="655"/>
      <c r="N302" s="655"/>
    </row>
    <row r="303" spans="1:14" ht="17.399999999999999">
      <c r="A303" s="655"/>
      <c r="B303" s="655"/>
      <c r="C303" s="655"/>
      <c r="D303" s="655"/>
      <c r="E303" s="655"/>
      <c r="F303" s="655"/>
      <c r="G303" s="655"/>
      <c r="H303" s="655"/>
      <c r="I303" s="655"/>
      <c r="J303" s="655"/>
      <c r="K303" s="655"/>
      <c r="L303" s="655"/>
      <c r="M303" s="655"/>
      <c r="N303" s="655"/>
    </row>
    <row r="304" spans="1:14" ht="17.399999999999999">
      <c r="A304" s="655"/>
      <c r="B304" s="655"/>
      <c r="C304" s="655"/>
      <c r="D304" s="655"/>
      <c r="E304" s="655"/>
      <c r="F304" s="655"/>
      <c r="G304" s="655"/>
      <c r="H304" s="655"/>
      <c r="I304" s="655"/>
      <c r="J304" s="655"/>
      <c r="K304" s="655"/>
      <c r="L304" s="655"/>
      <c r="M304" s="655"/>
      <c r="N304" s="655"/>
    </row>
    <row r="305" spans="1:14" ht="17.399999999999999">
      <c r="A305" s="655"/>
      <c r="B305" s="655"/>
      <c r="C305" s="655"/>
      <c r="D305" s="655"/>
      <c r="E305" s="655"/>
      <c r="F305" s="655"/>
      <c r="G305" s="655"/>
      <c r="H305" s="655"/>
      <c r="I305" s="655"/>
      <c r="J305" s="655"/>
      <c r="K305" s="655"/>
      <c r="L305" s="655"/>
      <c r="M305" s="655"/>
      <c r="N305" s="655"/>
    </row>
    <row r="306" spans="1:14" ht="17.399999999999999">
      <c r="A306" s="655"/>
      <c r="B306" s="655"/>
      <c r="C306" s="655"/>
      <c r="D306" s="655"/>
      <c r="E306" s="655"/>
      <c r="F306" s="655"/>
      <c r="G306" s="655"/>
      <c r="H306" s="655"/>
      <c r="I306" s="655"/>
      <c r="J306" s="655"/>
      <c r="K306" s="655"/>
      <c r="L306" s="655"/>
      <c r="M306" s="655"/>
      <c r="N306" s="655"/>
    </row>
    <row r="307" spans="1:14" ht="17.399999999999999">
      <c r="A307" s="655"/>
      <c r="B307" s="655"/>
      <c r="C307" s="655"/>
      <c r="D307" s="655"/>
      <c r="E307" s="655"/>
      <c r="F307" s="655"/>
      <c r="G307" s="655"/>
      <c r="H307" s="655"/>
      <c r="I307" s="655"/>
      <c r="J307" s="655"/>
      <c r="K307" s="655"/>
      <c r="L307" s="655"/>
      <c r="M307" s="655"/>
      <c r="N307" s="655"/>
    </row>
    <row r="308" spans="1:14" ht="17.399999999999999">
      <c r="A308" s="655"/>
      <c r="B308" s="655"/>
      <c r="C308" s="655"/>
      <c r="D308" s="655"/>
      <c r="E308" s="655"/>
      <c r="F308" s="655"/>
      <c r="G308" s="655"/>
      <c r="H308" s="655"/>
      <c r="I308" s="655"/>
      <c r="J308" s="655"/>
      <c r="K308" s="655"/>
      <c r="L308" s="655"/>
      <c r="M308" s="655"/>
      <c r="N308" s="655"/>
    </row>
    <row r="309" spans="1:14" ht="17.399999999999999">
      <c r="A309" s="655"/>
      <c r="B309" s="655"/>
      <c r="C309" s="655"/>
      <c r="D309" s="655"/>
      <c r="E309" s="655"/>
      <c r="F309" s="655"/>
      <c r="G309" s="655"/>
      <c r="H309" s="655"/>
      <c r="I309" s="655"/>
      <c r="J309" s="655"/>
      <c r="K309" s="655"/>
      <c r="L309" s="655"/>
      <c r="M309" s="655"/>
      <c r="N309" s="655"/>
    </row>
    <row r="310" spans="1:14" ht="17.399999999999999">
      <c r="A310" s="655"/>
      <c r="B310" s="655"/>
      <c r="C310" s="655"/>
      <c r="D310" s="655"/>
      <c r="E310" s="655"/>
      <c r="F310" s="655"/>
      <c r="G310" s="655"/>
      <c r="H310" s="655"/>
      <c r="I310" s="655"/>
      <c r="J310" s="655"/>
      <c r="K310" s="655"/>
      <c r="L310" s="655"/>
      <c r="M310" s="655"/>
      <c r="N310" s="655"/>
    </row>
    <row r="311" spans="1:14" ht="17.399999999999999">
      <c r="A311" s="655"/>
      <c r="B311" s="655"/>
      <c r="C311" s="655"/>
      <c r="D311" s="655"/>
      <c r="E311" s="655"/>
      <c r="F311" s="655"/>
      <c r="G311" s="655"/>
      <c r="H311" s="655"/>
      <c r="I311" s="655"/>
      <c r="J311" s="655"/>
      <c r="K311" s="655"/>
      <c r="L311" s="655"/>
      <c r="M311" s="655"/>
      <c r="N311" s="655"/>
    </row>
    <row r="312" spans="1:14" ht="17.399999999999999">
      <c r="A312" s="655"/>
      <c r="B312" s="655"/>
      <c r="C312" s="655"/>
      <c r="D312" s="655"/>
      <c r="E312" s="655"/>
      <c r="F312" s="655"/>
      <c r="G312" s="655"/>
      <c r="H312" s="655"/>
      <c r="I312" s="655"/>
      <c r="J312" s="655"/>
      <c r="K312" s="655"/>
      <c r="L312" s="655"/>
      <c r="M312" s="655"/>
      <c r="N312" s="655"/>
    </row>
    <row r="313" spans="1:14" ht="17.399999999999999">
      <c r="A313" s="655"/>
      <c r="B313" s="655"/>
      <c r="C313" s="655"/>
      <c r="D313" s="655"/>
      <c r="E313" s="655"/>
      <c r="F313" s="655"/>
      <c r="G313" s="655"/>
      <c r="H313" s="655"/>
      <c r="I313" s="655"/>
      <c r="J313" s="655"/>
      <c r="K313" s="655"/>
      <c r="L313" s="655"/>
      <c r="M313" s="655"/>
      <c r="N313" s="655"/>
    </row>
    <row r="314" spans="1:14" ht="17.399999999999999">
      <c r="A314" s="655"/>
      <c r="B314" s="655"/>
      <c r="C314" s="655"/>
      <c r="D314" s="655"/>
      <c r="E314" s="655"/>
      <c r="F314" s="655"/>
      <c r="G314" s="655"/>
      <c r="H314" s="655"/>
      <c r="I314" s="655"/>
      <c r="J314" s="655"/>
      <c r="K314" s="655"/>
      <c r="L314" s="655"/>
      <c r="M314" s="655"/>
      <c r="N314" s="655"/>
    </row>
    <row r="315" spans="1:14" ht="17.399999999999999">
      <c r="A315" s="655"/>
      <c r="B315" s="655"/>
      <c r="C315" s="655"/>
      <c r="D315" s="655"/>
      <c r="E315" s="655"/>
      <c r="F315" s="655"/>
      <c r="G315" s="655"/>
      <c r="H315" s="655"/>
      <c r="I315" s="655"/>
      <c r="J315" s="655"/>
      <c r="K315" s="655"/>
      <c r="L315" s="655"/>
      <c r="M315" s="655"/>
      <c r="N315" s="655"/>
    </row>
    <row r="316" spans="1:14" ht="17.399999999999999">
      <c r="A316" s="655"/>
      <c r="B316" s="655"/>
      <c r="C316" s="655"/>
      <c r="D316" s="655"/>
      <c r="E316" s="655"/>
      <c r="F316" s="655"/>
      <c r="G316" s="655"/>
      <c r="H316" s="655"/>
      <c r="I316" s="655"/>
      <c r="J316" s="655"/>
      <c r="K316" s="655"/>
      <c r="L316" s="655"/>
      <c r="M316" s="655"/>
      <c r="N316" s="655"/>
    </row>
    <row r="317" spans="1:14" ht="17.399999999999999">
      <c r="A317" s="655"/>
      <c r="B317" s="655"/>
      <c r="C317" s="655"/>
      <c r="D317" s="655"/>
      <c r="E317" s="655"/>
      <c r="F317" s="655"/>
      <c r="G317" s="655"/>
      <c r="H317" s="655"/>
      <c r="I317" s="655"/>
      <c r="J317" s="655"/>
      <c r="K317" s="655"/>
      <c r="L317" s="655"/>
      <c r="M317" s="655"/>
      <c r="N317" s="655"/>
    </row>
    <row r="318" spans="1:14" ht="17.399999999999999">
      <c r="A318" s="655"/>
      <c r="B318" s="655"/>
      <c r="C318" s="655"/>
      <c r="D318" s="655"/>
      <c r="E318" s="655"/>
      <c r="F318" s="655"/>
      <c r="G318" s="655"/>
      <c r="H318" s="655"/>
      <c r="I318" s="655"/>
      <c r="J318" s="655"/>
      <c r="K318" s="655"/>
      <c r="L318" s="655"/>
      <c r="M318" s="655"/>
      <c r="N318" s="655"/>
    </row>
    <row r="319" spans="1:14" ht="17.399999999999999">
      <c r="A319" s="655"/>
      <c r="B319" s="655"/>
      <c r="C319" s="655"/>
      <c r="D319" s="655"/>
      <c r="E319" s="655"/>
      <c r="F319" s="655"/>
      <c r="G319" s="655"/>
      <c r="H319" s="655"/>
      <c r="I319" s="655"/>
      <c r="J319" s="655"/>
      <c r="K319" s="655"/>
      <c r="L319" s="655"/>
      <c r="M319" s="655"/>
      <c r="N319" s="655"/>
    </row>
    <row r="320" spans="1:14" ht="17.399999999999999">
      <c r="A320" s="655"/>
      <c r="B320" s="655"/>
      <c r="C320" s="655"/>
      <c r="D320" s="655"/>
      <c r="E320" s="655"/>
      <c r="F320" s="655"/>
      <c r="G320" s="655"/>
      <c r="H320" s="655"/>
      <c r="I320" s="655"/>
      <c r="J320" s="655"/>
      <c r="K320" s="655"/>
      <c r="L320" s="655"/>
      <c r="M320" s="655"/>
      <c r="N320" s="655"/>
    </row>
    <row r="321" spans="1:14" ht="17.399999999999999">
      <c r="A321" s="655"/>
      <c r="B321" s="655"/>
      <c r="C321" s="655"/>
      <c r="D321" s="655"/>
      <c r="E321" s="655"/>
      <c r="F321" s="655"/>
      <c r="G321" s="655"/>
      <c r="H321" s="655"/>
      <c r="I321" s="655"/>
      <c r="J321" s="655"/>
      <c r="K321" s="655"/>
      <c r="L321" s="655"/>
      <c r="M321" s="655"/>
      <c r="N321" s="655"/>
    </row>
    <row r="322" spans="1:14" ht="17.399999999999999">
      <c r="A322" s="655"/>
      <c r="B322" s="655"/>
      <c r="C322" s="655"/>
      <c r="D322" s="655"/>
      <c r="E322" s="655"/>
      <c r="F322" s="655"/>
      <c r="G322" s="655"/>
      <c r="H322" s="655"/>
      <c r="I322" s="655"/>
      <c r="J322" s="655"/>
      <c r="K322" s="655"/>
      <c r="L322" s="655"/>
      <c r="M322" s="655"/>
      <c r="N322" s="655"/>
    </row>
    <row r="323" spans="1:14" ht="17.399999999999999">
      <c r="A323" s="655"/>
      <c r="B323" s="655"/>
      <c r="C323" s="655"/>
      <c r="D323" s="655"/>
      <c r="E323" s="655"/>
      <c r="F323" s="655"/>
      <c r="G323" s="655"/>
      <c r="H323" s="655"/>
      <c r="I323" s="655"/>
      <c r="J323" s="655"/>
      <c r="K323" s="655"/>
      <c r="L323" s="655"/>
      <c r="M323" s="655"/>
      <c r="N323" s="655"/>
    </row>
    <row r="324" spans="1:14" ht="17.399999999999999">
      <c r="A324" s="655"/>
      <c r="B324" s="655"/>
      <c r="C324" s="655"/>
      <c r="D324" s="655"/>
      <c r="E324" s="655"/>
      <c r="F324" s="655"/>
      <c r="G324" s="655"/>
      <c r="H324" s="655"/>
      <c r="I324" s="655"/>
      <c r="J324" s="655"/>
      <c r="K324" s="655"/>
      <c r="L324" s="655"/>
      <c r="M324" s="655"/>
      <c r="N324" s="655"/>
    </row>
    <row r="325" spans="1:14" ht="17.399999999999999">
      <c r="A325" s="655"/>
      <c r="B325" s="655"/>
      <c r="C325" s="655"/>
      <c r="D325" s="655"/>
      <c r="E325" s="655"/>
      <c r="F325" s="655"/>
      <c r="G325" s="655"/>
      <c r="H325" s="655"/>
      <c r="I325" s="655"/>
      <c r="J325" s="655"/>
      <c r="K325" s="655"/>
      <c r="L325" s="655"/>
      <c r="M325" s="655"/>
      <c r="N325" s="655"/>
    </row>
    <row r="326" spans="1:14" ht="17.399999999999999">
      <c r="A326" s="655"/>
      <c r="B326" s="655"/>
      <c r="C326" s="655"/>
      <c r="D326" s="655"/>
      <c r="E326" s="655"/>
      <c r="F326" s="655"/>
      <c r="G326" s="655"/>
      <c r="H326" s="655"/>
      <c r="I326" s="655"/>
      <c r="J326" s="655"/>
      <c r="K326" s="655"/>
      <c r="L326" s="655"/>
      <c r="M326" s="655"/>
      <c r="N326" s="655"/>
    </row>
    <row r="327" spans="1:14" ht="17.399999999999999">
      <c r="A327" s="655"/>
      <c r="B327" s="655"/>
      <c r="C327" s="655"/>
      <c r="D327" s="655"/>
      <c r="E327" s="655"/>
      <c r="F327" s="655"/>
      <c r="G327" s="655"/>
      <c r="H327" s="655"/>
      <c r="I327" s="655"/>
      <c r="J327" s="655"/>
      <c r="K327" s="655"/>
      <c r="L327" s="655"/>
      <c r="M327" s="655"/>
      <c r="N327" s="655"/>
    </row>
    <row r="328" spans="1:14" ht="17.399999999999999">
      <c r="A328" s="655"/>
      <c r="B328" s="655"/>
      <c r="C328" s="655"/>
      <c r="D328" s="655"/>
      <c r="E328" s="655"/>
      <c r="F328" s="655"/>
      <c r="G328" s="655"/>
      <c r="H328" s="655"/>
      <c r="I328" s="655"/>
      <c r="J328" s="655"/>
      <c r="K328" s="655"/>
      <c r="L328" s="655"/>
      <c r="M328" s="655"/>
      <c r="N328" s="655"/>
    </row>
  </sheetData>
  <pageMargins left="0.70866141732283472" right="0.70866141732283472" top="0.74803149606299213" bottom="0.74803149606299213" header="0.31496062992125984" footer="0.31496062992125984"/>
  <pageSetup paperSize="126"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topLeftCell="A17" zoomScaleNormal="100" workbookViewId="0">
      <selection activeCell="J12" sqref="J12"/>
    </sheetView>
  </sheetViews>
  <sheetFormatPr baseColWidth="10" defaultColWidth="10.921875" defaultRowHeight="13.2"/>
  <cols>
    <col min="1" max="1" width="2.07421875" style="8" customWidth="1"/>
    <col min="2" max="2" width="9.3046875" style="8" customWidth="1"/>
    <col min="3" max="8" width="9.07421875" style="8" customWidth="1"/>
    <col min="9" max="16384" width="10.921875" style="8"/>
  </cols>
  <sheetData>
    <row r="1" spans="2:11" s="19" customFormat="1" ht="15" customHeight="1">
      <c r="B1" s="788" t="s">
        <v>125</v>
      </c>
      <c r="C1" s="788"/>
      <c r="D1" s="788"/>
      <c r="E1" s="788"/>
      <c r="F1" s="788"/>
      <c r="G1" s="788"/>
      <c r="H1" s="788"/>
    </row>
    <row r="2" spans="2:11" s="19" customFormat="1" ht="15" customHeight="1">
      <c r="B2" s="31"/>
      <c r="C2" s="31"/>
      <c r="D2" s="31"/>
      <c r="E2" s="31"/>
    </row>
    <row r="3" spans="2:11" s="19" customFormat="1" ht="18.600000000000001" customHeight="1">
      <c r="B3" s="789" t="s">
        <v>126</v>
      </c>
      <c r="C3" s="789"/>
      <c r="D3" s="789"/>
      <c r="E3" s="789"/>
      <c r="F3" s="789"/>
      <c r="G3" s="789"/>
      <c r="H3" s="789"/>
    </row>
    <row r="4" spans="2:11" s="19" customFormat="1" ht="18" customHeight="1">
      <c r="B4" s="788" t="s">
        <v>688</v>
      </c>
      <c r="C4" s="788"/>
      <c r="D4" s="788"/>
      <c r="E4" s="788"/>
      <c r="F4" s="788"/>
      <c r="G4" s="788"/>
      <c r="H4" s="788"/>
    </row>
    <row r="5" spans="2:11" s="19" customFormat="1" ht="27" customHeight="1">
      <c r="B5" s="792" t="s">
        <v>127</v>
      </c>
      <c r="C5" s="792" t="s">
        <v>128</v>
      </c>
      <c r="D5" s="792"/>
      <c r="E5" s="792"/>
      <c r="F5" s="792" t="s">
        <v>129</v>
      </c>
      <c r="G5" s="792"/>
      <c r="H5" s="792"/>
    </row>
    <row r="6" spans="2:11" s="19" customFormat="1" ht="42.75" customHeight="1">
      <c r="B6" s="792"/>
      <c r="C6" s="430" t="s">
        <v>130</v>
      </c>
      <c r="D6" s="129" t="s">
        <v>131</v>
      </c>
      <c r="E6" s="129" t="s">
        <v>132</v>
      </c>
      <c r="F6" s="430" t="s">
        <v>130</v>
      </c>
      <c r="G6" s="430" t="s">
        <v>131</v>
      </c>
      <c r="H6" s="430" t="s">
        <v>132</v>
      </c>
    </row>
    <row r="7" spans="2:11" s="19" customFormat="1" ht="15.75" customHeight="1">
      <c r="B7" s="44" t="s">
        <v>133</v>
      </c>
      <c r="C7" s="408">
        <v>228.58699999999999</v>
      </c>
      <c r="D7" s="408">
        <v>1114.4113</v>
      </c>
      <c r="E7" s="408">
        <v>48.8</v>
      </c>
      <c r="F7" s="408">
        <v>16.690000000000001</v>
      </c>
      <c r="G7" s="408">
        <v>98.689700000000002</v>
      </c>
      <c r="H7" s="408">
        <v>59.1</v>
      </c>
    </row>
    <row r="8" spans="2:11" s="19" customFormat="1" ht="15.75" customHeight="1">
      <c r="B8" s="44" t="s">
        <v>101</v>
      </c>
      <c r="C8" s="408">
        <v>238.41</v>
      </c>
      <c r="D8" s="408">
        <v>1365.1233</v>
      </c>
      <c r="E8" s="408">
        <v>57.259481565370578</v>
      </c>
      <c r="F8" s="408">
        <v>15.217000000000001</v>
      </c>
      <c r="G8" s="408">
        <v>109.53919999999999</v>
      </c>
      <c r="H8" s="408">
        <v>71.984753893671552</v>
      </c>
    </row>
    <row r="9" spans="2:11" s="19" customFormat="1" ht="15.75" customHeight="1">
      <c r="B9" s="44" t="s">
        <v>102</v>
      </c>
      <c r="C9" s="408">
        <v>236.12200000000001</v>
      </c>
      <c r="D9" s="408">
        <v>1236.0917400000001</v>
      </c>
      <c r="E9" s="408">
        <v>52.349706507652819</v>
      </c>
      <c r="F9" s="408">
        <v>18.734999999999999</v>
      </c>
      <c r="G9" s="408">
        <v>122.03686999999999</v>
      </c>
      <c r="H9" s="408">
        <v>65.138441419802504</v>
      </c>
    </row>
    <row r="10" spans="2:11" s="19" customFormat="1" ht="15.75" customHeight="1">
      <c r="B10" s="44" t="s">
        <v>134</v>
      </c>
      <c r="C10" s="408">
        <v>241.16</v>
      </c>
      <c r="D10" s="408">
        <v>1333.2125000000001</v>
      </c>
      <c r="E10" s="408">
        <v>55.283318129042961</v>
      </c>
      <c r="F10" s="408">
        <v>22.004000000000001</v>
      </c>
      <c r="G10" s="408">
        <v>149.0976</v>
      </c>
      <c r="H10" s="408">
        <v>67.759316487911292</v>
      </c>
    </row>
    <row r="11" spans="2:11" s="19" customFormat="1" ht="15.75" customHeight="1">
      <c r="B11" s="51" t="s">
        <v>135</v>
      </c>
      <c r="C11" s="408">
        <v>257.786</v>
      </c>
      <c r="D11" s="408">
        <v>1531.0056</v>
      </c>
      <c r="E11" s="408">
        <v>59.4</v>
      </c>
      <c r="F11" s="408">
        <v>27.510999999999999</v>
      </c>
      <c r="G11" s="408">
        <v>200.92939999999999</v>
      </c>
      <c r="H11" s="408">
        <v>73</v>
      </c>
    </row>
    <row r="12" spans="2:11" ht="15.75" customHeight="1">
      <c r="B12" s="51" t="s">
        <v>136</v>
      </c>
      <c r="C12" s="67">
        <v>205.18899999999999</v>
      </c>
      <c r="D12" s="67">
        <v>1221.2691400000001</v>
      </c>
      <c r="E12" s="408">
        <v>59.51923056304188</v>
      </c>
      <c r="F12" s="408">
        <v>19.853000000000002</v>
      </c>
      <c r="G12" s="408">
        <v>128.22280000000001</v>
      </c>
      <c r="H12" s="408">
        <v>64.586107893013647</v>
      </c>
      <c r="I12" s="39"/>
      <c r="J12" s="132"/>
      <c r="K12" s="28"/>
    </row>
    <row r="13" spans="2:11" ht="15.75" customHeight="1">
      <c r="B13" s="51" t="s">
        <v>137</v>
      </c>
      <c r="C13" s="67">
        <v>208.23699999999999</v>
      </c>
      <c r="D13" s="67">
        <v>1281.3397</v>
      </c>
      <c r="E13" s="408">
        <v>61.532758347459868</v>
      </c>
      <c r="F13" s="408">
        <v>28.178000000000001</v>
      </c>
      <c r="G13" s="408">
        <v>187.66370000000001</v>
      </c>
      <c r="H13" s="408">
        <v>66.599368301511817</v>
      </c>
      <c r="I13" s="39"/>
      <c r="J13" s="132"/>
      <c r="K13" s="28"/>
    </row>
    <row r="14" spans="2:11" ht="15.75" customHeight="1">
      <c r="B14" s="51" t="s">
        <v>107</v>
      </c>
      <c r="C14" s="67">
        <v>195.40299999999999</v>
      </c>
      <c r="D14" s="67">
        <v>1204.8561999999999</v>
      </c>
      <c r="E14" s="408">
        <v>61.660066631525616</v>
      </c>
      <c r="F14" s="408">
        <v>27.302</v>
      </c>
      <c r="G14" s="408">
        <v>195.06280000000001</v>
      </c>
      <c r="H14" s="408">
        <v>71.446340927404592</v>
      </c>
      <c r="I14" s="39"/>
      <c r="J14" s="132"/>
      <c r="K14" s="28"/>
    </row>
    <row r="15" spans="2:11" ht="15.75" customHeight="1">
      <c r="B15" s="51" t="s">
        <v>138</v>
      </c>
      <c r="C15" s="67">
        <v>183.07300000000001</v>
      </c>
      <c r="D15" s="67">
        <v>1086.1401000000001</v>
      </c>
      <c r="E15" s="408">
        <v>59.328251571777379</v>
      </c>
      <c r="F15" s="408">
        <v>21.963000000000001</v>
      </c>
      <c r="G15" s="408">
        <v>144.84829999999999</v>
      </c>
      <c r="H15" s="408">
        <v>65.95105404544006</v>
      </c>
      <c r="I15" s="39"/>
      <c r="J15" s="132"/>
      <c r="K15" s="28"/>
    </row>
    <row r="16" spans="2:11" ht="15.75" customHeight="1">
      <c r="B16" s="597" t="s">
        <v>139</v>
      </c>
      <c r="C16" s="67">
        <v>204.99299999999999</v>
      </c>
      <c r="D16" s="67">
        <v>1203.3089100000002</v>
      </c>
      <c r="E16" s="408">
        <v>58.7</v>
      </c>
      <c r="F16" s="408">
        <v>21.282</v>
      </c>
      <c r="G16" s="408">
        <v>150.25092000000001</v>
      </c>
      <c r="H16" s="408">
        <v>70.599999999999994</v>
      </c>
      <c r="I16" s="39"/>
      <c r="J16" s="132"/>
      <c r="K16" s="28"/>
    </row>
    <row r="17" spans="2:11" ht="15.75" customHeight="1">
      <c r="B17" s="51" t="s">
        <v>686</v>
      </c>
      <c r="C17" s="67">
        <v>173.10599999999999</v>
      </c>
      <c r="D17" s="67"/>
      <c r="E17" s="408"/>
      <c r="F17" s="408">
        <v>14.772</v>
      </c>
      <c r="G17" s="408"/>
      <c r="H17" s="408"/>
      <c r="I17" s="39"/>
      <c r="J17" s="39"/>
      <c r="K17" s="39"/>
    </row>
    <row r="18" spans="2:11" ht="46.5" customHeight="1">
      <c r="B18" s="791" t="s">
        <v>687</v>
      </c>
      <c r="C18" s="791"/>
      <c r="D18" s="791"/>
      <c r="E18" s="791"/>
      <c r="F18" s="791"/>
      <c r="G18" s="791"/>
      <c r="H18" s="791"/>
      <c r="I18" s="1"/>
      <c r="J18" s="1"/>
    </row>
    <row r="19" spans="2:11">
      <c r="B19" s="39"/>
      <c r="C19" s="524"/>
      <c r="D19" s="524"/>
      <c r="E19" s="525"/>
      <c r="F19" s="39"/>
      <c r="G19" s="39"/>
      <c r="H19" s="39"/>
      <c r="I19" s="39"/>
      <c r="J19" s="39"/>
    </row>
    <row r="21" spans="2:11">
      <c r="B21" s="39"/>
      <c r="C21" s="39"/>
      <c r="D21" s="39"/>
      <c r="E21" s="39"/>
      <c r="F21" s="90"/>
      <c r="G21" s="39"/>
      <c r="H21" s="39"/>
      <c r="I21" s="39"/>
      <c r="J21" s="39"/>
    </row>
    <row r="37" spans="1:1" ht="38.25" customHeight="1">
      <c r="A37" s="39"/>
    </row>
    <row r="39" spans="1:1">
      <c r="A39" s="39"/>
    </row>
    <row r="53" spans="1:8" ht="30" customHeight="1">
      <c r="A53" s="35"/>
      <c r="B53" s="39"/>
      <c r="C53" s="39"/>
      <c r="D53" s="39"/>
      <c r="E53" s="39"/>
      <c r="F53" s="39"/>
      <c r="G53" s="39"/>
      <c r="H53" s="35"/>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53"/>
  <sheetViews>
    <sheetView zoomScaleNormal="100" zoomScaleSheetLayoutView="50" workbookViewId="0">
      <selection activeCell="J18" sqref="J18"/>
    </sheetView>
  </sheetViews>
  <sheetFormatPr baseColWidth="10" defaultColWidth="10.921875" defaultRowHeight="13.2"/>
  <cols>
    <col min="1" max="1" width="0.921875" style="8" customWidth="1"/>
    <col min="2" max="2" width="10.84375" style="8" customWidth="1"/>
    <col min="3" max="6" width="11.15234375" style="8" customWidth="1"/>
    <col min="7" max="7" width="1.3828125" style="8" customWidth="1"/>
    <col min="8" max="8" width="3.921875" style="8" customWidth="1"/>
    <col min="9" max="9" width="6.3046875" style="8" customWidth="1"/>
    <col min="10" max="10" width="9.3828125" style="8" customWidth="1"/>
    <col min="11" max="16384" width="10.921875" style="8"/>
  </cols>
  <sheetData>
    <row r="1" spans="2:15" s="19" customFormat="1" ht="15" customHeight="1">
      <c r="B1" s="788" t="s">
        <v>140</v>
      </c>
      <c r="C1" s="788"/>
      <c r="D1" s="788"/>
      <c r="E1" s="788"/>
      <c r="F1" s="788"/>
    </row>
    <row r="2" spans="2:15" s="19" customFormat="1" ht="15" customHeight="1"/>
    <row r="3" spans="2:15" s="19" customFormat="1" ht="31.8" customHeight="1">
      <c r="B3" s="796" t="s">
        <v>141</v>
      </c>
      <c r="C3" s="797"/>
      <c r="D3" s="797"/>
      <c r="E3" s="797"/>
      <c r="F3" s="797"/>
    </row>
    <row r="4" spans="2:15" s="19" customFormat="1" ht="15.75" customHeight="1">
      <c r="B4" s="797" t="s">
        <v>142</v>
      </c>
      <c r="C4" s="797"/>
      <c r="D4" s="797"/>
      <c r="E4" s="797"/>
      <c r="F4" s="797"/>
    </row>
    <row r="5" spans="2:15" s="19" customFormat="1" ht="45" customHeight="1">
      <c r="B5" s="280" t="s">
        <v>127</v>
      </c>
      <c r="C5" s="280" t="s">
        <v>143</v>
      </c>
      <c r="D5" s="281" t="s">
        <v>144</v>
      </c>
      <c r="E5" s="281" t="s">
        <v>145</v>
      </c>
      <c r="F5" s="281" t="s">
        <v>146</v>
      </c>
    </row>
    <row r="6" spans="2:15" ht="15.75" customHeight="1">
      <c r="B6" s="798" t="s">
        <v>138</v>
      </c>
      <c r="C6" s="33" t="s">
        <v>147</v>
      </c>
      <c r="D6" s="328">
        <v>1589</v>
      </c>
      <c r="E6" s="328">
        <v>418.7</v>
      </c>
      <c r="F6" s="329">
        <v>2.6349905601006922</v>
      </c>
      <c r="G6" s="27"/>
      <c r="H6" s="141"/>
      <c r="I6" s="142"/>
      <c r="J6" s="28"/>
      <c r="K6" s="131"/>
      <c r="L6" s="132"/>
      <c r="M6" s="28"/>
      <c r="N6" s="39"/>
      <c r="O6" s="39"/>
    </row>
    <row r="7" spans="2:15" ht="15.75" customHeight="1">
      <c r="B7" s="798"/>
      <c r="C7" s="33" t="s">
        <v>148</v>
      </c>
      <c r="D7" s="328">
        <v>1642</v>
      </c>
      <c r="E7" s="328">
        <v>2147.8000000000002</v>
      </c>
      <c r="F7" s="329">
        <v>13.080389768574909</v>
      </c>
      <c r="G7" s="27"/>
      <c r="H7" s="141"/>
      <c r="I7" s="142"/>
      <c r="J7" s="28"/>
      <c r="K7" s="131"/>
      <c r="L7" s="132"/>
      <c r="M7" s="28"/>
      <c r="N7" s="39"/>
      <c r="O7" s="39"/>
    </row>
    <row r="8" spans="2:15" ht="15.75" customHeight="1">
      <c r="B8" s="798"/>
      <c r="C8" s="33" t="s">
        <v>149</v>
      </c>
      <c r="D8" s="328">
        <v>4802</v>
      </c>
      <c r="E8" s="328">
        <v>16472.3</v>
      </c>
      <c r="F8" s="329">
        <v>34.302998750520615</v>
      </c>
      <c r="G8" s="27"/>
      <c r="H8" s="141"/>
      <c r="I8" s="142"/>
      <c r="J8" s="28"/>
      <c r="K8" s="131"/>
      <c r="L8" s="132"/>
      <c r="M8" s="28"/>
      <c r="N8" s="39"/>
      <c r="O8" s="39"/>
    </row>
    <row r="9" spans="2:15" ht="15.75" customHeight="1">
      <c r="B9" s="798"/>
      <c r="C9" s="33" t="s">
        <v>150</v>
      </c>
      <c r="D9" s="328">
        <v>18240</v>
      </c>
      <c r="E9" s="328">
        <v>104422.8</v>
      </c>
      <c r="F9" s="329">
        <v>57.24934210526316</v>
      </c>
      <c r="G9" s="27"/>
      <c r="H9" s="141"/>
      <c r="I9" s="142"/>
      <c r="J9" s="28"/>
      <c r="K9" s="131"/>
      <c r="L9" s="132"/>
      <c r="M9" s="28"/>
      <c r="N9" s="39"/>
      <c r="O9" s="39"/>
    </row>
    <row r="10" spans="2:15" ht="15.75" customHeight="1">
      <c r="B10" s="798"/>
      <c r="C10" s="33" t="s">
        <v>151</v>
      </c>
      <c r="D10" s="328">
        <v>31085</v>
      </c>
      <c r="E10" s="328">
        <v>154283.5</v>
      </c>
      <c r="F10" s="329">
        <v>49.632781084124176</v>
      </c>
      <c r="G10" s="27"/>
      <c r="H10" s="141"/>
      <c r="I10" s="142"/>
      <c r="J10" s="28"/>
      <c r="K10" s="131"/>
      <c r="L10" s="132"/>
      <c r="M10" s="28"/>
      <c r="N10" s="39"/>
      <c r="O10" s="39"/>
    </row>
    <row r="11" spans="2:15" ht="15.75" customHeight="1">
      <c r="B11" s="798"/>
      <c r="C11" s="33" t="s">
        <v>152</v>
      </c>
      <c r="D11" s="328">
        <v>22218</v>
      </c>
      <c r="E11" s="328">
        <v>153108.6</v>
      </c>
      <c r="F11" s="329">
        <v>68.911963273021868</v>
      </c>
      <c r="G11" s="27"/>
      <c r="H11" s="141"/>
      <c r="I11" s="142"/>
      <c r="J11" s="28"/>
      <c r="K11" s="131"/>
      <c r="L11" s="132"/>
      <c r="M11" s="28"/>
      <c r="N11" s="39"/>
      <c r="O11" s="39"/>
    </row>
    <row r="12" spans="2:15" ht="15.75" customHeight="1">
      <c r="B12" s="798"/>
      <c r="C12" s="33" t="s">
        <v>153</v>
      </c>
      <c r="D12" s="328">
        <v>82333</v>
      </c>
      <c r="E12" s="328">
        <v>474530.7</v>
      </c>
      <c r="F12" s="329">
        <v>57.635541034579084</v>
      </c>
      <c r="G12" s="27"/>
      <c r="H12" s="141"/>
      <c r="I12" s="142"/>
      <c r="J12" s="28"/>
      <c r="K12" s="131"/>
      <c r="L12" s="132"/>
      <c r="M12" s="28"/>
      <c r="N12" s="39"/>
      <c r="O12" s="39"/>
    </row>
    <row r="13" spans="2:15" ht="15.75" customHeight="1">
      <c r="B13" s="798"/>
      <c r="C13" s="33" t="s">
        <v>154</v>
      </c>
      <c r="D13" s="328">
        <v>10398</v>
      </c>
      <c r="E13" s="328">
        <v>89180.9</v>
      </c>
      <c r="F13" s="329">
        <v>85.767359107520676</v>
      </c>
      <c r="G13" s="27"/>
      <c r="H13" s="141"/>
      <c r="I13" s="142"/>
      <c r="J13" s="28"/>
      <c r="K13" s="131"/>
      <c r="L13" s="132"/>
      <c r="M13" s="28"/>
      <c r="N13" s="39"/>
      <c r="O13" s="39"/>
    </row>
    <row r="14" spans="2:15" ht="15.75" customHeight="1">
      <c r="B14" s="798"/>
      <c r="C14" s="33" t="s">
        <v>155</v>
      </c>
      <c r="D14" s="328">
        <v>10720</v>
      </c>
      <c r="E14" s="328">
        <v>91457</v>
      </c>
      <c r="F14" s="329">
        <v>85.314365671641795</v>
      </c>
      <c r="G14" s="27"/>
      <c r="H14" s="141"/>
      <c r="I14" s="142"/>
      <c r="J14" s="28"/>
      <c r="K14" s="131"/>
      <c r="L14" s="132"/>
      <c r="M14" s="28"/>
      <c r="N14" s="39"/>
      <c r="O14" s="39"/>
    </row>
    <row r="15" spans="2:15" ht="15.75" customHeight="1">
      <c r="B15" s="798"/>
      <c r="C15" s="33" t="s">
        <v>156</v>
      </c>
      <c r="D15" s="328">
        <v>46</v>
      </c>
      <c r="E15" s="328">
        <v>117.8</v>
      </c>
      <c r="F15" s="329">
        <v>25.608695652173914</v>
      </c>
      <c r="G15" s="27"/>
      <c r="H15" s="141"/>
      <c r="I15" s="142"/>
      <c r="J15" s="28"/>
      <c r="K15" s="131"/>
      <c r="L15" s="132"/>
      <c r="M15" s="28"/>
      <c r="N15" s="39"/>
      <c r="O15" s="39"/>
    </row>
    <row r="16" spans="2:15" ht="15.75" customHeight="1">
      <c r="B16" s="798"/>
      <c r="C16" s="33" t="s">
        <v>157</v>
      </c>
      <c r="D16" s="328">
        <v>183073</v>
      </c>
      <c r="E16" s="328">
        <v>1086140.1000000001</v>
      </c>
      <c r="F16" s="329">
        <v>59.328251571777379</v>
      </c>
      <c r="G16" s="27"/>
      <c r="H16" s="141"/>
      <c r="I16" s="142"/>
      <c r="J16" s="28"/>
      <c r="K16" s="131"/>
      <c r="L16" s="132"/>
      <c r="M16" s="28"/>
      <c r="N16" s="39"/>
      <c r="O16" s="39"/>
    </row>
    <row r="17" spans="2:15" ht="15.75" customHeight="1">
      <c r="B17" s="799" t="s">
        <v>139</v>
      </c>
      <c r="C17" s="33" t="s">
        <v>158</v>
      </c>
      <c r="D17" s="328">
        <v>360</v>
      </c>
      <c r="E17" s="328">
        <f>D17*F17/10</f>
        <v>311.50000000000006</v>
      </c>
      <c r="F17" s="329">
        <v>8.6527777777777786</v>
      </c>
      <c r="G17" s="27"/>
      <c r="H17" s="58"/>
      <c r="I17" s="415"/>
      <c r="J17" s="82"/>
      <c r="K17" s="79"/>
      <c r="L17" s="132"/>
      <c r="M17" s="28"/>
      <c r="N17" s="39"/>
      <c r="O17" s="39"/>
    </row>
    <row r="18" spans="2:15" ht="15.75" customHeight="1">
      <c r="B18" s="799"/>
      <c r="C18" s="33" t="s">
        <v>147</v>
      </c>
      <c r="D18" s="328">
        <v>292</v>
      </c>
      <c r="E18" s="328">
        <f t="shared" ref="E18:E28" si="0">D18*F18/10</f>
        <v>1054.9000000000001</v>
      </c>
      <c r="F18" s="329">
        <v>36.126712328767127</v>
      </c>
      <c r="G18" s="27"/>
      <c r="H18" s="58"/>
      <c r="I18" s="415"/>
      <c r="J18" s="82"/>
      <c r="K18" s="79"/>
      <c r="L18" s="132"/>
      <c r="M18" s="28"/>
      <c r="N18" s="39"/>
      <c r="O18" s="39"/>
    </row>
    <row r="19" spans="2:15" ht="15.75" customHeight="1">
      <c r="B19" s="799"/>
      <c r="C19" s="33" t="s">
        <v>148</v>
      </c>
      <c r="D19" s="328">
        <v>2075</v>
      </c>
      <c r="E19" s="328">
        <f t="shared" si="0"/>
        <v>9222.9</v>
      </c>
      <c r="F19" s="329">
        <v>44.447710843373493</v>
      </c>
      <c r="G19" s="27"/>
      <c r="H19" s="58"/>
      <c r="I19" s="415"/>
      <c r="J19" s="82"/>
      <c r="K19" s="79"/>
      <c r="L19" s="132"/>
      <c r="M19" s="28"/>
      <c r="N19" s="39"/>
      <c r="O19" s="39"/>
    </row>
    <row r="20" spans="2:15" ht="15.75" customHeight="1">
      <c r="B20" s="799"/>
      <c r="C20" s="33" t="s">
        <v>149</v>
      </c>
      <c r="D20" s="328">
        <v>8323</v>
      </c>
      <c r="E20" s="328">
        <f t="shared" si="0"/>
        <v>45578.899999999994</v>
      </c>
      <c r="F20" s="329">
        <v>54.762585606151625</v>
      </c>
      <c r="G20" s="27"/>
      <c r="H20" s="58"/>
      <c r="I20" s="415"/>
      <c r="J20" s="82"/>
      <c r="K20" s="79"/>
      <c r="L20" s="132"/>
      <c r="M20" s="28"/>
      <c r="N20" s="39"/>
      <c r="O20" s="39"/>
    </row>
    <row r="21" spans="2:15" ht="15.75" customHeight="1">
      <c r="B21" s="799"/>
      <c r="C21" s="33" t="s">
        <v>150</v>
      </c>
      <c r="D21" s="328">
        <v>21760</v>
      </c>
      <c r="E21" s="328">
        <f t="shared" si="0"/>
        <v>116028.3</v>
      </c>
      <c r="F21" s="329">
        <v>53.321829044117649</v>
      </c>
      <c r="G21" s="27"/>
      <c r="H21" s="58"/>
      <c r="I21" s="415"/>
      <c r="J21" s="82"/>
      <c r="K21" s="79"/>
      <c r="L21" s="132"/>
      <c r="M21" s="28"/>
      <c r="N21" s="39"/>
      <c r="O21" s="39"/>
    </row>
    <row r="22" spans="2:15" ht="15.75" customHeight="1">
      <c r="B22" s="799"/>
      <c r="C22" s="33" t="s">
        <v>151</v>
      </c>
      <c r="D22" s="328">
        <v>30998</v>
      </c>
      <c r="E22" s="328">
        <f t="shared" si="0"/>
        <v>174183.4</v>
      </c>
      <c r="F22" s="329">
        <v>56.191818827021095</v>
      </c>
      <c r="G22" s="27"/>
      <c r="H22" s="58"/>
      <c r="I22" s="415"/>
      <c r="J22" s="82"/>
      <c r="K22" s="79"/>
      <c r="L22" s="132"/>
      <c r="M22" s="28"/>
      <c r="N22" s="39"/>
      <c r="O22" s="39"/>
    </row>
    <row r="23" spans="2:15" ht="15.75" customHeight="1">
      <c r="B23" s="799"/>
      <c r="C23" s="33" t="s">
        <v>152</v>
      </c>
      <c r="D23" s="328">
        <v>25986</v>
      </c>
      <c r="E23" s="328">
        <f t="shared" si="0"/>
        <v>132209.79999999999</v>
      </c>
      <c r="F23" s="329">
        <v>50.877318556145617</v>
      </c>
      <c r="G23" s="27"/>
      <c r="H23" s="58"/>
      <c r="I23" s="415"/>
      <c r="J23" s="287"/>
      <c r="K23" s="79"/>
      <c r="L23" s="132"/>
      <c r="M23" s="28"/>
      <c r="N23" s="39"/>
      <c r="O23" s="39"/>
    </row>
    <row r="24" spans="2:15" ht="15.75" customHeight="1">
      <c r="B24" s="799"/>
      <c r="C24" s="33" t="s">
        <v>153</v>
      </c>
      <c r="D24" s="328">
        <v>92781</v>
      </c>
      <c r="E24" s="328">
        <f t="shared" si="0"/>
        <v>539238.30000000005</v>
      </c>
      <c r="F24" s="329">
        <v>58.119474892488761</v>
      </c>
      <c r="G24" s="27"/>
      <c r="H24" s="58"/>
      <c r="I24" s="415"/>
      <c r="J24" s="82"/>
      <c r="K24" s="79"/>
      <c r="L24" s="132"/>
      <c r="M24" s="28"/>
      <c r="N24" s="39"/>
      <c r="O24" s="39"/>
    </row>
    <row r="25" spans="2:15" ht="15.75" customHeight="1">
      <c r="B25" s="799"/>
      <c r="C25" s="33" t="s">
        <v>154</v>
      </c>
      <c r="D25" s="328">
        <v>8252</v>
      </c>
      <c r="E25" s="328">
        <f t="shared" si="0"/>
        <v>68245.7</v>
      </c>
      <c r="F25" s="329">
        <v>82.702011633543378</v>
      </c>
      <c r="G25" s="27"/>
      <c r="H25" s="58"/>
      <c r="I25" s="415"/>
      <c r="J25" s="82"/>
      <c r="K25" s="79"/>
      <c r="L25" s="132"/>
      <c r="M25" s="28"/>
      <c r="N25" s="39"/>
      <c r="O25" s="39"/>
    </row>
    <row r="26" spans="2:15" ht="15.75" customHeight="1">
      <c r="B26" s="799"/>
      <c r="C26" s="33" t="s">
        <v>155</v>
      </c>
      <c r="D26" s="328">
        <v>14120</v>
      </c>
      <c r="E26" s="328">
        <f t="shared" si="0"/>
        <v>117191.3</v>
      </c>
      <c r="F26" s="329">
        <v>82.996671388101987</v>
      </c>
      <c r="G26" s="27"/>
      <c r="H26" s="58"/>
      <c r="I26" s="415"/>
      <c r="J26" s="286"/>
      <c r="K26" s="79"/>
      <c r="L26" s="132"/>
      <c r="M26" s="28"/>
      <c r="N26" s="39"/>
      <c r="O26" s="39"/>
    </row>
    <row r="27" spans="2:15" ht="15.75" customHeight="1">
      <c r="B27" s="799"/>
      <c r="C27" s="33" t="s">
        <v>156</v>
      </c>
      <c r="D27" s="328">
        <v>46</v>
      </c>
      <c r="E27" s="328">
        <f t="shared" si="0"/>
        <v>117.8</v>
      </c>
      <c r="F27" s="329">
        <v>25.608695652173914</v>
      </c>
      <c r="G27" s="27"/>
      <c r="H27" s="58"/>
      <c r="I27" s="415"/>
      <c r="J27" s="82"/>
      <c r="K27" s="79"/>
      <c r="L27" s="132"/>
      <c r="M27" s="28"/>
      <c r="N27" s="39"/>
      <c r="O27" s="39"/>
    </row>
    <row r="28" spans="2:15" ht="15.75" customHeight="1">
      <c r="B28" s="799"/>
      <c r="C28" s="33" t="s">
        <v>157</v>
      </c>
      <c r="D28" s="328">
        <f>SUM(D17:D27)</f>
        <v>204993</v>
      </c>
      <c r="E28" s="328">
        <f t="shared" si="0"/>
        <v>1203308.9100000001</v>
      </c>
      <c r="F28" s="329">
        <v>58.7</v>
      </c>
      <c r="G28" s="27"/>
      <c r="H28" s="58"/>
      <c r="I28" s="415"/>
      <c r="J28" s="82"/>
      <c r="K28" s="288"/>
      <c r="L28" s="132"/>
      <c r="M28" s="28"/>
      <c r="N28" s="39"/>
      <c r="O28" s="39"/>
    </row>
    <row r="29" spans="2:15" ht="38.4" customHeight="1">
      <c r="B29" s="793" t="s">
        <v>159</v>
      </c>
      <c r="C29" s="794"/>
      <c r="D29" s="794"/>
      <c r="E29" s="794"/>
      <c r="F29" s="795"/>
      <c r="G29" s="27"/>
      <c r="H29" s="141"/>
      <c r="I29" s="79"/>
      <c r="J29" s="82"/>
      <c r="K29" s="131"/>
      <c r="L29" s="132"/>
      <c r="M29" s="28"/>
      <c r="N29" s="39"/>
      <c r="O29" s="39"/>
    </row>
    <row r="30" spans="2:15" ht="15" customHeight="1">
      <c r="B30" s="39"/>
      <c r="C30" s="39"/>
      <c r="D30" s="39"/>
      <c r="E30" s="39"/>
      <c r="F30" s="39"/>
      <c r="G30" s="39"/>
      <c r="H30" s="39"/>
      <c r="I30" s="39"/>
      <c r="J30" s="39"/>
      <c r="K30" s="499"/>
      <c r="L30" s="39"/>
      <c r="M30" s="39"/>
      <c r="N30" s="39"/>
      <c r="O30" s="39"/>
    </row>
    <row r="33" spans="4:4" ht="17.399999999999999">
      <c r="D33" s="289"/>
    </row>
    <row r="34" spans="4:4">
      <c r="D34" s="132"/>
    </row>
    <row r="52" spans="1:12">
      <c r="A52" s="39"/>
      <c r="B52" s="39"/>
      <c r="C52" s="39"/>
      <c r="D52" s="39"/>
      <c r="E52" s="39"/>
      <c r="F52" s="39"/>
      <c r="G52" s="39"/>
      <c r="H52" s="39"/>
      <c r="I52" s="39"/>
      <c r="J52" s="39"/>
      <c r="K52" s="39"/>
      <c r="L52" s="39"/>
    </row>
    <row r="53" spans="1:12" ht="30" customHeight="1">
      <c r="A53" s="35"/>
      <c r="B53" s="39"/>
      <c r="C53" s="39"/>
      <c r="D53" s="39"/>
      <c r="E53" s="39"/>
      <c r="F53" s="39"/>
      <c r="G53" s="39"/>
      <c r="H53" s="35"/>
      <c r="I53" s="39"/>
      <c r="J53" s="39"/>
      <c r="K53" s="39"/>
      <c r="L53" s="39"/>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6"/>
    <mergeCell ref="B17: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6"/>
  <sheetViews>
    <sheetView zoomScaleNormal="100" zoomScaleSheetLayoutView="50" workbookViewId="0">
      <selection activeCell="F47" sqref="F47"/>
    </sheetView>
  </sheetViews>
  <sheetFormatPr baseColWidth="10" defaultColWidth="10.921875" defaultRowHeight="13.2"/>
  <cols>
    <col min="1" max="1" width="1.921875" style="8" customWidth="1"/>
    <col min="2" max="2" width="8.69140625" style="8" customWidth="1"/>
    <col min="3" max="6" width="11.84375" style="8" customWidth="1"/>
    <col min="7" max="7" width="2.3828125" style="8" customWidth="1"/>
    <col min="8" max="10" width="4.07421875" style="8" customWidth="1"/>
    <col min="11" max="16384" width="10.921875" style="8"/>
  </cols>
  <sheetData>
    <row r="1" spans="2:22" s="19" customFormat="1" ht="15" customHeight="1">
      <c r="B1" s="788" t="s">
        <v>160</v>
      </c>
      <c r="C1" s="788"/>
      <c r="D1" s="788"/>
      <c r="E1" s="788"/>
      <c r="F1" s="788"/>
    </row>
    <row r="2" spans="2:22" s="19" customFormat="1" ht="15" customHeight="1"/>
    <row r="3" spans="2:22" s="19" customFormat="1" ht="31.8" customHeight="1">
      <c r="B3" s="796" t="s">
        <v>161</v>
      </c>
      <c r="C3" s="797"/>
      <c r="D3" s="797"/>
      <c r="E3" s="797"/>
      <c r="F3" s="797"/>
    </row>
    <row r="4" spans="2:22" s="19" customFormat="1" ht="15.75" customHeight="1">
      <c r="B4" s="797" t="s">
        <v>142</v>
      </c>
      <c r="C4" s="797"/>
      <c r="D4" s="797"/>
      <c r="E4" s="797"/>
      <c r="F4" s="797"/>
    </row>
    <row r="5" spans="2:22" s="19" customFormat="1" ht="43.5" customHeight="1">
      <c r="B5" s="280" t="s">
        <v>127</v>
      </c>
      <c r="C5" s="280" t="s">
        <v>143</v>
      </c>
      <c r="D5" s="281" t="s">
        <v>144</v>
      </c>
      <c r="E5" s="281" t="s">
        <v>145</v>
      </c>
      <c r="F5" s="281" t="s">
        <v>146</v>
      </c>
    </row>
    <row r="6" spans="2:22" ht="15.75" customHeight="1">
      <c r="B6" s="800" t="s">
        <v>138</v>
      </c>
      <c r="C6" s="39" t="s">
        <v>147</v>
      </c>
      <c r="D6" s="328">
        <v>93</v>
      </c>
      <c r="E6" s="328">
        <v>189.7</v>
      </c>
      <c r="F6" s="329">
        <v>20.397849462365592</v>
      </c>
      <c r="G6" s="39"/>
      <c r="H6" s="132"/>
      <c r="I6" s="142"/>
      <c r="J6" s="39"/>
      <c r="K6" s="39"/>
      <c r="L6" s="39"/>
      <c r="M6" s="39"/>
      <c r="N6" s="39"/>
      <c r="O6" s="39"/>
      <c r="P6" s="39"/>
      <c r="Q6" s="39"/>
      <c r="R6" s="39"/>
      <c r="S6" s="39"/>
      <c r="T6" s="39"/>
      <c r="U6" s="39"/>
      <c r="V6" s="39"/>
    </row>
    <row r="7" spans="2:22" ht="15.75" customHeight="1">
      <c r="B7" s="800"/>
      <c r="C7" s="33" t="s">
        <v>148</v>
      </c>
      <c r="D7" s="328">
        <v>2486</v>
      </c>
      <c r="E7" s="328">
        <v>10680.8</v>
      </c>
      <c r="F7" s="329">
        <v>42.963797264682221</v>
      </c>
      <c r="G7" s="39"/>
      <c r="H7" s="132"/>
      <c r="I7" s="142"/>
      <c r="J7" s="39"/>
      <c r="K7" s="39"/>
      <c r="L7" s="39"/>
      <c r="M7" s="39"/>
      <c r="N7" s="39"/>
      <c r="O7" s="39"/>
      <c r="P7" s="39"/>
      <c r="Q7" s="39"/>
      <c r="R7" s="39"/>
      <c r="S7" s="39"/>
      <c r="T7" s="39"/>
      <c r="U7" s="39"/>
      <c r="V7" s="39"/>
    </row>
    <row r="8" spans="2:22" ht="15.75" customHeight="1">
      <c r="B8" s="800"/>
      <c r="C8" s="33" t="s">
        <v>149</v>
      </c>
      <c r="D8" s="328">
        <v>3992</v>
      </c>
      <c r="E8" s="328">
        <v>22634.7</v>
      </c>
      <c r="F8" s="329">
        <v>56.700150300601202</v>
      </c>
      <c r="G8" s="39"/>
      <c r="H8" s="132"/>
      <c r="I8" s="142"/>
      <c r="J8" s="39"/>
      <c r="K8" s="39"/>
      <c r="L8" s="39"/>
      <c r="M8" s="39"/>
      <c r="N8" s="39"/>
      <c r="O8" s="39"/>
      <c r="P8" s="39"/>
      <c r="Q8" s="39"/>
      <c r="R8" s="39"/>
      <c r="S8" s="39"/>
      <c r="T8" s="39"/>
      <c r="U8" s="39"/>
      <c r="V8" s="39"/>
    </row>
    <row r="9" spans="2:22" ht="15.75" customHeight="1">
      <c r="B9" s="800"/>
      <c r="C9" s="33" t="s">
        <v>150</v>
      </c>
      <c r="D9" s="328">
        <v>4500</v>
      </c>
      <c r="E9" s="328">
        <v>31050.2</v>
      </c>
      <c r="F9" s="329">
        <v>69.00044444444444</v>
      </c>
      <c r="G9" s="39"/>
      <c r="H9" s="132"/>
      <c r="I9" s="142"/>
      <c r="J9" s="39"/>
      <c r="K9" s="39"/>
      <c r="L9" s="39"/>
      <c r="M9" s="39"/>
      <c r="N9" s="39"/>
      <c r="O9" s="39"/>
      <c r="P9" s="39"/>
      <c r="Q9" s="39"/>
      <c r="R9" s="39"/>
      <c r="S9" s="39"/>
      <c r="T9" s="39"/>
      <c r="U9" s="39"/>
      <c r="V9" s="39"/>
    </row>
    <row r="10" spans="2:22" ht="15.75" customHeight="1">
      <c r="B10" s="800"/>
      <c r="C10" s="33" t="s">
        <v>151</v>
      </c>
      <c r="D10" s="328">
        <v>4803</v>
      </c>
      <c r="E10" s="328">
        <v>32920.199999999997</v>
      </c>
      <c r="F10" s="329">
        <v>68.54091193004372</v>
      </c>
      <c r="G10" s="39"/>
      <c r="H10" s="132"/>
      <c r="I10" s="142"/>
      <c r="J10" s="39"/>
      <c r="K10" s="39"/>
      <c r="L10" s="79"/>
      <c r="M10" s="79"/>
      <c r="N10" s="79"/>
      <c r="O10" s="79"/>
      <c r="P10" s="79"/>
      <c r="Q10" s="79"/>
      <c r="R10" s="79"/>
      <c r="S10" s="79"/>
      <c r="T10" s="79"/>
      <c r="U10" s="79"/>
      <c r="V10" s="79"/>
    </row>
    <row r="11" spans="2:22" ht="15.75" customHeight="1">
      <c r="B11" s="800"/>
      <c r="C11" s="33" t="s">
        <v>152</v>
      </c>
      <c r="D11" s="328">
        <v>5527</v>
      </c>
      <c r="E11" s="328">
        <v>43091.4</v>
      </c>
      <c r="F11" s="329">
        <v>77.965261443821248</v>
      </c>
      <c r="G11" s="39"/>
      <c r="H11" s="132"/>
      <c r="I11" s="142"/>
      <c r="J11" s="39"/>
      <c r="K11" s="85"/>
      <c r="L11" s="83"/>
      <c r="M11" s="82"/>
      <c r="N11" s="82"/>
      <c r="O11" s="82"/>
      <c r="P11" s="82"/>
      <c r="Q11" s="82"/>
      <c r="R11" s="82"/>
      <c r="S11" s="80"/>
      <c r="T11" s="80"/>
      <c r="U11" s="80"/>
      <c r="V11" s="80"/>
    </row>
    <row r="12" spans="2:22" ht="15.75" customHeight="1">
      <c r="B12" s="800"/>
      <c r="C12" s="33" t="s">
        <v>153</v>
      </c>
      <c r="D12" s="328">
        <v>562</v>
      </c>
      <c r="E12" s="328">
        <v>4281.3</v>
      </c>
      <c r="F12" s="329">
        <v>76.179715302491104</v>
      </c>
      <c r="G12" s="39"/>
      <c r="H12" s="132"/>
      <c r="I12" s="142"/>
      <c r="J12" s="39"/>
      <c r="K12" s="85"/>
      <c r="L12" s="83"/>
      <c r="M12" s="82"/>
      <c r="N12" s="82"/>
      <c r="O12" s="82"/>
      <c r="P12" s="82"/>
      <c r="Q12" s="82"/>
      <c r="R12" s="82"/>
      <c r="S12" s="80"/>
      <c r="T12" s="80"/>
      <c r="U12" s="80"/>
      <c r="V12" s="80"/>
    </row>
    <row r="13" spans="2:22" ht="15.75" customHeight="1">
      <c r="B13" s="801"/>
      <c r="C13" s="33" t="s">
        <v>157</v>
      </c>
      <c r="D13" s="328">
        <v>21963</v>
      </c>
      <c r="E13" s="328">
        <v>144848.29999999999</v>
      </c>
      <c r="F13" s="329">
        <v>65.95105404544006</v>
      </c>
      <c r="G13" s="27"/>
      <c r="H13" s="132"/>
      <c r="I13" s="142"/>
      <c r="J13" s="39"/>
      <c r="K13" s="39"/>
      <c r="L13" s="39"/>
      <c r="M13" s="39"/>
      <c r="N13" s="39"/>
      <c r="O13" s="39"/>
      <c r="P13" s="39"/>
      <c r="Q13" s="39"/>
      <c r="R13" s="39"/>
      <c r="S13" s="39"/>
      <c r="T13" s="39"/>
      <c r="U13" s="39"/>
      <c r="V13" s="39"/>
    </row>
    <row r="14" spans="2:22" ht="15.75" customHeight="1">
      <c r="B14" s="800" t="s">
        <v>139</v>
      </c>
      <c r="C14" s="33" t="s">
        <v>147</v>
      </c>
      <c r="D14" s="328">
        <v>87</v>
      </c>
      <c r="E14" s="328">
        <f>D14*F14/10</f>
        <v>611.6099999999999</v>
      </c>
      <c r="F14" s="329">
        <v>70.3</v>
      </c>
      <c r="G14" s="54"/>
      <c r="H14" s="89"/>
      <c r="I14" s="82"/>
      <c r="J14" s="82"/>
      <c r="K14" s="39"/>
      <c r="L14" s="39"/>
      <c r="M14" s="39"/>
      <c r="N14" s="39"/>
      <c r="O14" s="39"/>
      <c r="P14" s="39"/>
      <c r="Q14" s="39"/>
      <c r="R14" s="39"/>
      <c r="S14" s="39"/>
      <c r="T14" s="39"/>
      <c r="U14" s="39"/>
      <c r="V14" s="39"/>
    </row>
    <row r="15" spans="2:22" ht="15.75" customHeight="1">
      <c r="B15" s="800"/>
      <c r="C15" s="33" t="s">
        <v>148</v>
      </c>
      <c r="D15" s="328">
        <v>1154</v>
      </c>
      <c r="E15" s="328">
        <f t="shared" ref="E15:E21" si="0">D15*F15/10</f>
        <v>6728.4</v>
      </c>
      <c r="F15" s="329">
        <v>58.305025996533793</v>
      </c>
      <c r="G15" s="54"/>
      <c r="H15" s="89"/>
      <c r="I15" s="82"/>
      <c r="J15" s="82"/>
      <c r="K15" s="39"/>
      <c r="L15" s="39"/>
      <c r="M15" s="39"/>
      <c r="N15" s="39"/>
      <c r="O15" s="39"/>
      <c r="P15" s="39"/>
      <c r="Q15" s="39"/>
      <c r="R15" s="39"/>
      <c r="S15" s="39"/>
      <c r="T15" s="39"/>
      <c r="U15" s="39"/>
      <c r="V15" s="39"/>
    </row>
    <row r="16" spans="2:22" ht="15.75" customHeight="1">
      <c r="B16" s="800"/>
      <c r="C16" s="33" t="s">
        <v>149</v>
      </c>
      <c r="D16" s="328">
        <v>3759</v>
      </c>
      <c r="E16" s="328">
        <f t="shared" si="0"/>
        <v>26891.1</v>
      </c>
      <c r="F16" s="329">
        <v>71.537909018355947</v>
      </c>
      <c r="G16" s="54"/>
      <c r="H16" s="89"/>
      <c r="I16" s="82"/>
      <c r="J16" s="82"/>
      <c r="K16" s="39"/>
      <c r="L16" s="39"/>
      <c r="M16" s="39"/>
      <c r="N16" s="39"/>
      <c r="O16" s="39"/>
      <c r="P16" s="39"/>
      <c r="Q16" s="39"/>
      <c r="R16" s="39"/>
      <c r="S16" s="39"/>
      <c r="T16" s="39"/>
      <c r="U16" s="39"/>
      <c r="V16" s="39"/>
    </row>
    <row r="17" spans="2:18" ht="15.75" customHeight="1">
      <c r="B17" s="800"/>
      <c r="C17" s="33" t="s">
        <v>150</v>
      </c>
      <c r="D17" s="328">
        <v>3869</v>
      </c>
      <c r="E17" s="328">
        <f t="shared" si="0"/>
        <v>24368.9</v>
      </c>
      <c r="F17" s="329">
        <v>62.985009046265183</v>
      </c>
      <c r="G17" s="54"/>
      <c r="H17" s="89"/>
      <c r="I17" s="82"/>
      <c r="J17" s="82"/>
      <c r="K17" s="39"/>
      <c r="L17" s="39"/>
      <c r="M17" s="39"/>
      <c r="N17" s="39"/>
      <c r="O17" s="39"/>
      <c r="P17" s="39"/>
      <c r="Q17" s="39"/>
      <c r="R17" s="39"/>
    </row>
    <row r="18" spans="2:18" ht="15.75" customHeight="1">
      <c r="B18" s="800"/>
      <c r="C18" s="33" t="s">
        <v>151</v>
      </c>
      <c r="D18" s="328">
        <v>4085</v>
      </c>
      <c r="E18" s="328">
        <f t="shared" si="0"/>
        <v>28120.799999999999</v>
      </c>
      <c r="F18" s="329">
        <v>68.839167686658513</v>
      </c>
      <c r="G18" s="54"/>
      <c r="H18" s="89"/>
      <c r="I18" s="82"/>
      <c r="J18" s="82"/>
      <c r="K18" s="39"/>
      <c r="L18" s="39"/>
      <c r="M18" s="39"/>
      <c r="N18" s="39"/>
      <c r="O18" s="39"/>
      <c r="P18" s="39"/>
      <c r="Q18" s="39"/>
      <c r="R18" s="39"/>
    </row>
    <row r="19" spans="2:18" ht="15.75" customHeight="1">
      <c r="B19" s="800"/>
      <c r="C19" s="33" t="s">
        <v>152</v>
      </c>
      <c r="D19" s="328">
        <v>7312</v>
      </c>
      <c r="E19" s="328">
        <f t="shared" si="0"/>
        <v>56361.1</v>
      </c>
      <c r="F19" s="329">
        <v>77.080278993435442</v>
      </c>
      <c r="G19" s="54"/>
      <c r="H19" s="89"/>
      <c r="I19" s="82"/>
      <c r="J19" s="82"/>
      <c r="K19" s="39"/>
      <c r="L19" s="39"/>
      <c r="M19" s="39"/>
      <c r="N19" s="39"/>
      <c r="O19" s="39"/>
      <c r="P19" s="39"/>
      <c r="Q19" s="39"/>
      <c r="R19" s="39"/>
    </row>
    <row r="20" spans="2:18" ht="15.75" customHeight="1">
      <c r="B20" s="800"/>
      <c r="C20" s="33" t="s">
        <v>153</v>
      </c>
      <c r="D20" s="328">
        <v>1016</v>
      </c>
      <c r="E20" s="328">
        <f t="shared" si="0"/>
        <v>7142.4800000000005</v>
      </c>
      <c r="F20" s="329">
        <v>70.3</v>
      </c>
      <c r="G20" s="54"/>
      <c r="H20" s="89"/>
      <c r="I20" s="82"/>
      <c r="J20" s="82"/>
      <c r="K20" s="39"/>
      <c r="L20" s="39"/>
      <c r="M20" s="39"/>
      <c r="N20" s="39"/>
      <c r="O20" s="39"/>
      <c r="P20" s="39"/>
      <c r="Q20" s="39"/>
      <c r="R20" s="39"/>
    </row>
    <row r="21" spans="2:18" ht="15.75" customHeight="1">
      <c r="B21" s="801"/>
      <c r="C21" s="33" t="s">
        <v>157</v>
      </c>
      <c r="D21" s="328">
        <f>SUM(D14:D20)</f>
        <v>21282</v>
      </c>
      <c r="E21" s="328">
        <f t="shared" si="0"/>
        <v>150250.91999999998</v>
      </c>
      <c r="F21" s="329">
        <v>70.599999999999994</v>
      </c>
      <c r="G21" s="54"/>
      <c r="H21" s="89"/>
      <c r="I21" s="89"/>
      <c r="J21" s="89"/>
      <c r="K21" s="526"/>
      <c r="L21" s="131"/>
      <c r="M21" s="132"/>
      <c r="N21" s="28"/>
      <c r="O21" s="39"/>
      <c r="P21" s="39"/>
      <c r="Q21" s="39"/>
      <c r="R21" s="39"/>
    </row>
    <row r="22" spans="2:18" ht="18.600000000000001" customHeight="1">
      <c r="B22" s="793" t="s">
        <v>162</v>
      </c>
      <c r="C22" s="802"/>
      <c r="D22" s="802"/>
      <c r="E22" s="802"/>
      <c r="F22" s="803"/>
      <c r="G22" s="54"/>
      <c r="H22" s="81"/>
      <c r="I22" s="142"/>
      <c r="J22" s="527"/>
      <c r="K22" s="131"/>
      <c r="L22" s="131"/>
      <c r="M22" s="132"/>
      <c r="N22" s="28"/>
      <c r="O22" s="39"/>
      <c r="P22" s="39"/>
      <c r="Q22" s="39"/>
      <c r="R22" s="39"/>
    </row>
    <row r="23" spans="2:18" ht="24" customHeight="1">
      <c r="B23" s="39"/>
      <c r="C23" s="39"/>
      <c r="D23" s="39"/>
      <c r="E23" s="39"/>
      <c r="F23" s="39"/>
      <c r="G23" s="39"/>
      <c r="H23" s="39"/>
      <c r="I23" s="39"/>
      <c r="J23" s="39"/>
      <c r="K23" s="39"/>
      <c r="L23" s="39"/>
      <c r="M23" s="39"/>
      <c r="N23" s="39"/>
      <c r="O23" s="39"/>
      <c r="P23" s="39"/>
      <c r="Q23" s="39"/>
      <c r="R23" s="39"/>
    </row>
    <row r="45" spans="1:13">
      <c r="A45" s="39"/>
      <c r="B45" s="39"/>
      <c r="C45" s="39"/>
      <c r="D45" s="39"/>
      <c r="E45" s="39"/>
      <c r="F45" s="39"/>
      <c r="G45" s="39"/>
      <c r="H45" s="39"/>
      <c r="I45" s="39"/>
      <c r="J45" s="39"/>
      <c r="K45" s="39"/>
      <c r="L45" s="39"/>
      <c r="M45" s="39"/>
    </row>
    <row r="46" spans="1:13" ht="30" customHeight="1">
      <c r="A46" s="35"/>
      <c r="B46" s="39"/>
      <c r="C46" s="39"/>
      <c r="D46" s="39"/>
      <c r="E46" s="39"/>
      <c r="F46" s="39"/>
      <c r="G46" s="39"/>
      <c r="H46" s="35"/>
      <c r="I46" s="39"/>
      <c r="J46" s="39"/>
      <c r="K46" s="39"/>
      <c r="L46" s="39"/>
      <c r="M46" s="39"/>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5" ma:contentTypeDescription="Crear nuevo documento." ma:contentTypeScope="" ma:versionID="00aad4bcce484859c0c8a5c20b37ead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70b4b33b6c5fc28f7575c036cc4c6df"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3.xml><?xml version="1.0" encoding="utf-8"?>
<ds:datastoreItem xmlns:ds="http://schemas.openxmlformats.org/officeDocument/2006/customXml" ds:itemID="{4668907F-EA1C-4929-8FA8-B69ED549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104</vt:i4>
      </vt:variant>
    </vt:vector>
  </HeadingPairs>
  <TitlesOfParts>
    <vt:vector size="169"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Alicia Canales Meza</cp:lastModifiedBy>
  <cp:revision/>
  <cp:lastPrinted>2022-06-24T13:12:08Z</cp:lastPrinted>
  <dcterms:created xsi:type="dcterms:W3CDTF">2008-12-10T19:16:04Z</dcterms:created>
  <dcterms:modified xsi:type="dcterms:W3CDTF">2022-06-24T21:01:12Z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